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45" tabRatio="601" activeTab="1"/>
  </bookViews>
  <sheets>
    <sheet name="Entrate tot e finalizzati" sheetId="1" r:id="rId1"/>
    <sheet name="Entrate nette" sheetId="2" r:id="rId2"/>
  </sheets>
  <externalReferences>
    <externalReference r:id="rId5"/>
    <externalReference r:id="rId6"/>
  </externalReferences>
  <definedNames>
    <definedName name="_xlnm.Print_Area" localSheetId="1">'Entrate nette'!$A$1:$L$275</definedName>
    <definedName name="_xlnm.Print_Area" localSheetId="0">'Entrate tot e finalizzati'!$A$1:$V$276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'Entrate nette'!$1:$7</definedName>
    <definedName name="_xlnm.Print_Titles" localSheetId="0">'Entrate tot e finalizzati'!$1:$7</definedName>
  </definedNames>
  <calcPr fullCalcOnLoad="1"/>
</workbook>
</file>

<file path=xl/sharedStrings.xml><?xml version="1.0" encoding="utf-8"?>
<sst xmlns="http://schemas.openxmlformats.org/spreadsheetml/2006/main" count="596" uniqueCount="144">
  <si>
    <t>QUARTIERE NAVILE</t>
  </si>
  <si>
    <t>QUARTIERE RENO</t>
  </si>
  <si>
    <t>QUARTIERE S.DONATO</t>
  </si>
  <si>
    <t>QUARTIERE SAVENA</t>
  </si>
  <si>
    <t>IN MIGLIAIA DI EURO</t>
  </si>
  <si>
    <t>TOTALE</t>
  </si>
  <si>
    <t>+</t>
  </si>
  <si>
    <t>TOT</t>
  </si>
  <si>
    <t>CONS</t>
  </si>
  <si>
    <t>* Per risorse "finalizzate" si intendono le entrate derivanti da trasferimenti ed altro a cui corrisponde un'uscita vincolata.</t>
  </si>
  <si>
    <t>ENTRATE</t>
  </si>
  <si>
    <t>QUARTIERI</t>
  </si>
  <si>
    <t>ALTRE ENTRATE CORRENTI</t>
  </si>
  <si>
    <t>UTILI DI AZIENDE E SOCIETA'</t>
  </si>
  <si>
    <t>TRASFERIMENTI DA ALTRI ENTI DEL SETTORE PUBBLICO</t>
  </si>
  <si>
    <t>TRASFERIMENTI DA ORGANISMI INTERNAZIONALI E COMUNITARI</t>
  </si>
  <si>
    <t>ALTRI PROVENTI E SANZIONI</t>
  </si>
  <si>
    <t>ALTRI PROVENTI DI BENI</t>
  </si>
  <si>
    <t>PROVENTI E SANZIONI</t>
  </si>
  <si>
    <t>DIRITTI DIVERSI</t>
  </si>
  <si>
    <t>PROVENTI NIDI</t>
  </si>
  <si>
    <t>TRASFERIMENTI REGIONE PER GESTIONE SERVIZI</t>
  </si>
  <si>
    <t>RIMBORSO SPESE DIVERSE</t>
  </si>
  <si>
    <t>FONDO ORDINARIO</t>
  </si>
  <si>
    <t>CONCORSO PER MUTUI</t>
  </si>
  <si>
    <t>INTERESSI FINALIZZATI</t>
  </si>
  <si>
    <t>INTERESSI SU ANTICIPAZIONI E CREDITI</t>
  </si>
  <si>
    <t>IVA</t>
  </si>
  <si>
    <t>FONDO CONSOLIDATO</t>
  </si>
  <si>
    <t>FONDO PEREQUATIVO SQUILIBRI FISCALITA' LOCALE</t>
  </si>
  <si>
    <t>CONTRIBUTI DI ENTI, ISTITUTI E PRIVATI</t>
  </si>
  <si>
    <t>RIMBORSO DI SPESE DIVERSE</t>
  </si>
  <si>
    <t>AVANZO DI AMMINISTRAZIONE APPLICATO</t>
  </si>
  <si>
    <t>TRASFERIMENTI DA STATO</t>
  </si>
  <si>
    <t>TRASFERIMENTI DA REGIONE</t>
  </si>
  <si>
    <t>ICIAP</t>
  </si>
  <si>
    <t>ICI</t>
  </si>
  <si>
    <t>IMPOSTA SULLA PUBBLICITA'</t>
  </si>
  <si>
    <t>ADDIZIONALE ENEL (e altro)</t>
  </si>
  <si>
    <t>TASSA SMALTIMENTO RIFIUTI</t>
  </si>
  <si>
    <t>TASSA OCCUPAZIONE SPAZI</t>
  </si>
  <si>
    <t>DIRITTI PER PUBBLICHE AFFISSIONI</t>
  </si>
  <si>
    <t>PROVENTI CONCESSIONI PUBBLICITARIE</t>
  </si>
  <si>
    <t>ADDIZIONALE COMUNALE IRPEF</t>
  </si>
  <si>
    <t>CANONE OCCUPAZIONE SPAZI E AREE PUBBLICHE (ex TOSAP)</t>
  </si>
  <si>
    <t>PROVENTI SERVIZI FOGNATURA</t>
  </si>
  <si>
    <t xml:space="preserve">PROVENTI DI SERVIZI </t>
  </si>
  <si>
    <t xml:space="preserve">PROVENTI DI BENI </t>
  </si>
  <si>
    <t>FITTI IMMOBILI COMMERCIALI COMUNALI</t>
  </si>
  <si>
    <t>FITTI IMMOBILI COMMERCIALI AREE MERCATALI</t>
  </si>
  <si>
    <t>FITTI IMMOBILI COMMERCIALI IPPODROMO ARCOVEGGIO</t>
  </si>
  <si>
    <t>FITTI COMMERCIALI FINALIZZATI</t>
  </si>
  <si>
    <t>FITTI IMMOBILI LFA</t>
  </si>
  <si>
    <t>PROVENTI SERVIZI CIMITERIALI</t>
  </si>
  <si>
    <t>PROVENTI SERVIZI AGENZIA TRASPORTI ED ONORANZE FUNEBRI</t>
  </si>
  <si>
    <t>PROVENTI SERVIZI NECROSCOPICI/POLIZIA MORTUARIA</t>
  </si>
  <si>
    <t>PROVENTI VENDITA LOCULI</t>
  </si>
  <si>
    <t xml:space="preserve">ALTRI PROVENTI E SANZIONI </t>
  </si>
  <si>
    <t xml:space="preserve">RIMBORSO SPESE DIVERSE </t>
  </si>
  <si>
    <t xml:space="preserve">TRASFERIMENTI DA STATO </t>
  </si>
  <si>
    <t xml:space="preserve">CONTRIBUTI DI ENTI ED ISTITUTI PRIVATI </t>
  </si>
  <si>
    <t>PROVENTI SERVIZI INTEGRATIVI</t>
  </si>
  <si>
    <t>TRASFERIMENTI REGIONE PER FUNZIONI DELEGATE</t>
  </si>
  <si>
    <t>PROVENTI REFEZIONE SCOLASTICA</t>
  </si>
  <si>
    <t>PROVENTI ATTIVITA' CULTURALI</t>
  </si>
  <si>
    <t xml:space="preserve">TRASFERIMENTI DA ALTRI ENTI DEL SETTORE PUBBLICO </t>
  </si>
  <si>
    <t>FITTI PALAZZO RE ENZO</t>
  </si>
  <si>
    <t>PROVENTI IMPIANTI SPORTIVI</t>
  </si>
  <si>
    <t>PROVENTI DA ISTITUZIONI ESTIVE</t>
  </si>
  <si>
    <t>PROVENTI CONTROLLO EDILIZIO</t>
  </si>
  <si>
    <t>PROVENTI DA PARCHEGGI</t>
  </si>
  <si>
    <t>PROVENTI E DIRITTI SERVIZI DEMOGRAFICI</t>
  </si>
  <si>
    <t>AMMENDE PER CONTRAVVENZIONI: ORDINARIE</t>
  </si>
  <si>
    <t>AMMENDE PER CONTRAVVENZIONI: PREGRESSE</t>
  </si>
  <si>
    <t>PROVENTI PER RIMOZIONE</t>
  </si>
  <si>
    <t>AMMENDE PER CONTRAVVENZIONI: RECUPERO CREDITI</t>
  </si>
  <si>
    <t xml:space="preserve">SEGRETERIA GENERALE </t>
  </si>
  <si>
    <t>COMPARTECIPAZIONE GETTITO IRPEF</t>
  </si>
  <si>
    <t>FITTI IMMOBILI COMMERCIALI ACER</t>
  </si>
  <si>
    <t>ICI RECUPERO ARRETRATI</t>
  </si>
  <si>
    <t>ADDIZIONALE COMUNALE IRPEF- ESERCIZI PRECEDENTI</t>
  </si>
  <si>
    <t>TASSA SMALTIMENTO RIFIUTI - RECUPERO ARRETRATI</t>
  </si>
  <si>
    <t>FITTI ALLOGGI IMMIGRATI/PROFUGHI/NOMADI</t>
  </si>
  <si>
    <t>FITTI SALA BORSA</t>
  </si>
  <si>
    <t>di cui fin.*</t>
  </si>
  <si>
    <t xml:space="preserve">TRASFERIMENTI DA ORGANISMI INTERNAZIONALI E COMUNITARI </t>
  </si>
  <si>
    <t>LAVORI PUBBLICI</t>
  </si>
  <si>
    <t>SOPRAVVENIENZE ATTIVE</t>
  </si>
  <si>
    <t>PROVENTI SERVIZI: RECUPERO PREGRESSI</t>
  </si>
  <si>
    <t>FITTI IMM. USO ABITATIVO IAR</t>
  </si>
  <si>
    <t>FITTI IMMOBILI COMMERCIALI IAR</t>
  </si>
  <si>
    <t>CONCESSIONI IN USO FOGNATURE E RETI (HERA)</t>
  </si>
  <si>
    <t>PROVENTI SERVIZI SOCIO ASSISTENZIALI</t>
  </si>
  <si>
    <t xml:space="preserve">DIRITTI DIVERSI </t>
  </si>
  <si>
    <t>QUARTIERE S.VITALE</t>
  </si>
  <si>
    <t xml:space="preserve">TRASFERIMENTI DA REGIONE </t>
  </si>
  <si>
    <t xml:space="preserve">ALTRE ENTRATE CORRENTI </t>
  </si>
  <si>
    <t xml:space="preserve">FITTI ERP </t>
  </si>
  <si>
    <t xml:space="preserve">TRASFERIMENTI DA ALTRI ENTI DEL SETTORE PUBBLICO  </t>
  </si>
  <si>
    <t>PROVENTI PERMESSI ACCESSO ZONA TRAFFICO LIMITATO</t>
  </si>
  <si>
    <t>QUARTIERE BORGO PANIGALE</t>
  </si>
  <si>
    <t>QUARTIERE SANTO STEFANO</t>
  </si>
  <si>
    <t>QUARTIERE SARAGOZZA</t>
  </si>
  <si>
    <t>ADDIZIONALE COMUNALE DIRITTI D'IMBARCO</t>
  </si>
  <si>
    <t>STAFF POLITICO ISTITUZIONALE</t>
  </si>
  <si>
    <t xml:space="preserve"> PATRIMONIO</t>
  </si>
  <si>
    <t>COORDINAMENTO SOCIALE E SALUTE</t>
  </si>
  <si>
    <t>PROVENTI SERVIZI NECROSCOPICI</t>
  </si>
  <si>
    <t>FITTI IMMOBILI LLFFAA</t>
  </si>
  <si>
    <t>(*) Il 2001 è al netto di contributi (€ 34.206 mgl da Regione e € 3.434 mgl da Stato) per trasporto pubblico locale trasferiti ad ATC</t>
  </si>
  <si>
    <t>TRASFERIMENTI DA STATO (*)</t>
  </si>
  <si>
    <t>TRASFERIMENTI DA REGIONE  (*)</t>
  </si>
  <si>
    <t xml:space="preserve">FITTI IMMOBILI USO ABITATIVO </t>
  </si>
  <si>
    <t>RIMBORSO ICI ABITAZIONE PRINCIPALE</t>
  </si>
  <si>
    <t>COMPENSAZIONE MINOR GETTITO ICI</t>
  </si>
  <si>
    <t>GABINETTO DEL COMMISSARIO</t>
  </si>
  <si>
    <t>AREA VIVIBILITA' URBANA</t>
  </si>
  <si>
    <t>AVVOCATURA</t>
  </si>
  <si>
    <t>MARKETING TERRITORIALE</t>
  </si>
  <si>
    <t>DIPARTIMENTO QUALITA' DELLA CITTA'</t>
  </si>
  <si>
    <t>URBANISTICA</t>
  </si>
  <si>
    <t xml:space="preserve">AMBIENTE </t>
  </si>
  <si>
    <t>MOBILITA' (*)</t>
  </si>
  <si>
    <t>DIPARTIMENTO SERVIZI ALLE FAMIGLIE</t>
  </si>
  <si>
    <t xml:space="preserve">ISTRUZIONE </t>
  </si>
  <si>
    <t>CASA</t>
  </si>
  <si>
    <t xml:space="preserve">AREA CULTURA </t>
  </si>
  <si>
    <t>DIPARTIMENTO BILANCIO</t>
  </si>
  <si>
    <t>FINANZE</t>
  </si>
  <si>
    <t>GARE</t>
  </si>
  <si>
    <t xml:space="preserve">DIPARTIMENTO PROGRAMMAZIONE </t>
  </si>
  <si>
    <t>STATISTICA</t>
  </si>
  <si>
    <t>DIPARTIMENTO ORGANIZZAZIONE</t>
  </si>
  <si>
    <t>TECNOLOGIE INFORMATICHE</t>
  </si>
  <si>
    <t xml:space="preserve">COMUNICAZIONE </t>
  </si>
  <si>
    <t>AREA AFFARI ISTITUZIONALI, DECENTRAMENTO E CITTA' METR.</t>
  </si>
  <si>
    <t xml:space="preserve">PERSONALE </t>
  </si>
  <si>
    <t>DIREZIONE DIPARTIMENTO SERVIZI ALLE FAMIGLIE</t>
  </si>
  <si>
    <t>DIREZIONE DIPARTIMENTO QUALITA' DELLA CITTA'</t>
  </si>
  <si>
    <t>AREA AFFARI SERVIZI DELEGATI - COORD.QUARTIERI</t>
  </si>
  <si>
    <t xml:space="preserve">ENTRATE: SERIE STORICA (2001 - 2010) </t>
  </si>
  <si>
    <t xml:space="preserve">ENTRATE NETTE : SERIE STORICA (2001 - 2010) </t>
  </si>
  <si>
    <t xml:space="preserve">POLIZIA MUNICIPALE </t>
  </si>
  <si>
    <t>FITTI IMMOBILI ABITATIVI COMUNALI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</si>
</sst>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_-* #,##0.0_-;\-* #,##0.0_-;_-* &quot;-&quot;_-;_-@_-"/>
    <numFmt numFmtId="185" formatCode="0.0"/>
    <numFmt numFmtId="186" formatCode="0.000"/>
    <numFmt numFmtId="187" formatCode="0_ ;\-0\ 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3" fontId="2" fillId="2" borderId="8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" borderId="6" xfId="0" applyFont="1" applyFill="1" applyBorder="1" applyAlignment="1">
      <alignment horizontal="centerContinuous"/>
    </xf>
    <xf numFmtId="0" fontId="6" fillId="3" borderId="9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3" fontId="1" fillId="0" borderId="3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1" fontId="1" fillId="0" borderId="4" xfId="16" applyFont="1" applyFill="1" applyBorder="1" applyAlignment="1">
      <alignment horizontal="right"/>
    </xf>
    <xf numFmtId="41" fontId="1" fillId="0" borderId="2" xfId="16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1" fillId="0" borderId="4" xfId="16" applyFont="1" applyFill="1" applyBorder="1" applyAlignment="1">
      <alignment/>
    </xf>
    <xf numFmtId="41" fontId="1" fillId="0" borderId="2" xfId="16" applyFont="1" applyBorder="1" applyAlignment="1">
      <alignment/>
    </xf>
    <xf numFmtId="41" fontId="1" fillId="0" borderId="3" xfId="16" applyFont="1" applyFill="1" applyBorder="1" applyAlignment="1">
      <alignment/>
    </xf>
    <xf numFmtId="0" fontId="2" fillId="0" borderId="2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7" fillId="5" borderId="11" xfId="0" applyNumberFormat="1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1" fillId="0" borderId="4" xfId="16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41" fontId="1" fillId="0" borderId="5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left"/>
    </xf>
    <xf numFmtId="41" fontId="1" fillId="0" borderId="3" xfId="16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4" fillId="0" borderId="12" xfId="0" applyFont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3" fontId="1" fillId="0" borderId="12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41" fontId="1" fillId="0" borderId="5" xfId="16" applyFont="1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3" fontId="3" fillId="4" borderId="8" xfId="0" applyNumberFormat="1" applyFont="1" applyFill="1" applyBorder="1" applyAlignment="1">
      <alignment/>
    </xf>
    <xf numFmtId="0" fontId="7" fillId="5" borderId="14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16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1" fillId="0" borderId="4" xfId="16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2" borderId="1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0" fillId="5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3" borderId="3" xfId="0" applyFill="1" applyBorder="1" applyAlignment="1">
      <alignment/>
    </xf>
    <xf numFmtId="0" fontId="2" fillId="0" borderId="9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ellone%20entrate%20per%20tito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"/>
      <sheetName val="entrate tot ed inflazione"/>
      <sheetName val="Autonomia trib"/>
      <sheetName val="Pressione  trib "/>
      <sheetName val="Autonomia fin"/>
      <sheetName val="graf avanzo"/>
      <sheetName val="graf oneri urb"/>
      <sheetName val="graf TIT I"/>
      <sheetName val="graf ICI"/>
      <sheetName val="graf IRPEF"/>
      <sheetName val="graf TARSU"/>
      <sheetName val="graf TIT II "/>
      <sheetName val="graf tras.stato"/>
      <sheetName val="graf tras.regione"/>
      <sheetName val="graf tras.UE"/>
      <sheetName val="graf TIT III "/>
      <sheetName val="graf proventi tot"/>
      <sheetName val="graf proventi fitti "/>
      <sheetName val="graf proventi concessioni"/>
      <sheetName val="graf proventi refezione"/>
      <sheetName val="graf proventi nidi"/>
      <sheetName val="graf proventi multe"/>
      <sheetName val="graf Utili netti "/>
      <sheetName val="graf rimborsi e alt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1"/>
  <sheetViews>
    <sheetView workbookViewId="0" topLeftCell="A13">
      <selection activeCell="I284" sqref="I284"/>
    </sheetView>
  </sheetViews>
  <sheetFormatPr defaultColWidth="9.140625" defaultRowHeight="12.75"/>
  <cols>
    <col min="1" max="1" width="4.8515625" style="3" customWidth="1"/>
    <col min="2" max="2" width="54.00390625" style="104" customWidth="1"/>
    <col min="3" max="3" width="9.57421875" style="97" customWidth="1"/>
    <col min="4" max="4" width="8.57421875" style="4" customWidth="1"/>
    <col min="5" max="5" width="9.57421875" style="4" customWidth="1"/>
    <col min="6" max="6" width="8.57421875" style="4" customWidth="1"/>
    <col min="7" max="7" width="9.57421875" style="4" customWidth="1"/>
    <col min="8" max="8" width="8.57421875" style="4" customWidth="1"/>
    <col min="9" max="9" width="9.57421875" style="4" customWidth="1"/>
    <col min="10" max="10" width="8.57421875" style="4" customWidth="1"/>
    <col min="11" max="11" width="9.57421875" style="1" customWidth="1"/>
    <col min="12" max="12" width="8.57421875" style="0" customWidth="1"/>
    <col min="13" max="13" width="9.57421875" style="4" bestFit="1" customWidth="1"/>
    <col min="14" max="14" width="8.57421875" style="1" bestFit="1" customWidth="1"/>
    <col min="15" max="15" width="9.57421875" style="4" bestFit="1" customWidth="1"/>
    <col min="16" max="16" width="8.57421875" style="1" bestFit="1" customWidth="1"/>
    <col min="17" max="17" width="9.57421875" style="4" bestFit="1" customWidth="1"/>
    <col min="18" max="18" width="8.57421875" style="1" bestFit="1" customWidth="1"/>
    <col min="19" max="19" width="9.57421875" style="4" customWidth="1"/>
    <col min="20" max="20" width="8.57421875" style="1" customWidth="1"/>
    <col min="21" max="21" width="9.57421875" style="4" bestFit="1" customWidth="1"/>
    <col min="22" max="22" width="8.57421875" style="1" customWidth="1"/>
    <col min="23" max="30" width="9.140625" style="2" customWidth="1"/>
  </cols>
  <sheetData>
    <row r="1" spans="1:5" ht="24" customHeight="1">
      <c r="A1" s="56" t="s">
        <v>140</v>
      </c>
      <c r="B1" s="96"/>
      <c r="E1" s="4" t="s">
        <v>4</v>
      </c>
    </row>
    <row r="2" spans="1:21" ht="5.25" customHeight="1">
      <c r="A2" s="5"/>
      <c r="B2" s="98"/>
      <c r="C2" s="58"/>
      <c r="D2" s="58"/>
      <c r="E2" s="58"/>
      <c r="F2" s="58"/>
      <c r="G2" s="58"/>
      <c r="H2" s="58"/>
      <c r="I2" s="58"/>
      <c r="J2" s="57"/>
      <c r="K2" s="10"/>
      <c r="L2" s="75"/>
      <c r="M2" s="75"/>
      <c r="O2" s="75"/>
      <c r="Q2" s="75"/>
      <c r="S2" s="75"/>
      <c r="U2" s="75"/>
    </row>
    <row r="3" spans="1:21" ht="12.75">
      <c r="A3" s="59" t="s">
        <v>9</v>
      </c>
      <c r="B3" s="98"/>
      <c r="L3" s="75"/>
      <c r="M3" s="75"/>
      <c r="O3" s="75"/>
      <c r="Q3" s="75"/>
      <c r="S3" s="75"/>
      <c r="U3" s="75"/>
    </row>
    <row r="4" spans="1:21" ht="5.25" customHeight="1">
      <c r="A4" s="7"/>
      <c r="B4" s="99"/>
      <c r="C4" s="10"/>
      <c r="D4" s="79"/>
      <c r="E4" s="79"/>
      <c r="F4" s="79"/>
      <c r="G4" s="79"/>
      <c r="H4" s="79"/>
      <c r="L4" s="16"/>
      <c r="M4" s="79"/>
      <c r="S4" s="79"/>
      <c r="U4" s="79"/>
    </row>
    <row r="5" spans="1:22" ht="12.75">
      <c r="A5" s="8"/>
      <c r="B5" s="63"/>
      <c r="C5" s="34">
        <v>2001</v>
      </c>
      <c r="D5" s="37"/>
      <c r="E5" s="34">
        <v>2002</v>
      </c>
      <c r="F5" s="37"/>
      <c r="G5" s="34">
        <v>2003</v>
      </c>
      <c r="H5" s="37"/>
      <c r="I5" s="34">
        <v>2004</v>
      </c>
      <c r="J5" s="37"/>
      <c r="K5" s="34">
        <v>2005</v>
      </c>
      <c r="L5" s="37"/>
      <c r="M5" s="34">
        <v>2006</v>
      </c>
      <c r="N5" s="37"/>
      <c r="O5" s="34">
        <v>2007</v>
      </c>
      <c r="P5" s="37"/>
      <c r="Q5" s="34">
        <v>2008</v>
      </c>
      <c r="R5" s="37"/>
      <c r="S5" s="34">
        <v>2009</v>
      </c>
      <c r="T5" s="37"/>
      <c r="U5" s="34">
        <v>2010</v>
      </c>
      <c r="V5" s="37"/>
    </row>
    <row r="6" spans="1:22" ht="15.75">
      <c r="A6" s="8"/>
      <c r="B6" s="105" t="s">
        <v>4</v>
      </c>
      <c r="C6" s="35" t="s">
        <v>8</v>
      </c>
      <c r="D6" s="36"/>
      <c r="E6" s="35" t="s">
        <v>8</v>
      </c>
      <c r="F6" s="36"/>
      <c r="G6" s="35" t="s">
        <v>8</v>
      </c>
      <c r="H6" s="36"/>
      <c r="I6" s="35" t="s">
        <v>8</v>
      </c>
      <c r="J6" s="36"/>
      <c r="K6" s="35" t="s">
        <v>8</v>
      </c>
      <c r="L6" s="36"/>
      <c r="M6" s="35" t="s">
        <v>8</v>
      </c>
      <c r="N6" s="36"/>
      <c r="O6" s="35" t="s">
        <v>8</v>
      </c>
      <c r="P6" s="36"/>
      <c r="Q6" s="70" t="s">
        <v>8</v>
      </c>
      <c r="R6" s="122"/>
      <c r="S6" s="126" t="s">
        <v>8</v>
      </c>
      <c r="T6" s="127"/>
      <c r="U6" s="126" t="s">
        <v>8</v>
      </c>
      <c r="V6" s="127"/>
    </row>
    <row r="7" spans="1:22" ht="12.75">
      <c r="A7" s="83"/>
      <c r="B7" s="106"/>
      <c r="C7" s="40" t="s">
        <v>7</v>
      </c>
      <c r="D7" s="84" t="s">
        <v>84</v>
      </c>
      <c r="E7" s="40" t="s">
        <v>7</v>
      </c>
      <c r="F7" s="84" t="s">
        <v>84</v>
      </c>
      <c r="G7" s="40" t="s">
        <v>7</v>
      </c>
      <c r="H7" s="84" t="s">
        <v>84</v>
      </c>
      <c r="I7" s="40" t="s">
        <v>7</v>
      </c>
      <c r="J7" s="84" t="s">
        <v>84</v>
      </c>
      <c r="K7" s="40" t="s">
        <v>7</v>
      </c>
      <c r="L7" s="84" t="s">
        <v>84</v>
      </c>
      <c r="M7" s="40" t="s">
        <v>7</v>
      </c>
      <c r="N7" s="84" t="s">
        <v>84</v>
      </c>
      <c r="O7" s="40" t="s">
        <v>7</v>
      </c>
      <c r="P7" s="84" t="s">
        <v>84</v>
      </c>
      <c r="Q7" s="40" t="s">
        <v>7</v>
      </c>
      <c r="R7" s="84" t="s">
        <v>84</v>
      </c>
      <c r="S7" s="40" t="s">
        <v>7</v>
      </c>
      <c r="T7" s="84" t="s">
        <v>84</v>
      </c>
      <c r="U7" s="40" t="s">
        <v>7</v>
      </c>
      <c r="V7" s="84" t="s">
        <v>84</v>
      </c>
    </row>
    <row r="8" spans="1:22" ht="12.75">
      <c r="A8" s="65" t="s">
        <v>104</v>
      </c>
      <c r="B8" s="107"/>
      <c r="C8" s="89">
        <f>+C9+C16+C28+C33+C37</f>
        <v>14611</v>
      </c>
      <c r="D8" s="89">
        <f aca="true" t="shared" si="0" ref="D8:V8">+D9+D16+D28+D33+D37</f>
        <v>158</v>
      </c>
      <c r="E8" s="89">
        <f t="shared" si="0"/>
        <v>17844</v>
      </c>
      <c r="F8" s="89">
        <f t="shared" si="0"/>
        <v>2107</v>
      </c>
      <c r="G8" s="89">
        <f t="shared" si="0"/>
        <v>20404</v>
      </c>
      <c r="H8" s="89">
        <f t="shared" si="0"/>
        <v>1928</v>
      </c>
      <c r="I8" s="89">
        <f t="shared" si="0"/>
        <v>28169</v>
      </c>
      <c r="J8" s="89">
        <f t="shared" si="0"/>
        <v>2316</v>
      </c>
      <c r="K8" s="89">
        <f t="shared" si="0"/>
        <v>34807</v>
      </c>
      <c r="L8" s="89">
        <f t="shared" si="0"/>
        <v>4286</v>
      </c>
      <c r="M8" s="89">
        <f t="shared" si="0"/>
        <v>44958</v>
      </c>
      <c r="N8" s="89">
        <f t="shared" si="0"/>
        <v>413</v>
      </c>
      <c r="O8" s="89">
        <f t="shared" si="0"/>
        <v>50578</v>
      </c>
      <c r="P8" s="89">
        <f t="shared" si="0"/>
        <v>489</v>
      </c>
      <c r="Q8" s="89">
        <f t="shared" si="0"/>
        <v>40676</v>
      </c>
      <c r="R8" s="89">
        <f t="shared" si="0"/>
        <v>622</v>
      </c>
      <c r="S8" s="89">
        <f t="shared" si="0"/>
        <v>39467</v>
      </c>
      <c r="T8" s="89">
        <f t="shared" si="0"/>
        <v>472</v>
      </c>
      <c r="U8" s="89">
        <f t="shared" si="0"/>
        <v>39044</v>
      </c>
      <c r="V8" s="89">
        <f t="shared" si="0"/>
        <v>316</v>
      </c>
    </row>
    <row r="9" spans="1:22" ht="12.75">
      <c r="A9" s="23" t="s">
        <v>115</v>
      </c>
      <c r="B9" s="109"/>
      <c r="C9" s="25">
        <f aca="true" t="shared" si="1" ref="C9:T9">SUM(C10:C15)</f>
        <v>234</v>
      </c>
      <c r="D9" s="25">
        <f t="shared" si="1"/>
        <v>150</v>
      </c>
      <c r="E9" s="25">
        <f t="shared" si="1"/>
        <v>1648</v>
      </c>
      <c r="F9" s="25">
        <f t="shared" si="1"/>
        <v>1582</v>
      </c>
      <c r="G9" s="25">
        <f t="shared" si="1"/>
        <v>1415</v>
      </c>
      <c r="H9" s="25">
        <f t="shared" si="1"/>
        <v>1377</v>
      </c>
      <c r="I9" s="25">
        <f t="shared" si="1"/>
        <v>1832</v>
      </c>
      <c r="J9" s="25">
        <f t="shared" si="1"/>
        <v>1819</v>
      </c>
      <c r="K9" s="25">
        <f t="shared" si="1"/>
        <v>3777</v>
      </c>
      <c r="L9" s="25">
        <f t="shared" si="1"/>
        <v>3771</v>
      </c>
      <c r="M9" s="25">
        <f t="shared" si="1"/>
        <v>90</v>
      </c>
      <c r="N9" s="25">
        <f t="shared" si="1"/>
        <v>82</v>
      </c>
      <c r="O9" s="25">
        <f t="shared" si="1"/>
        <v>143</v>
      </c>
      <c r="P9" s="25">
        <f t="shared" si="1"/>
        <v>130</v>
      </c>
      <c r="Q9" s="25">
        <f t="shared" si="1"/>
        <v>342</v>
      </c>
      <c r="R9" s="25">
        <f t="shared" si="1"/>
        <v>328</v>
      </c>
      <c r="S9" s="25">
        <f t="shared" si="1"/>
        <v>77</v>
      </c>
      <c r="T9" s="25">
        <f t="shared" si="1"/>
        <v>70</v>
      </c>
      <c r="U9" s="25">
        <f>SUM(U10:U15)</f>
        <v>63</v>
      </c>
      <c r="V9" s="25">
        <f>SUM(V10:V15)</f>
        <v>53</v>
      </c>
    </row>
    <row r="10" spans="1:22" ht="12.75">
      <c r="A10" s="68"/>
      <c r="B10" s="101" t="s">
        <v>59</v>
      </c>
      <c r="C10" s="31"/>
      <c r="D10" s="42"/>
      <c r="E10" s="31"/>
      <c r="F10" s="42"/>
      <c r="G10" s="31"/>
      <c r="H10" s="42"/>
      <c r="I10" s="31"/>
      <c r="J10" s="55"/>
      <c r="K10" s="31"/>
      <c r="L10" s="55"/>
      <c r="M10" s="31">
        <v>32</v>
      </c>
      <c r="N10" s="55">
        <v>32</v>
      </c>
      <c r="O10" s="31"/>
      <c r="P10" s="55"/>
      <c r="Q10" s="31">
        <v>30</v>
      </c>
      <c r="R10" s="55">
        <v>30</v>
      </c>
      <c r="S10" s="31"/>
      <c r="T10" s="55"/>
      <c r="U10" s="31"/>
      <c r="V10" s="55"/>
    </row>
    <row r="11" spans="1:22" ht="12.75">
      <c r="A11" s="68"/>
      <c r="B11" s="42" t="s">
        <v>85</v>
      </c>
      <c r="C11" s="31"/>
      <c r="D11" s="42"/>
      <c r="E11" s="31">
        <f>1287+48</f>
        <v>1335</v>
      </c>
      <c r="F11" s="42">
        <f>1287+48</f>
        <v>1335</v>
      </c>
      <c r="G11" s="31">
        <f>1142+6</f>
        <v>1148</v>
      </c>
      <c r="H11" s="42">
        <f>1142+6</f>
        <v>1148</v>
      </c>
      <c r="I11" s="31">
        <v>1819</v>
      </c>
      <c r="J11" s="55">
        <v>1819</v>
      </c>
      <c r="K11" s="31">
        <v>3671</v>
      </c>
      <c r="L11" s="55">
        <v>3671</v>
      </c>
      <c r="M11" s="31">
        <v>35</v>
      </c>
      <c r="N11" s="55">
        <v>35</v>
      </c>
      <c r="O11" s="31">
        <v>30</v>
      </c>
      <c r="P11" s="55">
        <v>30</v>
      </c>
      <c r="Q11" s="31"/>
      <c r="R11" s="55"/>
      <c r="S11" s="31"/>
      <c r="T11" s="55"/>
      <c r="U11" s="31"/>
      <c r="V11" s="55"/>
    </row>
    <row r="12" spans="1:22" ht="12.75">
      <c r="A12" s="68"/>
      <c r="B12" s="101" t="s">
        <v>65</v>
      </c>
      <c r="C12" s="31"/>
      <c r="D12" s="42"/>
      <c r="E12" s="31"/>
      <c r="F12" s="42"/>
      <c r="G12" s="31"/>
      <c r="H12" s="42"/>
      <c r="I12" s="31"/>
      <c r="J12" s="55"/>
      <c r="K12" s="31"/>
      <c r="L12" s="55"/>
      <c r="M12" s="31"/>
      <c r="N12" s="55"/>
      <c r="O12" s="31"/>
      <c r="P12" s="55"/>
      <c r="Q12" s="31"/>
      <c r="R12" s="55"/>
      <c r="S12" s="31"/>
      <c r="T12" s="55"/>
      <c r="U12" s="31">
        <v>19</v>
      </c>
      <c r="V12" s="55">
        <v>19</v>
      </c>
    </row>
    <row r="13" spans="1:22" ht="12.75">
      <c r="A13" s="68"/>
      <c r="B13" s="42" t="s">
        <v>60</v>
      </c>
      <c r="C13" s="31"/>
      <c r="D13" s="42"/>
      <c r="E13" s="30">
        <v>12</v>
      </c>
      <c r="F13" s="31">
        <v>12</v>
      </c>
      <c r="G13" s="31"/>
      <c r="H13" s="42"/>
      <c r="I13" s="30"/>
      <c r="J13" s="31"/>
      <c r="K13" s="31">
        <v>100</v>
      </c>
      <c r="L13" s="55">
        <v>100</v>
      </c>
      <c r="M13" s="31">
        <v>15</v>
      </c>
      <c r="N13" s="55">
        <v>15</v>
      </c>
      <c r="O13" s="31">
        <v>100</v>
      </c>
      <c r="P13" s="55">
        <v>100</v>
      </c>
      <c r="Q13" s="31">
        <v>240</v>
      </c>
      <c r="R13" s="55">
        <v>240</v>
      </c>
      <c r="S13" s="31">
        <v>70</v>
      </c>
      <c r="T13" s="55">
        <v>70</v>
      </c>
      <c r="U13" s="31"/>
      <c r="V13" s="55"/>
    </row>
    <row r="14" spans="1:22" ht="12.75">
      <c r="A14" s="12"/>
      <c r="B14" s="103" t="s">
        <v>17</v>
      </c>
      <c r="C14" s="19">
        <v>84</v>
      </c>
      <c r="D14" s="17"/>
      <c r="E14" s="19">
        <v>66</v>
      </c>
      <c r="F14" s="17"/>
      <c r="G14" s="19">
        <v>38</v>
      </c>
      <c r="H14" s="17"/>
      <c r="I14" s="19">
        <v>13</v>
      </c>
      <c r="J14" s="17"/>
      <c r="K14" s="19">
        <v>6</v>
      </c>
      <c r="L14" s="17"/>
      <c r="M14" s="19">
        <v>8</v>
      </c>
      <c r="N14" s="17"/>
      <c r="O14" s="19">
        <v>13</v>
      </c>
      <c r="P14" s="17"/>
      <c r="Q14" s="19">
        <v>14</v>
      </c>
      <c r="R14" s="17"/>
      <c r="S14" s="19">
        <v>7</v>
      </c>
      <c r="T14" s="17"/>
      <c r="U14" s="19">
        <v>10</v>
      </c>
      <c r="V14" s="17"/>
    </row>
    <row r="15" spans="1:22" ht="12.75">
      <c r="A15" s="12"/>
      <c r="B15" s="103" t="s">
        <v>95</v>
      </c>
      <c r="C15" s="19">
        <v>150</v>
      </c>
      <c r="D15" s="17">
        <v>150</v>
      </c>
      <c r="E15" s="19">
        <v>235</v>
      </c>
      <c r="F15" s="17">
        <v>235</v>
      </c>
      <c r="G15" s="19">
        <v>229</v>
      </c>
      <c r="H15" s="17">
        <v>229</v>
      </c>
      <c r="I15" s="19"/>
      <c r="J15" s="17"/>
      <c r="K15" s="19"/>
      <c r="L15" s="17"/>
      <c r="M15" s="19"/>
      <c r="N15" s="17"/>
      <c r="O15" s="19"/>
      <c r="P15" s="17"/>
      <c r="Q15" s="19">
        <v>58</v>
      </c>
      <c r="R15" s="17">
        <v>58</v>
      </c>
      <c r="S15" s="19"/>
      <c r="T15" s="17"/>
      <c r="U15" s="19">
        <v>34</v>
      </c>
      <c r="V15" s="17">
        <v>34</v>
      </c>
    </row>
    <row r="16" spans="1:22" ht="12.75">
      <c r="A16" s="23" t="s">
        <v>142</v>
      </c>
      <c r="B16" s="109"/>
      <c r="C16" s="25">
        <f aca="true" t="shared" si="2" ref="C16:T16">SUM(C17:C27)</f>
        <v>13736</v>
      </c>
      <c r="D16" s="25">
        <f t="shared" si="2"/>
        <v>0</v>
      </c>
      <c r="E16" s="25">
        <f t="shared" si="2"/>
        <v>15608</v>
      </c>
      <c r="F16" s="25">
        <f t="shared" si="2"/>
        <v>0</v>
      </c>
      <c r="G16" s="25">
        <f t="shared" si="2"/>
        <v>18407</v>
      </c>
      <c r="H16" s="25">
        <f t="shared" si="2"/>
        <v>5</v>
      </c>
      <c r="I16" s="25">
        <f t="shared" si="2"/>
        <v>25805</v>
      </c>
      <c r="J16" s="25">
        <f t="shared" si="2"/>
        <v>1</v>
      </c>
      <c r="K16" s="25">
        <f t="shared" si="2"/>
        <v>30485</v>
      </c>
      <c r="L16" s="25">
        <f t="shared" si="2"/>
        <v>7</v>
      </c>
      <c r="M16" s="25">
        <f t="shared" si="2"/>
        <v>44489</v>
      </c>
      <c r="N16" s="25">
        <f t="shared" si="2"/>
        <v>0</v>
      </c>
      <c r="O16" s="25">
        <f t="shared" si="2"/>
        <v>50109</v>
      </c>
      <c r="P16" s="25">
        <f t="shared" si="2"/>
        <v>80</v>
      </c>
      <c r="Q16" s="25">
        <f t="shared" si="2"/>
        <v>40003</v>
      </c>
      <c r="R16" s="25">
        <f t="shared" si="2"/>
        <v>0</v>
      </c>
      <c r="S16" s="25">
        <f t="shared" si="2"/>
        <v>38946</v>
      </c>
      <c r="T16" s="25">
        <f t="shared" si="2"/>
        <v>0</v>
      </c>
      <c r="U16" s="25">
        <f>SUM(U17:U27)</f>
        <v>38683</v>
      </c>
      <c r="V16" s="25">
        <f>SUM(V17:V27)</f>
        <v>20</v>
      </c>
    </row>
    <row r="17" spans="1:22" ht="12.75">
      <c r="A17" s="53"/>
      <c r="B17" s="101" t="s">
        <v>34</v>
      </c>
      <c r="C17" s="19">
        <v>31</v>
      </c>
      <c r="D17" s="17"/>
      <c r="E17" s="19">
        <v>8</v>
      </c>
      <c r="F17" s="17"/>
      <c r="G17" s="19">
        <v>3</v>
      </c>
      <c r="H17" s="17"/>
      <c r="I17" s="19"/>
      <c r="J17" s="17"/>
      <c r="K17" s="19">
        <v>8</v>
      </c>
      <c r="L17" s="17"/>
      <c r="M17" s="19">
        <v>3</v>
      </c>
      <c r="N17" s="17"/>
      <c r="O17" s="19">
        <v>19</v>
      </c>
      <c r="P17" s="17">
        <v>19</v>
      </c>
      <c r="Q17" s="19"/>
      <c r="R17" s="17"/>
      <c r="S17" s="19"/>
      <c r="T17" s="17"/>
      <c r="U17" s="19"/>
      <c r="V17" s="17"/>
    </row>
    <row r="18" spans="1:22" s="45" customFormat="1" ht="12.75">
      <c r="A18" s="53"/>
      <c r="B18" s="42" t="s">
        <v>15</v>
      </c>
      <c r="C18" s="19"/>
      <c r="D18" s="17"/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>
        <v>51</v>
      </c>
      <c r="P18" s="17">
        <v>51</v>
      </c>
      <c r="Q18" s="19"/>
      <c r="R18" s="17"/>
      <c r="S18" s="19"/>
      <c r="T18" s="17"/>
      <c r="U18" s="19"/>
      <c r="V18" s="17"/>
    </row>
    <row r="19" spans="1:22" ht="12.75">
      <c r="A19" s="53"/>
      <c r="B19" s="101" t="s">
        <v>65</v>
      </c>
      <c r="C19" s="19"/>
      <c r="D19" s="17"/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>
        <f>10+4</f>
        <v>14</v>
      </c>
      <c r="P19" s="17">
        <v>10</v>
      </c>
      <c r="Q19" s="19">
        <v>5</v>
      </c>
      <c r="R19" s="17"/>
      <c r="S19" s="19"/>
      <c r="T19" s="17"/>
      <c r="U19" s="19">
        <f>20+8</f>
        <v>28</v>
      </c>
      <c r="V19" s="17">
        <v>20</v>
      </c>
    </row>
    <row r="20" spans="1:22" ht="12.75">
      <c r="A20" s="14"/>
      <c r="B20" s="103" t="s">
        <v>26</v>
      </c>
      <c r="C20" s="19">
        <v>2</v>
      </c>
      <c r="D20" s="17"/>
      <c r="E20" s="19">
        <v>3</v>
      </c>
      <c r="F20" s="17"/>
      <c r="G20" s="19">
        <v>14</v>
      </c>
      <c r="H20" s="17"/>
      <c r="I20" s="19">
        <v>1</v>
      </c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</row>
    <row r="21" spans="1:22" s="45" customFormat="1" ht="12.75">
      <c r="A21" s="14"/>
      <c r="B21" s="103" t="s">
        <v>58</v>
      </c>
      <c r="C21" s="19">
        <v>1298</v>
      </c>
      <c r="D21" s="17"/>
      <c r="E21" s="19">
        <v>1286</v>
      </c>
      <c r="F21" s="17"/>
      <c r="G21" s="19">
        <v>1693</v>
      </c>
      <c r="H21" s="17"/>
      <c r="I21" s="19">
        <v>2554</v>
      </c>
      <c r="J21" s="17"/>
      <c r="K21" s="19">
        <v>3008</v>
      </c>
      <c r="L21" s="17"/>
      <c r="M21" s="19">
        <v>5539</v>
      </c>
      <c r="N21" s="17"/>
      <c r="O21" s="19">
        <v>4266</v>
      </c>
      <c r="P21" s="17"/>
      <c r="Q21" s="19">
        <v>4128</v>
      </c>
      <c r="R21" s="17"/>
      <c r="S21" s="19">
        <v>3404</v>
      </c>
      <c r="T21" s="17"/>
      <c r="U21" s="19">
        <v>2722</v>
      </c>
      <c r="V21" s="17"/>
    </row>
    <row r="22" spans="1:22" s="45" customFormat="1" ht="12.75">
      <c r="A22" s="14"/>
      <c r="B22" s="101" t="s">
        <v>74</v>
      </c>
      <c r="C22" s="19">
        <v>1486</v>
      </c>
      <c r="D22" s="17"/>
      <c r="E22" s="19">
        <v>1233</v>
      </c>
      <c r="F22" s="17"/>
      <c r="G22" s="19">
        <v>1486</v>
      </c>
      <c r="H22" s="17"/>
      <c r="I22" s="19">
        <v>1475</v>
      </c>
      <c r="J22" s="61"/>
      <c r="K22" s="19">
        <v>1564</v>
      </c>
      <c r="L22" s="61"/>
      <c r="M22" s="19">
        <v>1441</v>
      </c>
      <c r="N22" s="61"/>
      <c r="O22" s="19">
        <v>1566</v>
      </c>
      <c r="P22" s="61"/>
      <c r="Q22" s="19">
        <v>1116</v>
      </c>
      <c r="R22" s="61"/>
      <c r="S22" s="19">
        <v>173</v>
      </c>
      <c r="T22" s="61"/>
      <c r="U22" s="19">
        <v>331</v>
      </c>
      <c r="V22" s="61"/>
    </row>
    <row r="23" spans="1:22" ht="12.75">
      <c r="A23" s="14"/>
      <c r="B23" s="103" t="s">
        <v>16</v>
      </c>
      <c r="C23" s="19">
        <v>126</v>
      </c>
      <c r="D23" s="17"/>
      <c r="E23" s="19">
        <v>99</v>
      </c>
      <c r="F23" s="17"/>
      <c r="G23" s="19">
        <v>72</v>
      </c>
      <c r="H23" s="17"/>
      <c r="I23" s="19">
        <v>73</v>
      </c>
      <c r="J23" s="17"/>
      <c r="K23" s="19">
        <v>66</v>
      </c>
      <c r="L23" s="17"/>
      <c r="M23" s="19">
        <v>75</v>
      </c>
      <c r="N23" s="17"/>
      <c r="O23" s="19">
        <v>74</v>
      </c>
      <c r="P23" s="17"/>
      <c r="Q23" s="19">
        <v>69</v>
      </c>
      <c r="R23" s="17"/>
      <c r="S23" s="19">
        <v>59</v>
      </c>
      <c r="T23" s="17"/>
      <c r="U23" s="19">
        <v>55</v>
      </c>
      <c r="V23" s="17"/>
    </row>
    <row r="24" spans="1:22" s="33" customFormat="1" ht="12.75">
      <c r="A24" s="14"/>
      <c r="B24" s="17" t="s">
        <v>60</v>
      </c>
      <c r="C24" s="19"/>
      <c r="D24" s="17"/>
      <c r="E24" s="19"/>
      <c r="F24" s="17"/>
      <c r="G24" s="19">
        <v>5</v>
      </c>
      <c r="H24" s="17">
        <v>5</v>
      </c>
      <c r="I24" s="19">
        <v>1</v>
      </c>
      <c r="J24" s="17">
        <v>1</v>
      </c>
      <c r="K24" s="19">
        <v>7</v>
      </c>
      <c r="L24" s="17">
        <v>7</v>
      </c>
      <c r="M24" s="19"/>
      <c r="N24" s="17"/>
      <c r="O24" s="19"/>
      <c r="P24" s="17"/>
      <c r="Q24" s="19"/>
      <c r="R24" s="17"/>
      <c r="S24" s="19"/>
      <c r="T24" s="17"/>
      <c r="U24" s="19"/>
      <c r="V24" s="17"/>
    </row>
    <row r="25" spans="1:22" ht="12.75">
      <c r="A25" s="41"/>
      <c r="B25" s="103" t="s">
        <v>72</v>
      </c>
      <c r="C25" s="31">
        <v>9883</v>
      </c>
      <c r="D25" s="42"/>
      <c r="E25" s="31">
        <v>11265</v>
      </c>
      <c r="F25" s="42"/>
      <c r="G25" s="31">
        <v>13729</v>
      </c>
      <c r="H25" s="42"/>
      <c r="I25" s="31">
        <v>19527</v>
      </c>
      <c r="J25" s="42"/>
      <c r="K25" s="31">
        <v>20450</v>
      </c>
      <c r="L25" s="42"/>
      <c r="M25" s="31">
        <v>26195</v>
      </c>
      <c r="N25" s="42"/>
      <c r="O25" s="31">
        <v>31656</v>
      </c>
      <c r="P25" s="42"/>
      <c r="Q25" s="31">
        <v>27056</v>
      </c>
      <c r="R25" s="42"/>
      <c r="S25" s="31">
        <v>25498</v>
      </c>
      <c r="T25" s="42"/>
      <c r="U25" s="31">
        <v>24838</v>
      </c>
      <c r="V25" s="42"/>
    </row>
    <row r="26" spans="1:22" ht="12.75">
      <c r="A26" s="14"/>
      <c r="B26" s="103" t="s">
        <v>73</v>
      </c>
      <c r="C26" s="19">
        <v>910</v>
      </c>
      <c r="D26" s="17"/>
      <c r="E26" s="19">
        <v>1713</v>
      </c>
      <c r="F26" s="17"/>
      <c r="G26" s="19">
        <v>1405</v>
      </c>
      <c r="H26" s="17"/>
      <c r="I26" s="19">
        <v>2174</v>
      </c>
      <c r="J26" s="17"/>
      <c r="K26" s="19">
        <v>5382</v>
      </c>
      <c r="L26" s="17"/>
      <c r="M26" s="19">
        <v>11236</v>
      </c>
      <c r="N26" s="17"/>
      <c r="O26" s="19">
        <v>12463</v>
      </c>
      <c r="P26" s="17"/>
      <c r="Q26" s="19">
        <v>7629</v>
      </c>
      <c r="R26" s="17"/>
      <c r="S26" s="19">
        <v>9812</v>
      </c>
      <c r="T26" s="17"/>
      <c r="U26" s="19">
        <v>10709</v>
      </c>
      <c r="V26" s="17"/>
    </row>
    <row r="27" spans="1:22" ht="12.75">
      <c r="A27" s="82"/>
      <c r="B27" s="110" t="s">
        <v>75</v>
      </c>
      <c r="C27" s="32"/>
      <c r="D27" s="48"/>
      <c r="E27" s="32">
        <v>1</v>
      </c>
      <c r="F27" s="48"/>
      <c r="G27" s="32"/>
      <c r="H27" s="48"/>
      <c r="I27" s="32"/>
      <c r="J27" s="48"/>
      <c r="K27" s="32"/>
      <c r="L27" s="48"/>
      <c r="M27" s="32"/>
      <c r="N27" s="48"/>
      <c r="O27" s="32"/>
      <c r="P27" s="48"/>
      <c r="Q27" s="32"/>
      <c r="R27" s="48"/>
      <c r="S27" s="32"/>
      <c r="T27" s="48"/>
      <c r="U27" s="32"/>
      <c r="V27" s="48"/>
    </row>
    <row r="28" spans="1:22" ht="12.75">
      <c r="A28" s="64" t="s">
        <v>118</v>
      </c>
      <c r="B28" s="112"/>
      <c r="C28" s="28">
        <f aca="true" t="shared" si="3" ref="C28:T28">SUM(C29:C32)</f>
        <v>8</v>
      </c>
      <c r="D28" s="28">
        <f t="shared" si="3"/>
        <v>8</v>
      </c>
      <c r="E28" s="28">
        <f t="shared" si="3"/>
        <v>492</v>
      </c>
      <c r="F28" s="28">
        <f t="shared" si="3"/>
        <v>492</v>
      </c>
      <c r="G28" s="28">
        <f t="shared" si="3"/>
        <v>504</v>
      </c>
      <c r="H28" s="28">
        <f t="shared" si="3"/>
        <v>504</v>
      </c>
      <c r="I28" s="28">
        <f t="shared" si="3"/>
        <v>435</v>
      </c>
      <c r="J28" s="28">
        <f t="shared" si="3"/>
        <v>435</v>
      </c>
      <c r="K28" s="28">
        <f t="shared" si="3"/>
        <v>456</v>
      </c>
      <c r="L28" s="28">
        <f t="shared" si="3"/>
        <v>456</v>
      </c>
      <c r="M28" s="28">
        <f t="shared" si="3"/>
        <v>279</v>
      </c>
      <c r="N28" s="28">
        <f t="shared" si="3"/>
        <v>279</v>
      </c>
      <c r="O28" s="28">
        <f t="shared" si="3"/>
        <v>229</v>
      </c>
      <c r="P28" s="28">
        <f t="shared" si="3"/>
        <v>229</v>
      </c>
      <c r="Q28" s="28">
        <f t="shared" si="3"/>
        <v>249</v>
      </c>
      <c r="R28" s="28">
        <f t="shared" si="3"/>
        <v>249</v>
      </c>
      <c r="S28" s="28">
        <f t="shared" si="3"/>
        <v>313</v>
      </c>
      <c r="T28" s="28">
        <f t="shared" si="3"/>
        <v>313</v>
      </c>
      <c r="U28" s="28">
        <f>SUM(U29:U32)</f>
        <v>178</v>
      </c>
      <c r="V28" s="28">
        <f>SUM(V29:V32)</f>
        <v>178</v>
      </c>
    </row>
    <row r="29" spans="1:22" ht="12.75">
      <c r="A29" s="43"/>
      <c r="B29" s="101" t="s">
        <v>95</v>
      </c>
      <c r="C29" s="50"/>
      <c r="D29" s="31"/>
      <c r="E29" s="60">
        <v>417</v>
      </c>
      <c r="F29" s="60">
        <v>417</v>
      </c>
      <c r="G29" s="60">
        <v>423</v>
      </c>
      <c r="H29" s="60">
        <v>423</v>
      </c>
      <c r="I29" s="60">
        <v>424</v>
      </c>
      <c r="J29" s="60">
        <v>424</v>
      </c>
      <c r="K29" s="60">
        <v>418</v>
      </c>
      <c r="L29" s="60">
        <v>418</v>
      </c>
      <c r="M29" s="60">
        <v>224</v>
      </c>
      <c r="N29" s="60">
        <v>224</v>
      </c>
      <c r="O29" s="60">
        <v>169</v>
      </c>
      <c r="P29" s="60">
        <v>169</v>
      </c>
      <c r="Q29" s="60">
        <v>169</v>
      </c>
      <c r="R29" s="60">
        <v>169</v>
      </c>
      <c r="S29" s="60">
        <v>49</v>
      </c>
      <c r="T29" s="60">
        <v>49</v>
      </c>
      <c r="U29" s="60">
        <v>23</v>
      </c>
      <c r="V29" s="60">
        <v>23</v>
      </c>
    </row>
    <row r="30" spans="1:22" ht="12.75">
      <c r="A30" s="43"/>
      <c r="B30" s="101" t="s">
        <v>65</v>
      </c>
      <c r="C30" s="50"/>
      <c r="D30" s="31"/>
      <c r="E30" s="60"/>
      <c r="F30" s="60"/>
      <c r="G30" s="60"/>
      <c r="H30" s="60"/>
      <c r="I30" s="60">
        <v>11</v>
      </c>
      <c r="J30" s="60">
        <v>11</v>
      </c>
      <c r="K30" s="60">
        <v>3</v>
      </c>
      <c r="L30" s="60">
        <v>3</v>
      </c>
      <c r="M30" s="60">
        <v>2</v>
      </c>
      <c r="N30" s="60">
        <v>2</v>
      </c>
      <c r="O30" s="60"/>
      <c r="P30" s="60"/>
      <c r="Q30" s="60"/>
      <c r="R30" s="60"/>
      <c r="S30" s="60">
        <v>159</v>
      </c>
      <c r="T30" s="60">
        <v>159</v>
      </c>
      <c r="U30" s="60">
        <v>155</v>
      </c>
      <c r="V30" s="60">
        <v>155</v>
      </c>
    </row>
    <row r="31" spans="1:22" ht="12.75">
      <c r="A31" s="43"/>
      <c r="B31" s="17" t="s">
        <v>60</v>
      </c>
      <c r="C31" s="50">
        <v>8</v>
      </c>
      <c r="D31" s="31">
        <v>8</v>
      </c>
      <c r="E31" s="60">
        <v>66</v>
      </c>
      <c r="F31" s="60">
        <v>66</v>
      </c>
      <c r="G31" s="60">
        <v>71</v>
      </c>
      <c r="H31" s="60">
        <v>71</v>
      </c>
      <c r="I31" s="60"/>
      <c r="J31" s="60"/>
      <c r="K31" s="60">
        <v>35</v>
      </c>
      <c r="L31" s="60">
        <v>35</v>
      </c>
      <c r="M31" s="60"/>
      <c r="N31" s="60"/>
      <c r="O31" s="60">
        <v>60</v>
      </c>
      <c r="P31" s="60">
        <v>60</v>
      </c>
      <c r="Q31" s="60">
        <v>80</v>
      </c>
      <c r="R31" s="60">
        <v>80</v>
      </c>
      <c r="S31" s="60">
        <v>80</v>
      </c>
      <c r="T31" s="60">
        <v>80</v>
      </c>
      <c r="U31" s="60"/>
      <c r="V31" s="60"/>
    </row>
    <row r="32" spans="1:22" ht="12.75">
      <c r="A32" s="43"/>
      <c r="B32" s="42" t="s">
        <v>15</v>
      </c>
      <c r="C32" s="60"/>
      <c r="D32" s="31"/>
      <c r="E32" s="60">
        <v>9</v>
      </c>
      <c r="F32" s="60">
        <v>9</v>
      </c>
      <c r="G32" s="60">
        <v>10</v>
      </c>
      <c r="H32" s="60">
        <v>10</v>
      </c>
      <c r="I32" s="60"/>
      <c r="J32" s="60"/>
      <c r="K32" s="60"/>
      <c r="L32" s="60"/>
      <c r="M32" s="60">
        <v>53</v>
      </c>
      <c r="N32" s="60">
        <v>53</v>
      </c>
      <c r="O32" s="60"/>
      <c r="P32" s="60"/>
      <c r="Q32" s="60"/>
      <c r="R32" s="60"/>
      <c r="S32" s="60">
        <v>25</v>
      </c>
      <c r="T32" s="60">
        <v>25</v>
      </c>
      <c r="U32" s="60"/>
      <c r="V32" s="60"/>
    </row>
    <row r="33" spans="1:22" ht="12.75">
      <c r="A33" s="23" t="s">
        <v>76</v>
      </c>
      <c r="B33" s="109"/>
      <c r="C33" s="25">
        <f>SUM(C34:C36)</f>
        <v>612</v>
      </c>
      <c r="D33" s="25">
        <f aca="true" t="shared" si="4" ref="D33:V33">SUM(D34:D36)</f>
        <v>0</v>
      </c>
      <c r="E33" s="25">
        <f t="shared" si="4"/>
        <v>63</v>
      </c>
      <c r="F33" s="25">
        <f t="shared" si="4"/>
        <v>0</v>
      </c>
      <c r="G33" s="25">
        <f t="shared" si="4"/>
        <v>36</v>
      </c>
      <c r="H33" s="25">
        <f t="shared" si="4"/>
        <v>0</v>
      </c>
      <c r="I33" s="25">
        <f t="shared" si="4"/>
        <v>36</v>
      </c>
      <c r="J33" s="25">
        <f t="shared" si="4"/>
        <v>0</v>
      </c>
      <c r="K33" s="25">
        <f t="shared" si="4"/>
        <v>37</v>
      </c>
      <c r="L33" s="25">
        <f t="shared" si="4"/>
        <v>0</v>
      </c>
      <c r="M33" s="25">
        <f t="shared" si="4"/>
        <v>68</v>
      </c>
      <c r="N33" s="25">
        <f t="shared" si="4"/>
        <v>30</v>
      </c>
      <c r="O33" s="25">
        <f t="shared" si="4"/>
        <v>36</v>
      </c>
      <c r="P33" s="25">
        <f t="shared" si="4"/>
        <v>0</v>
      </c>
      <c r="Q33" s="25">
        <f t="shared" si="4"/>
        <v>32</v>
      </c>
      <c r="R33" s="25">
        <f t="shared" si="4"/>
        <v>0</v>
      </c>
      <c r="S33" s="25">
        <f t="shared" si="4"/>
        <v>37</v>
      </c>
      <c r="T33" s="25">
        <f t="shared" si="4"/>
        <v>0</v>
      </c>
      <c r="U33" s="25">
        <f t="shared" si="4"/>
        <v>49</v>
      </c>
      <c r="V33" s="25">
        <f t="shared" si="4"/>
        <v>0</v>
      </c>
    </row>
    <row r="34" spans="1:22" ht="12.75">
      <c r="A34" s="68"/>
      <c r="B34" s="17" t="s">
        <v>12</v>
      </c>
      <c r="C34" s="31">
        <v>552</v>
      </c>
      <c r="D34" s="42"/>
      <c r="E34" s="31"/>
      <c r="F34" s="42"/>
      <c r="G34" s="31"/>
      <c r="H34" s="42"/>
      <c r="I34" s="31"/>
      <c r="J34" s="42"/>
      <c r="K34" s="31"/>
      <c r="L34" s="42"/>
      <c r="M34" s="31"/>
      <c r="N34" s="42"/>
      <c r="O34" s="31"/>
      <c r="P34" s="42"/>
      <c r="Q34" s="31"/>
      <c r="R34" s="42"/>
      <c r="S34" s="31"/>
      <c r="T34" s="42"/>
      <c r="U34" s="31"/>
      <c r="V34" s="42"/>
    </row>
    <row r="35" spans="1:22" ht="12.75">
      <c r="A35" s="68"/>
      <c r="B35" s="17" t="s">
        <v>60</v>
      </c>
      <c r="C35" s="31"/>
      <c r="D35" s="42"/>
      <c r="E35" s="31"/>
      <c r="F35" s="42"/>
      <c r="G35" s="31"/>
      <c r="H35" s="42"/>
      <c r="I35" s="31"/>
      <c r="J35" s="42"/>
      <c r="K35" s="31"/>
      <c r="L35" s="42"/>
      <c r="M35" s="31">
        <v>30</v>
      </c>
      <c r="N35" s="42">
        <v>30</v>
      </c>
      <c r="O35" s="31"/>
      <c r="P35" s="42"/>
      <c r="Q35" s="31"/>
      <c r="R35" s="42"/>
      <c r="S35" s="31"/>
      <c r="T35" s="42"/>
      <c r="U35" s="31"/>
      <c r="V35" s="42"/>
    </row>
    <row r="36" spans="1:22" ht="12.75">
      <c r="A36" s="12"/>
      <c r="B36" s="17" t="s">
        <v>18</v>
      </c>
      <c r="C36" s="19">
        <v>60</v>
      </c>
      <c r="D36" s="17"/>
      <c r="E36" s="19">
        <v>63</v>
      </c>
      <c r="F36" s="17"/>
      <c r="G36" s="19">
        <v>36</v>
      </c>
      <c r="H36" s="17"/>
      <c r="I36" s="19">
        <v>36</v>
      </c>
      <c r="J36" s="17"/>
      <c r="K36" s="19">
        <v>37</v>
      </c>
      <c r="L36" s="17"/>
      <c r="M36" s="19">
        <v>38</v>
      </c>
      <c r="N36" s="17"/>
      <c r="O36" s="19">
        <v>36</v>
      </c>
      <c r="P36" s="17"/>
      <c r="Q36" s="19">
        <v>32</v>
      </c>
      <c r="R36" s="17"/>
      <c r="S36" s="19">
        <v>37</v>
      </c>
      <c r="T36" s="17"/>
      <c r="U36" s="19">
        <v>49</v>
      </c>
      <c r="V36" s="17"/>
    </row>
    <row r="37" spans="1:22" ht="12.75">
      <c r="A37" s="23" t="s">
        <v>117</v>
      </c>
      <c r="B37" s="109"/>
      <c r="C37" s="25">
        <f>+C38</f>
        <v>21</v>
      </c>
      <c r="D37" s="25">
        <f>+D38</f>
        <v>0</v>
      </c>
      <c r="E37" s="25">
        <f>+E38</f>
        <v>33</v>
      </c>
      <c r="F37" s="25">
        <f>+F38</f>
        <v>33</v>
      </c>
      <c r="G37" s="25">
        <f aca="true" t="shared" si="5" ref="G37:V37">+G38</f>
        <v>42</v>
      </c>
      <c r="H37" s="25">
        <f t="shared" si="5"/>
        <v>42</v>
      </c>
      <c r="I37" s="25">
        <f t="shared" si="5"/>
        <v>61</v>
      </c>
      <c r="J37" s="25">
        <f t="shared" si="5"/>
        <v>61</v>
      </c>
      <c r="K37" s="25">
        <f t="shared" si="5"/>
        <v>52</v>
      </c>
      <c r="L37" s="25">
        <f t="shared" si="5"/>
        <v>52</v>
      </c>
      <c r="M37" s="25">
        <f t="shared" si="5"/>
        <v>32</v>
      </c>
      <c r="N37" s="25">
        <f t="shared" si="5"/>
        <v>22</v>
      </c>
      <c r="O37" s="25">
        <f t="shared" si="5"/>
        <v>61</v>
      </c>
      <c r="P37" s="25">
        <f t="shared" si="5"/>
        <v>50</v>
      </c>
      <c r="Q37" s="25">
        <f t="shared" si="5"/>
        <v>50</v>
      </c>
      <c r="R37" s="25">
        <f t="shared" si="5"/>
        <v>45</v>
      </c>
      <c r="S37" s="25">
        <f t="shared" si="5"/>
        <v>94</v>
      </c>
      <c r="T37" s="25">
        <f t="shared" si="5"/>
        <v>89</v>
      </c>
      <c r="U37" s="25">
        <f t="shared" si="5"/>
        <v>71</v>
      </c>
      <c r="V37" s="25">
        <f t="shared" si="5"/>
        <v>65</v>
      </c>
    </row>
    <row r="38" spans="1:22" ht="12.75">
      <c r="A38" s="43"/>
      <c r="B38" s="101" t="s">
        <v>22</v>
      </c>
      <c r="C38" s="21">
        <v>21</v>
      </c>
      <c r="D38" s="38"/>
      <c r="E38" s="19">
        <v>33</v>
      </c>
      <c r="F38" s="17">
        <v>33</v>
      </c>
      <c r="G38" s="19">
        <v>42</v>
      </c>
      <c r="H38" s="17">
        <v>42</v>
      </c>
      <c r="I38" s="19">
        <v>61</v>
      </c>
      <c r="J38" s="17">
        <v>61</v>
      </c>
      <c r="K38" s="19">
        <v>52</v>
      </c>
      <c r="L38" s="17">
        <v>52</v>
      </c>
      <c r="M38" s="19">
        <f>10+22</f>
        <v>32</v>
      </c>
      <c r="N38" s="17">
        <v>22</v>
      </c>
      <c r="O38" s="19">
        <v>61</v>
      </c>
      <c r="P38" s="17">
        <v>50</v>
      </c>
      <c r="Q38" s="19">
        <f>5+45</f>
        <v>50</v>
      </c>
      <c r="R38" s="17">
        <v>45</v>
      </c>
      <c r="S38" s="19">
        <v>94</v>
      </c>
      <c r="T38" s="17">
        <v>89</v>
      </c>
      <c r="U38" s="19">
        <v>71</v>
      </c>
      <c r="V38" s="17">
        <v>65</v>
      </c>
    </row>
    <row r="39" spans="1:22" ht="12.75">
      <c r="A39" s="65" t="s">
        <v>119</v>
      </c>
      <c r="B39" s="107"/>
      <c r="C39" s="89">
        <f aca="true" t="shared" si="6" ref="C39:V39">+C40+C43+C52+C63+C74+C82</f>
        <v>19975</v>
      </c>
      <c r="D39" s="89">
        <f t="shared" si="6"/>
        <v>2323</v>
      </c>
      <c r="E39" s="89">
        <f t="shared" si="6"/>
        <v>23143</v>
      </c>
      <c r="F39" s="89">
        <f t="shared" si="6"/>
        <v>4171</v>
      </c>
      <c r="G39" s="89">
        <f t="shared" si="6"/>
        <v>21389</v>
      </c>
      <c r="H39" s="89">
        <f t="shared" si="6"/>
        <v>4330</v>
      </c>
      <c r="I39" s="89">
        <f t="shared" si="6"/>
        <v>19498</v>
      </c>
      <c r="J39" s="89">
        <f t="shared" si="6"/>
        <v>2854</v>
      </c>
      <c r="K39" s="89">
        <f t="shared" si="6"/>
        <v>20254</v>
      </c>
      <c r="L39" s="89">
        <f t="shared" si="6"/>
        <v>2483</v>
      </c>
      <c r="M39" s="89">
        <f t="shared" si="6"/>
        <v>22091</v>
      </c>
      <c r="N39" s="89">
        <f t="shared" si="6"/>
        <v>4146</v>
      </c>
      <c r="O39" s="89">
        <f t="shared" si="6"/>
        <v>25935</v>
      </c>
      <c r="P39" s="89">
        <f t="shared" si="6"/>
        <v>7500</v>
      </c>
      <c r="Q39" s="89">
        <f t="shared" si="6"/>
        <v>27485</v>
      </c>
      <c r="R39" s="89">
        <f t="shared" si="6"/>
        <v>10183</v>
      </c>
      <c r="S39" s="89">
        <f t="shared" si="6"/>
        <v>27644</v>
      </c>
      <c r="T39" s="89">
        <f t="shared" si="6"/>
        <v>10422</v>
      </c>
      <c r="U39" s="89">
        <f t="shared" si="6"/>
        <v>22256</v>
      </c>
      <c r="V39" s="89">
        <f t="shared" si="6"/>
        <v>6635</v>
      </c>
    </row>
    <row r="40" spans="1:22" ht="12.75">
      <c r="A40" s="23" t="s">
        <v>138</v>
      </c>
      <c r="B40" s="109"/>
      <c r="C40" s="25">
        <f aca="true" t="shared" si="7" ref="C40:T40">+C42</f>
        <v>18</v>
      </c>
      <c r="D40" s="25">
        <f t="shared" si="7"/>
        <v>8</v>
      </c>
      <c r="E40" s="25">
        <f t="shared" si="7"/>
        <v>21</v>
      </c>
      <c r="F40" s="25">
        <f t="shared" si="7"/>
        <v>11</v>
      </c>
      <c r="G40" s="25">
        <f t="shared" si="7"/>
        <v>12</v>
      </c>
      <c r="H40" s="25">
        <f t="shared" si="7"/>
        <v>0</v>
      </c>
      <c r="I40" s="25">
        <f t="shared" si="7"/>
        <v>10</v>
      </c>
      <c r="J40" s="25">
        <f t="shared" si="7"/>
        <v>0</v>
      </c>
      <c r="K40" s="25">
        <f t="shared" si="7"/>
        <v>11</v>
      </c>
      <c r="L40" s="25">
        <f t="shared" si="7"/>
        <v>0</v>
      </c>
      <c r="M40" s="25">
        <f t="shared" si="7"/>
        <v>0</v>
      </c>
      <c r="N40" s="25">
        <f t="shared" si="7"/>
        <v>0</v>
      </c>
      <c r="O40" s="25">
        <f t="shared" si="7"/>
        <v>0</v>
      </c>
      <c r="P40" s="25">
        <f t="shared" si="7"/>
        <v>0</v>
      </c>
      <c r="Q40" s="25">
        <f t="shared" si="7"/>
        <v>0</v>
      </c>
      <c r="R40" s="25">
        <f t="shared" si="7"/>
        <v>0</v>
      </c>
      <c r="S40" s="25">
        <f t="shared" si="7"/>
        <v>0</v>
      </c>
      <c r="T40" s="25">
        <f t="shared" si="7"/>
        <v>0</v>
      </c>
      <c r="U40" s="25">
        <f>SUM(U41:U42)</f>
        <v>18</v>
      </c>
      <c r="V40" s="25">
        <f>SUM(V41:V42)</f>
        <v>18</v>
      </c>
    </row>
    <row r="41" spans="1:22" s="33" customFormat="1" ht="12.75">
      <c r="A41" s="43"/>
      <c r="B41" s="103" t="s">
        <v>58</v>
      </c>
      <c r="C41" s="30"/>
      <c r="D41" s="39"/>
      <c r="E41" s="30"/>
      <c r="F41" s="39"/>
      <c r="G41" s="30"/>
      <c r="H41" s="39"/>
      <c r="I41" s="30"/>
      <c r="J41" s="39"/>
      <c r="K41" s="30"/>
      <c r="L41" s="39"/>
      <c r="M41" s="30"/>
      <c r="N41" s="39"/>
      <c r="O41" s="30"/>
      <c r="P41" s="39"/>
      <c r="Q41" s="30"/>
      <c r="R41" s="39"/>
      <c r="S41" s="30"/>
      <c r="T41" s="39"/>
      <c r="U41" s="30">
        <v>18</v>
      </c>
      <c r="V41" s="39">
        <v>18</v>
      </c>
    </row>
    <row r="42" spans="1:22" ht="12.75">
      <c r="A42" s="43"/>
      <c r="B42" s="101" t="s">
        <v>57</v>
      </c>
      <c r="C42" s="30">
        <f>8+10</f>
        <v>18</v>
      </c>
      <c r="D42" s="39">
        <v>8</v>
      </c>
      <c r="E42" s="30">
        <f>11+10</f>
        <v>21</v>
      </c>
      <c r="F42" s="39">
        <v>11</v>
      </c>
      <c r="G42" s="30">
        <v>12</v>
      </c>
      <c r="H42" s="39"/>
      <c r="I42" s="30">
        <v>10</v>
      </c>
      <c r="J42" s="39"/>
      <c r="K42" s="30">
        <v>11</v>
      </c>
      <c r="L42" s="39"/>
      <c r="M42" s="30"/>
      <c r="N42" s="39"/>
      <c r="O42" s="30"/>
      <c r="P42" s="39"/>
      <c r="Q42" s="30"/>
      <c r="R42" s="39"/>
      <c r="S42" s="30"/>
      <c r="T42" s="39"/>
      <c r="U42" s="30"/>
      <c r="V42" s="39"/>
    </row>
    <row r="43" spans="1:22" ht="12.75">
      <c r="A43" s="23" t="s">
        <v>120</v>
      </c>
      <c r="B43" s="109"/>
      <c r="C43" s="25">
        <f aca="true" t="shared" si="8" ref="C43:T43">SUM(C44:C51)</f>
        <v>854</v>
      </c>
      <c r="D43" s="25">
        <f t="shared" si="8"/>
        <v>137</v>
      </c>
      <c r="E43" s="25">
        <f t="shared" si="8"/>
        <v>735</v>
      </c>
      <c r="F43" s="25">
        <f t="shared" si="8"/>
        <v>1</v>
      </c>
      <c r="G43" s="25">
        <f t="shared" si="8"/>
        <v>760</v>
      </c>
      <c r="H43" s="25">
        <f t="shared" si="8"/>
        <v>1</v>
      </c>
      <c r="I43" s="25">
        <f t="shared" si="8"/>
        <v>1282</v>
      </c>
      <c r="J43" s="25">
        <f t="shared" si="8"/>
        <v>601</v>
      </c>
      <c r="K43" s="25">
        <f t="shared" si="8"/>
        <v>1048</v>
      </c>
      <c r="L43" s="25">
        <f t="shared" si="8"/>
        <v>500</v>
      </c>
      <c r="M43" s="25">
        <f t="shared" si="8"/>
        <v>3183</v>
      </c>
      <c r="N43" s="25">
        <f t="shared" si="8"/>
        <v>1964</v>
      </c>
      <c r="O43" s="25">
        <f t="shared" si="8"/>
        <v>2530</v>
      </c>
      <c r="P43" s="25">
        <f t="shared" si="8"/>
        <v>1327</v>
      </c>
      <c r="Q43" s="25">
        <f t="shared" si="8"/>
        <v>2457</v>
      </c>
      <c r="R43" s="25">
        <f t="shared" si="8"/>
        <v>1265</v>
      </c>
      <c r="S43" s="25">
        <f t="shared" si="8"/>
        <v>1827</v>
      </c>
      <c r="T43" s="25">
        <f t="shared" si="8"/>
        <v>661</v>
      </c>
      <c r="U43" s="25">
        <f>SUM(U44:U51)</f>
        <v>2302</v>
      </c>
      <c r="V43" s="25">
        <f>SUM(V44:V51)</f>
        <v>1120</v>
      </c>
    </row>
    <row r="44" spans="1:22" s="33" customFormat="1" ht="12.75">
      <c r="A44" s="43"/>
      <c r="B44" s="42" t="s">
        <v>15</v>
      </c>
      <c r="C44" s="30">
        <v>31</v>
      </c>
      <c r="D44" s="39">
        <v>31</v>
      </c>
      <c r="E44" s="30"/>
      <c r="F44" s="39"/>
      <c r="G44" s="30"/>
      <c r="H44" s="39"/>
      <c r="I44" s="30"/>
      <c r="J44" s="39"/>
      <c r="K44" s="30"/>
      <c r="L44" s="39"/>
      <c r="M44" s="30">
        <v>65</v>
      </c>
      <c r="N44" s="39">
        <v>65</v>
      </c>
      <c r="O44" s="30"/>
      <c r="P44" s="39"/>
      <c r="Q44" s="30"/>
      <c r="R44" s="39"/>
      <c r="S44" s="30"/>
      <c r="T44" s="39"/>
      <c r="U44" s="30"/>
      <c r="V44" s="39"/>
    </row>
    <row r="45" spans="1:22" s="33" customFormat="1" ht="12.75">
      <c r="A45" s="43"/>
      <c r="B45" s="101" t="s">
        <v>57</v>
      </c>
      <c r="C45" s="30"/>
      <c r="D45" s="39"/>
      <c r="E45" s="30"/>
      <c r="F45" s="39"/>
      <c r="G45" s="30"/>
      <c r="H45" s="39"/>
      <c r="I45" s="30"/>
      <c r="J45" s="39"/>
      <c r="K45" s="30"/>
      <c r="L45" s="39"/>
      <c r="M45" s="30">
        <v>1446</v>
      </c>
      <c r="N45" s="39">
        <v>1446</v>
      </c>
      <c r="O45" s="30">
        <v>927</v>
      </c>
      <c r="P45" s="39">
        <v>927</v>
      </c>
      <c r="Q45" s="30">
        <v>1015</v>
      </c>
      <c r="R45" s="39">
        <v>1015</v>
      </c>
      <c r="S45" s="30">
        <v>661</v>
      </c>
      <c r="T45" s="39">
        <v>661</v>
      </c>
      <c r="U45" s="30">
        <v>1055</v>
      </c>
      <c r="V45" s="39">
        <v>1055</v>
      </c>
    </row>
    <row r="46" spans="1:22" ht="12.75">
      <c r="A46" s="43"/>
      <c r="B46" s="42" t="s">
        <v>60</v>
      </c>
      <c r="C46" s="30">
        <v>106</v>
      </c>
      <c r="D46" s="39">
        <v>106</v>
      </c>
      <c r="E46" s="30"/>
      <c r="F46" s="39"/>
      <c r="G46" s="30">
        <v>136</v>
      </c>
      <c r="H46" s="39"/>
      <c r="I46" s="30">
        <v>220</v>
      </c>
      <c r="J46" s="39">
        <v>220</v>
      </c>
      <c r="K46" s="30">
        <v>500</v>
      </c>
      <c r="L46" s="39">
        <v>500</v>
      </c>
      <c r="M46" s="30">
        <v>250</v>
      </c>
      <c r="N46" s="39">
        <v>250</v>
      </c>
      <c r="O46" s="30">
        <v>400</v>
      </c>
      <c r="P46" s="39">
        <v>400</v>
      </c>
      <c r="Q46" s="30">
        <v>250</v>
      </c>
      <c r="R46" s="39">
        <v>250</v>
      </c>
      <c r="S46" s="30"/>
      <c r="T46" s="39"/>
      <c r="U46" s="30"/>
      <c r="V46" s="39"/>
    </row>
    <row r="47" spans="1:22" s="33" customFormat="1" ht="12.75">
      <c r="A47" s="43"/>
      <c r="B47" s="101" t="s">
        <v>59</v>
      </c>
      <c r="C47" s="30"/>
      <c r="D47" s="39"/>
      <c r="E47" s="30"/>
      <c r="F47" s="39"/>
      <c r="G47" s="30"/>
      <c r="H47" s="39"/>
      <c r="I47" s="30"/>
      <c r="J47" s="39"/>
      <c r="K47" s="30"/>
      <c r="L47" s="39"/>
      <c r="M47" s="30">
        <v>46</v>
      </c>
      <c r="N47" s="39">
        <v>46</v>
      </c>
      <c r="O47" s="30"/>
      <c r="P47" s="39"/>
      <c r="Q47" s="30"/>
      <c r="R47" s="39"/>
      <c r="S47" s="30"/>
      <c r="T47" s="39"/>
      <c r="U47" s="30"/>
      <c r="V47" s="39"/>
    </row>
    <row r="48" spans="1:22" s="33" customFormat="1" ht="12.75">
      <c r="A48" s="43"/>
      <c r="B48" s="101" t="s">
        <v>95</v>
      </c>
      <c r="C48" s="30"/>
      <c r="D48" s="39"/>
      <c r="E48" s="30"/>
      <c r="F48" s="39"/>
      <c r="G48" s="30"/>
      <c r="H48" s="39"/>
      <c r="I48" s="30"/>
      <c r="J48" s="39"/>
      <c r="K48" s="30"/>
      <c r="L48" s="39"/>
      <c r="M48" s="30">
        <f>131+19</f>
        <v>150</v>
      </c>
      <c r="N48" s="39">
        <f>131+19</f>
        <v>150</v>
      </c>
      <c r="O48" s="30"/>
      <c r="P48" s="39"/>
      <c r="Q48" s="30"/>
      <c r="R48" s="39"/>
      <c r="S48" s="30"/>
      <c r="T48" s="39"/>
      <c r="U48" s="30"/>
      <c r="V48" s="39"/>
    </row>
    <row r="49" spans="1:22" ht="12.75">
      <c r="A49" s="43"/>
      <c r="B49" s="103" t="s">
        <v>58</v>
      </c>
      <c r="C49" s="30"/>
      <c r="D49" s="39"/>
      <c r="E49" s="30">
        <v>1</v>
      </c>
      <c r="F49" s="39">
        <v>1</v>
      </c>
      <c r="G49" s="30">
        <v>1</v>
      </c>
      <c r="H49" s="39">
        <v>1</v>
      </c>
      <c r="I49" s="30">
        <v>103</v>
      </c>
      <c r="J49" s="39">
        <v>103</v>
      </c>
      <c r="K49" s="30"/>
      <c r="L49" s="39"/>
      <c r="M49" s="30"/>
      <c r="N49" s="39"/>
      <c r="O49" s="30"/>
      <c r="P49" s="39"/>
      <c r="Q49" s="30"/>
      <c r="R49" s="39"/>
      <c r="S49" s="30"/>
      <c r="T49" s="39"/>
      <c r="U49" s="30">
        <v>65</v>
      </c>
      <c r="V49" s="39">
        <v>65</v>
      </c>
    </row>
    <row r="50" spans="1:22" ht="12.75">
      <c r="A50" s="43"/>
      <c r="B50" s="103" t="s">
        <v>93</v>
      </c>
      <c r="C50" s="30"/>
      <c r="D50" s="39"/>
      <c r="E50" s="30"/>
      <c r="F50" s="39"/>
      <c r="G50" s="30"/>
      <c r="H50" s="39"/>
      <c r="I50" s="30">
        <v>278</v>
      </c>
      <c r="J50" s="39">
        <v>278</v>
      </c>
      <c r="K50" s="30"/>
      <c r="L50" s="39"/>
      <c r="M50" s="30">
        <v>7</v>
      </c>
      <c r="N50" s="39">
        <v>7</v>
      </c>
      <c r="O50" s="30"/>
      <c r="P50" s="39"/>
      <c r="Q50" s="30"/>
      <c r="R50" s="39"/>
      <c r="S50" s="30"/>
      <c r="T50" s="39"/>
      <c r="U50" s="30"/>
      <c r="V50" s="39"/>
    </row>
    <row r="51" spans="1:22" ht="12.75">
      <c r="A51" s="47"/>
      <c r="B51" s="110" t="s">
        <v>69</v>
      </c>
      <c r="C51" s="73">
        <f>7+710</f>
        <v>717</v>
      </c>
      <c r="D51" s="32"/>
      <c r="E51" s="73">
        <v>734</v>
      </c>
      <c r="F51" s="73"/>
      <c r="G51" s="73">
        <v>623</v>
      </c>
      <c r="H51" s="73"/>
      <c r="I51" s="73">
        <v>681</v>
      </c>
      <c r="J51" s="73"/>
      <c r="K51" s="73">
        <v>548</v>
      </c>
      <c r="L51" s="73"/>
      <c r="M51" s="73">
        <v>1219</v>
      </c>
      <c r="N51" s="73"/>
      <c r="O51" s="73">
        <v>1203</v>
      </c>
      <c r="P51" s="73"/>
      <c r="Q51" s="73">
        <v>1192</v>
      </c>
      <c r="R51" s="73"/>
      <c r="S51" s="73">
        <v>1166</v>
      </c>
      <c r="T51" s="73"/>
      <c r="U51" s="73">
        <v>1182</v>
      </c>
      <c r="V51" s="73"/>
    </row>
    <row r="52" spans="1:22" ht="12.75">
      <c r="A52" s="64" t="s">
        <v>121</v>
      </c>
      <c r="B52" s="100"/>
      <c r="C52" s="28">
        <f aca="true" t="shared" si="9" ref="C52:T52">SUM(C53:C62)</f>
        <v>813</v>
      </c>
      <c r="D52" s="28">
        <f t="shared" si="9"/>
        <v>0</v>
      </c>
      <c r="E52" s="28">
        <f t="shared" si="9"/>
        <v>912</v>
      </c>
      <c r="F52" s="28">
        <f t="shared" si="9"/>
        <v>151</v>
      </c>
      <c r="G52" s="28">
        <f t="shared" si="9"/>
        <v>1041</v>
      </c>
      <c r="H52" s="28">
        <f t="shared" si="9"/>
        <v>478</v>
      </c>
      <c r="I52" s="28">
        <f t="shared" si="9"/>
        <v>1025</v>
      </c>
      <c r="J52" s="28">
        <f t="shared" si="9"/>
        <v>341</v>
      </c>
      <c r="K52" s="28">
        <f t="shared" si="9"/>
        <v>1475</v>
      </c>
      <c r="L52" s="28">
        <f t="shared" si="9"/>
        <v>675</v>
      </c>
      <c r="M52" s="28">
        <f t="shared" si="9"/>
        <v>1305</v>
      </c>
      <c r="N52" s="28">
        <f t="shared" si="9"/>
        <v>560</v>
      </c>
      <c r="O52" s="28">
        <f t="shared" si="9"/>
        <v>1389</v>
      </c>
      <c r="P52" s="28">
        <f t="shared" si="9"/>
        <v>737</v>
      </c>
      <c r="Q52" s="28">
        <f t="shared" si="9"/>
        <v>1119</v>
      </c>
      <c r="R52" s="28">
        <f t="shared" si="9"/>
        <v>455</v>
      </c>
      <c r="S52" s="28">
        <f t="shared" si="9"/>
        <v>1025</v>
      </c>
      <c r="T52" s="28">
        <f t="shared" si="9"/>
        <v>510</v>
      </c>
      <c r="U52" s="28">
        <f>SUM(U53:U62)</f>
        <v>2870</v>
      </c>
      <c r="V52" s="28">
        <f>SUM(V53:V62)</f>
        <v>2082</v>
      </c>
    </row>
    <row r="53" spans="1:22" ht="12.75">
      <c r="A53" s="43"/>
      <c r="B53" s="101" t="s">
        <v>95</v>
      </c>
      <c r="C53" s="31"/>
      <c r="D53" s="31"/>
      <c r="E53" s="31"/>
      <c r="F53" s="31"/>
      <c r="G53" s="31">
        <v>259</v>
      </c>
      <c r="H53" s="31">
        <v>259</v>
      </c>
      <c r="I53" s="31">
        <v>8</v>
      </c>
      <c r="J53" s="31">
        <v>8</v>
      </c>
      <c r="K53" s="31">
        <v>36</v>
      </c>
      <c r="L53" s="31">
        <v>36</v>
      </c>
      <c r="M53" s="31">
        <v>42</v>
      </c>
      <c r="N53" s="31"/>
      <c r="O53" s="31">
        <v>68</v>
      </c>
      <c r="P53" s="31">
        <v>68</v>
      </c>
      <c r="Q53" s="31">
        <v>67</v>
      </c>
      <c r="R53" s="31">
        <v>67</v>
      </c>
      <c r="S53" s="31">
        <v>189</v>
      </c>
      <c r="T53" s="31">
        <v>189</v>
      </c>
      <c r="U53" s="31">
        <v>4</v>
      </c>
      <c r="V53" s="31">
        <v>4</v>
      </c>
    </row>
    <row r="54" spans="1:22" ht="12.75">
      <c r="A54" s="43"/>
      <c r="B54" s="101" t="s">
        <v>59</v>
      </c>
      <c r="C54" s="31"/>
      <c r="D54" s="31"/>
      <c r="E54" s="31"/>
      <c r="F54" s="31"/>
      <c r="G54" s="31"/>
      <c r="H54" s="31"/>
      <c r="I54" s="31">
        <v>5</v>
      </c>
      <c r="J54" s="31">
        <v>5</v>
      </c>
      <c r="K54" s="31">
        <v>5</v>
      </c>
      <c r="L54" s="31">
        <v>5</v>
      </c>
      <c r="M54" s="31">
        <v>5</v>
      </c>
      <c r="N54" s="31">
        <v>5</v>
      </c>
      <c r="O54" s="31">
        <v>6</v>
      </c>
      <c r="P54" s="31">
        <v>6</v>
      </c>
      <c r="Q54" s="31">
        <v>5</v>
      </c>
      <c r="R54" s="31">
        <v>5</v>
      </c>
      <c r="S54" s="31">
        <v>5</v>
      </c>
      <c r="T54" s="31">
        <v>5</v>
      </c>
      <c r="U54" s="31">
        <v>151</v>
      </c>
      <c r="V54" s="31">
        <v>151</v>
      </c>
    </row>
    <row r="55" spans="1:22" ht="12.75">
      <c r="A55" s="43"/>
      <c r="B55" s="42" t="s">
        <v>15</v>
      </c>
      <c r="C55" s="31"/>
      <c r="D55" s="31"/>
      <c r="E55" s="31">
        <v>16</v>
      </c>
      <c r="F55" s="31">
        <v>16</v>
      </c>
      <c r="G55" s="31">
        <v>32</v>
      </c>
      <c r="H55" s="31">
        <v>32</v>
      </c>
      <c r="I55" s="31">
        <v>12</v>
      </c>
      <c r="J55" s="31">
        <v>12</v>
      </c>
      <c r="K55" s="31">
        <v>19</v>
      </c>
      <c r="L55" s="31">
        <v>19</v>
      </c>
      <c r="M55" s="31">
        <v>20</v>
      </c>
      <c r="N55" s="31">
        <v>20</v>
      </c>
      <c r="O55" s="31">
        <v>15</v>
      </c>
      <c r="P55" s="31">
        <v>15</v>
      </c>
      <c r="Q55" s="31">
        <v>44</v>
      </c>
      <c r="R55" s="31">
        <v>44</v>
      </c>
      <c r="S55" s="31">
        <v>10</v>
      </c>
      <c r="T55" s="31">
        <v>10</v>
      </c>
      <c r="U55" s="31">
        <v>1064</v>
      </c>
      <c r="V55" s="31">
        <v>1064</v>
      </c>
    </row>
    <row r="56" spans="1:22" ht="12.75">
      <c r="A56" s="43"/>
      <c r="B56" s="101" t="s">
        <v>65</v>
      </c>
      <c r="C56" s="31"/>
      <c r="D56" s="31"/>
      <c r="E56" s="31"/>
      <c r="F56" s="31"/>
      <c r="G56" s="31">
        <v>14</v>
      </c>
      <c r="H56" s="31">
        <v>14</v>
      </c>
      <c r="I56" s="31"/>
      <c r="J56" s="31"/>
      <c r="K56" s="31"/>
      <c r="L56" s="31"/>
      <c r="M56" s="31">
        <v>9</v>
      </c>
      <c r="N56" s="31">
        <v>9</v>
      </c>
      <c r="O56" s="31"/>
      <c r="P56" s="31"/>
      <c r="Q56" s="31">
        <v>25</v>
      </c>
      <c r="R56" s="31">
        <v>25</v>
      </c>
      <c r="S56" s="31"/>
      <c r="T56" s="31"/>
      <c r="U56" s="31">
        <v>286</v>
      </c>
      <c r="V56" s="31">
        <v>286</v>
      </c>
    </row>
    <row r="57" spans="1:22" ht="12.75">
      <c r="A57" s="43"/>
      <c r="B57" s="42" t="s">
        <v>67</v>
      </c>
      <c r="C57" s="60">
        <v>742</v>
      </c>
      <c r="D57" s="31"/>
      <c r="E57" s="60">
        <v>689</v>
      </c>
      <c r="F57" s="60"/>
      <c r="G57" s="60">
        <v>501</v>
      </c>
      <c r="H57" s="60"/>
      <c r="I57" s="60">
        <v>571</v>
      </c>
      <c r="J57" s="60"/>
      <c r="K57" s="60">
        <v>721</v>
      </c>
      <c r="L57" s="60"/>
      <c r="M57" s="60">
        <v>562</v>
      </c>
      <c r="N57" s="60"/>
      <c r="O57" s="60">
        <v>511</v>
      </c>
      <c r="P57" s="60"/>
      <c r="Q57" s="60">
        <v>559</v>
      </c>
      <c r="R57" s="60"/>
      <c r="S57" s="60">
        <v>356</v>
      </c>
      <c r="T57" s="60"/>
      <c r="U57" s="60">
        <v>692</v>
      </c>
      <c r="V57" s="60"/>
    </row>
    <row r="58" spans="1:22" ht="12.75">
      <c r="A58" s="43"/>
      <c r="B58" s="101" t="s">
        <v>16</v>
      </c>
      <c r="C58" s="31"/>
      <c r="D58" s="31"/>
      <c r="E58" s="31"/>
      <c r="F58" s="31"/>
      <c r="G58" s="31">
        <v>79</v>
      </c>
      <c r="H58" s="31">
        <v>79</v>
      </c>
      <c r="I58" s="31">
        <v>204</v>
      </c>
      <c r="J58" s="31">
        <v>204</v>
      </c>
      <c r="K58" s="31">
        <v>300</v>
      </c>
      <c r="L58" s="31">
        <v>300</v>
      </c>
      <c r="M58" s="31">
        <v>145</v>
      </c>
      <c r="N58" s="31">
        <v>145</v>
      </c>
      <c r="O58" s="31">
        <v>117</v>
      </c>
      <c r="P58" s="31">
        <v>117</v>
      </c>
      <c r="Q58" s="31">
        <f>12+11</f>
        <v>23</v>
      </c>
      <c r="R58" s="31">
        <f>12+11</f>
        <v>23</v>
      </c>
      <c r="S58" s="31">
        <f>7+100</f>
        <v>107</v>
      </c>
      <c r="T58" s="31">
        <f>7+100</f>
        <v>107</v>
      </c>
      <c r="U58" s="31">
        <f>6+434</f>
        <v>440</v>
      </c>
      <c r="V58" s="31">
        <f>6+434</f>
        <v>440</v>
      </c>
    </row>
    <row r="59" spans="1:22" ht="12.75">
      <c r="A59" s="43"/>
      <c r="B59" s="101" t="s">
        <v>93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>
        <v>26</v>
      </c>
      <c r="P59" s="31">
        <v>26</v>
      </c>
      <c r="Q59" s="31">
        <v>11</v>
      </c>
      <c r="R59" s="31">
        <v>11</v>
      </c>
      <c r="S59" s="31">
        <f>3+1</f>
        <v>4</v>
      </c>
      <c r="T59" s="31">
        <v>1</v>
      </c>
      <c r="U59" s="31">
        <v>2</v>
      </c>
      <c r="V59" s="31"/>
    </row>
    <row r="60" spans="1:22" ht="12.75">
      <c r="A60" s="43"/>
      <c r="B60" s="103" t="s">
        <v>58</v>
      </c>
      <c r="C60" s="31">
        <v>71</v>
      </c>
      <c r="D60" s="31"/>
      <c r="E60" s="31">
        <v>72</v>
      </c>
      <c r="F60" s="31"/>
      <c r="G60" s="31">
        <v>62</v>
      </c>
      <c r="H60" s="31"/>
      <c r="I60" s="31">
        <v>74</v>
      </c>
      <c r="J60" s="31"/>
      <c r="K60" s="31">
        <v>60</v>
      </c>
      <c r="L60" s="31"/>
      <c r="M60" s="31">
        <f>10+121</f>
        <v>131</v>
      </c>
      <c r="N60" s="31">
        <v>10</v>
      </c>
      <c r="O60" s="31">
        <f>6+104</f>
        <v>110</v>
      </c>
      <c r="P60" s="31">
        <v>6</v>
      </c>
      <c r="Q60" s="31">
        <f>91+4</f>
        <v>95</v>
      </c>
      <c r="R60" s="31">
        <v>4</v>
      </c>
      <c r="S60" s="31">
        <f>145+14</f>
        <v>159</v>
      </c>
      <c r="T60" s="31">
        <v>14</v>
      </c>
      <c r="U60" s="31">
        <f>83+35</f>
        <v>118</v>
      </c>
      <c r="V60" s="31">
        <v>35</v>
      </c>
    </row>
    <row r="61" spans="1:22" ht="12.75">
      <c r="A61" s="43"/>
      <c r="B61" s="17" t="s">
        <v>60</v>
      </c>
      <c r="C61" s="31"/>
      <c r="D61" s="31"/>
      <c r="E61" s="31">
        <v>135</v>
      </c>
      <c r="F61" s="31">
        <v>135</v>
      </c>
      <c r="G61" s="31">
        <v>68</v>
      </c>
      <c r="H61" s="31">
        <v>68</v>
      </c>
      <c r="I61" s="31">
        <f>39+112</f>
        <v>151</v>
      </c>
      <c r="J61" s="31">
        <v>112</v>
      </c>
      <c r="K61" s="31">
        <f>19+265+50</f>
        <v>334</v>
      </c>
      <c r="L61" s="31">
        <f>265+50</f>
        <v>315</v>
      </c>
      <c r="M61" s="31">
        <f>15+271+100</f>
        <v>386</v>
      </c>
      <c r="N61" s="31">
        <f>271+100</f>
        <v>371</v>
      </c>
      <c r="O61" s="31">
        <f>37+299+200</f>
        <v>536</v>
      </c>
      <c r="P61" s="31">
        <f>299+200</f>
        <v>499</v>
      </c>
      <c r="Q61" s="31">
        <f>14+176+100</f>
        <v>290</v>
      </c>
      <c r="R61" s="31">
        <f>176+100</f>
        <v>276</v>
      </c>
      <c r="S61" s="31">
        <f>11+184</f>
        <v>195</v>
      </c>
      <c r="T61" s="31">
        <v>184</v>
      </c>
      <c r="U61" s="31">
        <f>11+102</f>
        <v>113</v>
      </c>
      <c r="V61" s="31">
        <v>102</v>
      </c>
    </row>
    <row r="62" spans="1:22" ht="12.75">
      <c r="A62" s="47"/>
      <c r="B62" s="102" t="s">
        <v>96</v>
      </c>
      <c r="C62" s="32"/>
      <c r="D62" s="32"/>
      <c r="E62" s="32"/>
      <c r="F62" s="32"/>
      <c r="G62" s="32">
        <v>26</v>
      </c>
      <c r="H62" s="32">
        <v>26</v>
      </c>
      <c r="I62" s="32"/>
      <c r="J62" s="32"/>
      <c r="K62" s="32"/>
      <c r="L62" s="32"/>
      <c r="M62" s="32">
        <v>5</v>
      </c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2.75">
      <c r="A63" s="64" t="s">
        <v>122</v>
      </c>
      <c r="B63" s="112"/>
      <c r="C63" s="28">
        <f aca="true" t="shared" si="10" ref="C63:T63">SUM(C64:C73)</f>
        <v>3939</v>
      </c>
      <c r="D63" s="28">
        <f t="shared" si="10"/>
        <v>0</v>
      </c>
      <c r="E63" s="28">
        <f t="shared" si="10"/>
        <v>5042</v>
      </c>
      <c r="F63" s="28">
        <f t="shared" si="10"/>
        <v>137</v>
      </c>
      <c r="G63" s="28">
        <f t="shared" si="10"/>
        <v>5137</v>
      </c>
      <c r="H63" s="28">
        <f t="shared" si="10"/>
        <v>1274</v>
      </c>
      <c r="I63" s="28">
        <f t="shared" si="10"/>
        <v>4063</v>
      </c>
      <c r="J63" s="28">
        <f t="shared" si="10"/>
        <v>952</v>
      </c>
      <c r="K63" s="28">
        <f t="shared" si="10"/>
        <v>4265</v>
      </c>
      <c r="L63" s="28">
        <f t="shared" si="10"/>
        <v>40</v>
      </c>
      <c r="M63" s="28">
        <f t="shared" si="10"/>
        <v>3841</v>
      </c>
      <c r="N63" s="28">
        <f t="shared" si="10"/>
        <v>139</v>
      </c>
      <c r="O63" s="28">
        <f t="shared" si="10"/>
        <v>7273</v>
      </c>
      <c r="P63" s="28">
        <f t="shared" si="10"/>
        <v>4361</v>
      </c>
      <c r="Q63" s="28">
        <f t="shared" si="10"/>
        <v>9729</v>
      </c>
      <c r="R63" s="28">
        <f t="shared" si="10"/>
        <v>7127</v>
      </c>
      <c r="S63" s="28">
        <f t="shared" si="10"/>
        <v>10191</v>
      </c>
      <c r="T63" s="28">
        <f t="shared" si="10"/>
        <v>8025</v>
      </c>
      <c r="U63" s="28">
        <f>SUM(U64:U73)</f>
        <v>4849</v>
      </c>
      <c r="V63" s="28">
        <f>SUM(V64:V73)</f>
        <v>2289</v>
      </c>
    </row>
    <row r="64" spans="1:22" ht="12.75">
      <c r="A64" s="43"/>
      <c r="B64" s="103" t="s">
        <v>58</v>
      </c>
      <c r="C64" s="31">
        <v>32</v>
      </c>
      <c r="D64" s="50"/>
      <c r="E64" s="31">
        <v>10</v>
      </c>
      <c r="F64" s="50"/>
      <c r="G64" s="31">
        <v>2</v>
      </c>
      <c r="H64" s="50"/>
      <c r="I64" s="31"/>
      <c r="J64" s="50"/>
      <c r="K64" s="31"/>
      <c r="L64" s="50"/>
      <c r="M64" s="31"/>
      <c r="N64" s="50"/>
      <c r="O64" s="31">
        <v>21</v>
      </c>
      <c r="P64" s="50">
        <v>21</v>
      </c>
      <c r="Q64" s="31"/>
      <c r="R64" s="50"/>
      <c r="S64" s="31"/>
      <c r="T64" s="50"/>
      <c r="U64" s="31"/>
      <c r="V64" s="50"/>
    </row>
    <row r="65" spans="1:22" ht="12.75">
      <c r="A65" s="43"/>
      <c r="B65" s="101" t="s">
        <v>57</v>
      </c>
      <c r="C65" s="31">
        <v>1</v>
      </c>
      <c r="D65" s="50"/>
      <c r="E65" s="31">
        <v>1</v>
      </c>
      <c r="F65" s="50"/>
      <c r="G65" s="31">
        <v>1</v>
      </c>
      <c r="H65" s="50"/>
      <c r="I65" s="31">
        <v>1</v>
      </c>
      <c r="J65" s="50"/>
      <c r="K65" s="31">
        <v>1</v>
      </c>
      <c r="L65" s="50"/>
      <c r="M65" s="31">
        <v>1</v>
      </c>
      <c r="N65" s="50"/>
      <c r="O65" s="31">
        <v>1</v>
      </c>
      <c r="P65" s="50"/>
      <c r="Q65" s="31">
        <v>1</v>
      </c>
      <c r="R65" s="50"/>
      <c r="S65" s="31">
        <v>1</v>
      </c>
      <c r="T65" s="50"/>
      <c r="U65" s="31"/>
      <c r="V65" s="50"/>
    </row>
    <row r="66" spans="1:22" ht="12.75">
      <c r="A66" s="43"/>
      <c r="B66" s="101" t="s">
        <v>93</v>
      </c>
      <c r="C66" s="31"/>
      <c r="D66" s="50"/>
      <c r="E66" s="31"/>
      <c r="F66" s="50"/>
      <c r="G66" s="31"/>
      <c r="H66" s="50"/>
      <c r="I66" s="31"/>
      <c r="J66" s="50"/>
      <c r="K66" s="31">
        <v>7</v>
      </c>
      <c r="L66" s="50"/>
      <c r="M66" s="31">
        <v>31</v>
      </c>
      <c r="N66" s="50"/>
      <c r="O66" s="31">
        <v>22</v>
      </c>
      <c r="P66" s="50"/>
      <c r="Q66" s="31">
        <v>48</v>
      </c>
      <c r="R66" s="50"/>
      <c r="S66" s="31">
        <v>22</v>
      </c>
      <c r="T66" s="50"/>
      <c r="U66" s="31">
        <v>20</v>
      </c>
      <c r="V66" s="50"/>
    </row>
    <row r="67" spans="1:22" ht="12.75">
      <c r="A67" s="43"/>
      <c r="B67" s="101" t="s">
        <v>110</v>
      </c>
      <c r="C67" s="31">
        <f>3435-3434-1</f>
        <v>0</v>
      </c>
      <c r="D67" s="31">
        <f>3435-3434-1</f>
        <v>0</v>
      </c>
      <c r="E67" s="31">
        <v>137</v>
      </c>
      <c r="F67" s="31">
        <v>137</v>
      </c>
      <c r="G67" s="31">
        <f>401+10</f>
        <v>411</v>
      </c>
      <c r="H67" s="31">
        <f>88+313</f>
        <v>401</v>
      </c>
      <c r="I67" s="31">
        <v>172</v>
      </c>
      <c r="J67" s="31">
        <v>172</v>
      </c>
      <c r="K67" s="31"/>
      <c r="L67" s="31"/>
      <c r="M67" s="31"/>
      <c r="N67" s="31"/>
      <c r="O67" s="31"/>
      <c r="P67" s="31"/>
      <c r="Q67" s="31">
        <v>1232</v>
      </c>
      <c r="R67" s="31">
        <v>1232</v>
      </c>
      <c r="S67" s="31">
        <v>1325</v>
      </c>
      <c r="T67" s="31">
        <v>1325</v>
      </c>
      <c r="U67" s="31">
        <v>603</v>
      </c>
      <c r="V67" s="31">
        <v>603</v>
      </c>
    </row>
    <row r="68" spans="1:22" ht="12.75">
      <c r="A68" s="43"/>
      <c r="B68" s="101" t="s">
        <v>111</v>
      </c>
      <c r="C68" s="31">
        <f>34206-34206</f>
        <v>0</v>
      </c>
      <c r="D68" s="31">
        <f>34206-34206</f>
        <v>0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>
        <v>4200</v>
      </c>
      <c r="P68" s="31">
        <v>4200</v>
      </c>
      <c r="Q68" s="31"/>
      <c r="R68" s="31"/>
      <c r="S68" s="31"/>
      <c r="T68" s="31"/>
      <c r="U68" s="31">
        <v>60</v>
      </c>
      <c r="V68" s="31">
        <v>60</v>
      </c>
    </row>
    <row r="69" spans="1:22" ht="12.75">
      <c r="A69" s="43"/>
      <c r="B69" s="101" t="s">
        <v>65</v>
      </c>
      <c r="C69" s="31">
        <v>11</v>
      </c>
      <c r="D69" s="31"/>
      <c r="E69" s="31">
        <v>11</v>
      </c>
      <c r="F69" s="31"/>
      <c r="G69" s="31">
        <v>11</v>
      </c>
      <c r="H69" s="31"/>
      <c r="I69" s="31">
        <v>11</v>
      </c>
      <c r="J69" s="31"/>
      <c r="K69" s="31">
        <v>11</v>
      </c>
      <c r="L69" s="31"/>
      <c r="M69" s="31">
        <v>12</v>
      </c>
      <c r="N69" s="31"/>
      <c r="O69" s="31">
        <v>12</v>
      </c>
      <c r="P69" s="31"/>
      <c r="Q69" s="31">
        <f>12+441</f>
        <v>453</v>
      </c>
      <c r="R69" s="31">
        <v>441</v>
      </c>
      <c r="S69" s="31">
        <v>13</v>
      </c>
      <c r="T69" s="31"/>
      <c r="U69" s="31">
        <v>13</v>
      </c>
      <c r="V69" s="31"/>
    </row>
    <row r="70" spans="1:22" ht="12.75">
      <c r="A70" s="43"/>
      <c r="B70" s="42" t="s">
        <v>15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>
        <v>5454</v>
      </c>
      <c r="R70" s="31">
        <v>5454</v>
      </c>
      <c r="S70" s="31">
        <v>1200</v>
      </c>
      <c r="T70" s="31">
        <v>1200</v>
      </c>
      <c r="U70" s="31">
        <v>1476</v>
      </c>
      <c r="V70" s="31">
        <v>1476</v>
      </c>
    </row>
    <row r="71" spans="1:22" ht="12.75">
      <c r="A71" s="43"/>
      <c r="B71" s="17" t="s">
        <v>60</v>
      </c>
      <c r="C71" s="31"/>
      <c r="D71" s="31"/>
      <c r="E71" s="31">
        <v>1033</v>
      </c>
      <c r="F71" s="31"/>
      <c r="G71" s="31">
        <f>873+160</f>
        <v>1033</v>
      </c>
      <c r="H71" s="31">
        <v>873</v>
      </c>
      <c r="I71" s="31">
        <v>780</v>
      </c>
      <c r="J71" s="31">
        <v>780</v>
      </c>
      <c r="K71" s="31">
        <v>40</v>
      </c>
      <c r="L71" s="31">
        <v>40</v>
      </c>
      <c r="M71" s="31">
        <v>139</v>
      </c>
      <c r="N71" s="31">
        <v>139</v>
      </c>
      <c r="O71" s="31">
        <v>140</v>
      </c>
      <c r="P71" s="31">
        <v>140</v>
      </c>
      <c r="Q71" s="31"/>
      <c r="R71" s="31"/>
      <c r="S71" s="31">
        <v>5500</v>
      </c>
      <c r="T71" s="31">
        <v>5500</v>
      </c>
      <c r="U71" s="31">
        <v>150</v>
      </c>
      <c r="V71" s="31">
        <v>150</v>
      </c>
    </row>
    <row r="72" spans="1:22" ht="12.75">
      <c r="A72" s="43"/>
      <c r="B72" s="17" t="s">
        <v>99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>
        <v>108</v>
      </c>
      <c r="N72" s="31"/>
      <c r="O72" s="31">
        <v>108</v>
      </c>
      <c r="P72" s="31"/>
      <c r="Q72" s="31">
        <v>240</v>
      </c>
      <c r="R72" s="31"/>
      <c r="S72" s="31">
        <v>113</v>
      </c>
      <c r="T72" s="31"/>
      <c r="U72" s="31">
        <v>113</v>
      </c>
      <c r="V72" s="31"/>
    </row>
    <row r="73" spans="1:22" ht="12.75">
      <c r="A73" s="47"/>
      <c r="B73" s="110" t="s">
        <v>70</v>
      </c>
      <c r="C73" s="73">
        <v>3895</v>
      </c>
      <c r="D73" s="32"/>
      <c r="E73" s="73">
        <v>3850</v>
      </c>
      <c r="F73" s="73"/>
      <c r="G73" s="73">
        <v>3679</v>
      </c>
      <c r="H73" s="73"/>
      <c r="I73" s="73">
        <v>3099</v>
      </c>
      <c r="J73" s="73"/>
      <c r="K73" s="73">
        <v>4206</v>
      </c>
      <c r="L73" s="73"/>
      <c r="M73" s="73">
        <v>3550</v>
      </c>
      <c r="N73" s="73"/>
      <c r="O73" s="73">
        <v>2769</v>
      </c>
      <c r="P73" s="73"/>
      <c r="Q73" s="73">
        <v>2301</v>
      </c>
      <c r="R73" s="73"/>
      <c r="S73" s="73">
        <v>2017</v>
      </c>
      <c r="T73" s="73"/>
      <c r="U73" s="73">
        <v>2414</v>
      </c>
      <c r="V73" s="73"/>
    </row>
    <row r="74" spans="1:22" ht="12.75">
      <c r="A74" s="64" t="s">
        <v>86</v>
      </c>
      <c r="B74" s="108"/>
      <c r="C74" s="28">
        <f aca="true" t="shared" si="11" ref="C74:T74">SUM(C75:C81)</f>
        <v>2560</v>
      </c>
      <c r="D74" s="28">
        <f t="shared" si="11"/>
        <v>1789</v>
      </c>
      <c r="E74" s="28">
        <f t="shared" si="11"/>
        <v>1801</v>
      </c>
      <c r="F74" s="28">
        <f t="shared" si="11"/>
        <v>1134</v>
      </c>
      <c r="G74" s="28">
        <f t="shared" si="11"/>
        <v>1907</v>
      </c>
      <c r="H74" s="28">
        <f t="shared" si="11"/>
        <v>1693</v>
      </c>
      <c r="I74" s="28">
        <f t="shared" si="11"/>
        <v>827</v>
      </c>
      <c r="J74" s="28">
        <f t="shared" si="11"/>
        <v>407</v>
      </c>
      <c r="K74" s="28">
        <f t="shared" si="11"/>
        <v>601</v>
      </c>
      <c r="L74" s="28">
        <f t="shared" si="11"/>
        <v>223</v>
      </c>
      <c r="M74" s="28">
        <f t="shared" si="11"/>
        <v>1162</v>
      </c>
      <c r="N74" s="28">
        <f t="shared" si="11"/>
        <v>628</v>
      </c>
      <c r="O74" s="28">
        <f t="shared" si="11"/>
        <v>1503</v>
      </c>
      <c r="P74" s="28">
        <f t="shared" si="11"/>
        <v>154</v>
      </c>
      <c r="Q74" s="28">
        <f t="shared" si="11"/>
        <v>523</v>
      </c>
      <c r="R74" s="28">
        <f t="shared" si="11"/>
        <v>312</v>
      </c>
      <c r="S74" s="28">
        <f t="shared" si="11"/>
        <v>613</v>
      </c>
      <c r="T74" s="28">
        <f t="shared" si="11"/>
        <v>384</v>
      </c>
      <c r="U74" s="28">
        <f>SUM(U75:U81)</f>
        <v>483</v>
      </c>
      <c r="V74" s="28">
        <f>SUM(V75:V81)</f>
        <v>270</v>
      </c>
    </row>
    <row r="75" spans="1:22" ht="12.75">
      <c r="A75" s="43"/>
      <c r="B75" s="101" t="s">
        <v>30</v>
      </c>
      <c r="C75" s="31">
        <v>207</v>
      </c>
      <c r="D75" s="55"/>
      <c r="E75" s="31">
        <v>207</v>
      </c>
      <c r="F75" s="55"/>
      <c r="G75" s="31"/>
      <c r="H75" s="55"/>
      <c r="I75" s="31"/>
      <c r="J75" s="55"/>
      <c r="K75" s="31"/>
      <c r="L75" s="55"/>
      <c r="M75" s="31">
        <v>284</v>
      </c>
      <c r="N75" s="55">
        <v>284</v>
      </c>
      <c r="O75" s="31">
        <f>1100+100</f>
        <v>1200</v>
      </c>
      <c r="P75" s="55">
        <v>100</v>
      </c>
      <c r="Q75" s="31">
        <v>150</v>
      </c>
      <c r="R75" s="55">
        <v>150</v>
      </c>
      <c r="S75" s="31">
        <f>40+70</f>
        <v>110</v>
      </c>
      <c r="T75" s="55">
        <f>40+70</f>
        <v>110</v>
      </c>
      <c r="U75" s="31">
        <f>138+61</f>
        <v>199</v>
      </c>
      <c r="V75" s="55">
        <f>138+61</f>
        <v>199</v>
      </c>
    </row>
    <row r="76" spans="1:22" ht="12.75">
      <c r="A76" s="43"/>
      <c r="B76" s="101" t="s">
        <v>65</v>
      </c>
      <c r="C76" s="31"/>
      <c r="D76" s="55"/>
      <c r="E76" s="31"/>
      <c r="F76" s="55"/>
      <c r="G76" s="31"/>
      <c r="H76" s="55"/>
      <c r="I76" s="31"/>
      <c r="J76" s="55"/>
      <c r="K76" s="31"/>
      <c r="L76" s="55"/>
      <c r="M76" s="31">
        <v>17</v>
      </c>
      <c r="N76" s="55">
        <v>17</v>
      </c>
      <c r="O76" s="31"/>
      <c r="P76" s="55"/>
      <c r="Q76" s="31"/>
      <c r="R76" s="55"/>
      <c r="S76" s="31">
        <v>50</v>
      </c>
      <c r="T76" s="55">
        <v>50</v>
      </c>
      <c r="U76" s="31"/>
      <c r="V76" s="55"/>
    </row>
    <row r="77" spans="1:22" ht="12.75">
      <c r="A77" s="43"/>
      <c r="B77" s="103" t="s">
        <v>22</v>
      </c>
      <c r="C77" s="19">
        <f>508+56+77</f>
        <v>641</v>
      </c>
      <c r="D77" s="17">
        <v>77</v>
      </c>
      <c r="E77" s="19">
        <f>155+28+146</f>
        <v>329</v>
      </c>
      <c r="F77" s="17">
        <v>146</v>
      </c>
      <c r="G77" s="19">
        <f>163+134</f>
        <v>297</v>
      </c>
      <c r="H77" s="17">
        <v>134</v>
      </c>
      <c r="I77" s="19">
        <f>283+326</f>
        <v>609</v>
      </c>
      <c r="J77" s="17">
        <v>326</v>
      </c>
      <c r="K77" s="19">
        <f>325+221</f>
        <v>546</v>
      </c>
      <c r="L77" s="17">
        <v>221</v>
      </c>
      <c r="M77" s="19">
        <f>534+112</f>
        <v>646</v>
      </c>
      <c r="N77" s="17">
        <v>112</v>
      </c>
      <c r="O77" s="19">
        <f>249+54</f>
        <v>303</v>
      </c>
      <c r="P77" s="17">
        <v>54</v>
      </c>
      <c r="Q77" s="19">
        <f>202+147</f>
        <v>349</v>
      </c>
      <c r="R77" s="17">
        <v>147</v>
      </c>
      <c r="S77" s="19">
        <f>229+202</f>
        <v>431</v>
      </c>
      <c r="T77" s="17">
        <v>202</v>
      </c>
      <c r="U77" s="19">
        <f>213+49</f>
        <v>262</v>
      </c>
      <c r="V77" s="17">
        <v>49</v>
      </c>
    </row>
    <row r="78" spans="1:22" ht="12.75">
      <c r="A78" s="43"/>
      <c r="B78" s="42" t="s">
        <v>17</v>
      </c>
      <c r="C78" s="19"/>
      <c r="D78" s="61"/>
      <c r="E78" s="19">
        <v>32</v>
      </c>
      <c r="F78" s="61"/>
      <c r="G78" s="19">
        <v>51</v>
      </c>
      <c r="H78" s="61"/>
      <c r="I78" s="19">
        <v>29</v>
      </c>
      <c r="J78" s="61"/>
      <c r="K78" s="19"/>
      <c r="L78" s="61"/>
      <c r="M78" s="19"/>
      <c r="N78" s="61"/>
      <c r="O78" s="19"/>
      <c r="P78" s="61"/>
      <c r="Q78" s="19"/>
      <c r="R78" s="61"/>
      <c r="S78" s="19"/>
      <c r="T78" s="61"/>
      <c r="U78" s="19"/>
      <c r="V78" s="61"/>
    </row>
    <row r="79" spans="1:22" ht="12.75">
      <c r="A79" s="43"/>
      <c r="B79" s="101" t="s">
        <v>95</v>
      </c>
      <c r="C79" s="19"/>
      <c r="D79" s="17"/>
      <c r="E79" s="19"/>
      <c r="F79" s="17"/>
      <c r="G79" s="19"/>
      <c r="H79" s="17"/>
      <c r="I79" s="19"/>
      <c r="J79" s="17"/>
      <c r="K79" s="19">
        <v>2</v>
      </c>
      <c r="L79" s="17">
        <v>2</v>
      </c>
      <c r="M79" s="19">
        <v>206</v>
      </c>
      <c r="N79" s="17">
        <v>206</v>
      </c>
      <c r="O79" s="19"/>
      <c r="P79" s="17"/>
      <c r="Q79" s="19">
        <v>15</v>
      </c>
      <c r="R79" s="17">
        <v>15</v>
      </c>
      <c r="S79" s="19"/>
      <c r="T79" s="17"/>
      <c r="U79" s="19"/>
      <c r="V79" s="17"/>
    </row>
    <row r="80" spans="1:22" ht="12.75">
      <c r="A80" s="43"/>
      <c r="B80" s="101" t="s">
        <v>12</v>
      </c>
      <c r="C80" s="19">
        <v>117</v>
      </c>
      <c r="D80" s="61">
        <v>117</v>
      </c>
      <c r="E80" s="19"/>
      <c r="F80" s="61"/>
      <c r="G80" s="19"/>
      <c r="H80" s="61"/>
      <c r="I80" s="19">
        <f>108+81</f>
        <v>189</v>
      </c>
      <c r="J80" s="61">
        <v>81</v>
      </c>
      <c r="K80" s="19">
        <v>53</v>
      </c>
      <c r="L80" s="61"/>
      <c r="M80" s="19">
        <v>9</v>
      </c>
      <c r="N80" s="61">
        <v>9</v>
      </c>
      <c r="O80" s="19"/>
      <c r="P80" s="61"/>
      <c r="Q80" s="19">
        <v>9</v>
      </c>
      <c r="R80" s="61"/>
      <c r="S80" s="19">
        <v>22</v>
      </c>
      <c r="T80" s="61">
        <v>22</v>
      </c>
      <c r="U80" s="19">
        <v>22</v>
      </c>
      <c r="V80" s="61">
        <v>22</v>
      </c>
    </row>
    <row r="81" spans="1:22" ht="12.75">
      <c r="A81" s="47"/>
      <c r="B81" s="102" t="s">
        <v>57</v>
      </c>
      <c r="C81" s="20">
        <v>1595</v>
      </c>
      <c r="D81" s="78">
        <v>1595</v>
      </c>
      <c r="E81" s="20">
        <f>245+988</f>
        <v>1233</v>
      </c>
      <c r="F81" s="78">
        <v>988</v>
      </c>
      <c r="G81" s="20">
        <v>1559</v>
      </c>
      <c r="H81" s="78">
        <v>1559</v>
      </c>
      <c r="I81" s="20"/>
      <c r="J81" s="78"/>
      <c r="K81" s="20"/>
      <c r="L81" s="78"/>
      <c r="M81" s="20"/>
      <c r="N81" s="78"/>
      <c r="O81" s="20"/>
      <c r="P81" s="78"/>
      <c r="Q81" s="20"/>
      <c r="R81" s="78"/>
      <c r="S81" s="20"/>
      <c r="T81" s="78"/>
      <c r="U81" s="20"/>
      <c r="V81" s="78"/>
    </row>
    <row r="82" spans="1:22" ht="12.75">
      <c r="A82" s="64" t="s">
        <v>105</v>
      </c>
      <c r="B82" s="112"/>
      <c r="C82" s="28">
        <f aca="true" t="shared" si="12" ref="C82:T82">SUM(C83:C93)</f>
        <v>11791</v>
      </c>
      <c r="D82" s="28">
        <f t="shared" si="12"/>
        <v>389</v>
      </c>
      <c r="E82" s="28">
        <f t="shared" si="12"/>
        <v>14632</v>
      </c>
      <c r="F82" s="28">
        <f t="shared" si="12"/>
        <v>2737</v>
      </c>
      <c r="G82" s="28">
        <f t="shared" si="12"/>
        <v>12532</v>
      </c>
      <c r="H82" s="28">
        <f t="shared" si="12"/>
        <v>884</v>
      </c>
      <c r="I82" s="28">
        <f t="shared" si="12"/>
        <v>12291</v>
      </c>
      <c r="J82" s="28">
        <f t="shared" si="12"/>
        <v>553</v>
      </c>
      <c r="K82" s="28">
        <f t="shared" si="12"/>
        <v>12854</v>
      </c>
      <c r="L82" s="28">
        <f t="shared" si="12"/>
        <v>1045</v>
      </c>
      <c r="M82" s="28">
        <f t="shared" si="12"/>
        <v>12600</v>
      </c>
      <c r="N82" s="28">
        <f t="shared" si="12"/>
        <v>855</v>
      </c>
      <c r="O82" s="28">
        <f t="shared" si="12"/>
        <v>13240</v>
      </c>
      <c r="P82" s="28">
        <f t="shared" si="12"/>
        <v>921</v>
      </c>
      <c r="Q82" s="28">
        <f t="shared" si="12"/>
        <v>13657</v>
      </c>
      <c r="R82" s="28">
        <f t="shared" si="12"/>
        <v>1024</v>
      </c>
      <c r="S82" s="28">
        <f t="shared" si="12"/>
        <v>13988</v>
      </c>
      <c r="T82" s="28">
        <f t="shared" si="12"/>
        <v>842</v>
      </c>
      <c r="U82" s="28">
        <f>SUM(U83:U93)</f>
        <v>11734</v>
      </c>
      <c r="V82" s="28">
        <f>SUM(V83:V93)</f>
        <v>856</v>
      </c>
    </row>
    <row r="83" spans="1:22" ht="12.75">
      <c r="A83" s="43"/>
      <c r="B83" s="101" t="s">
        <v>89</v>
      </c>
      <c r="C83" s="30">
        <v>186</v>
      </c>
      <c r="D83" s="42">
        <v>186</v>
      </c>
      <c r="E83" s="30">
        <v>186</v>
      </c>
      <c r="F83" s="42">
        <v>186</v>
      </c>
      <c r="G83" s="30">
        <v>183</v>
      </c>
      <c r="H83" s="42">
        <v>183</v>
      </c>
      <c r="I83" s="30">
        <v>173</v>
      </c>
      <c r="J83" s="42">
        <v>173</v>
      </c>
      <c r="K83" s="30">
        <v>180</v>
      </c>
      <c r="L83" s="42">
        <v>180</v>
      </c>
      <c r="M83" s="30">
        <v>102</v>
      </c>
      <c r="N83" s="42">
        <v>102</v>
      </c>
      <c r="O83" s="30">
        <v>95</v>
      </c>
      <c r="P83" s="42">
        <v>95</v>
      </c>
      <c r="Q83" s="30">
        <v>94</v>
      </c>
      <c r="R83" s="42">
        <v>94</v>
      </c>
      <c r="S83" s="30"/>
      <c r="T83" s="42"/>
      <c r="U83" s="30"/>
      <c r="V83" s="42"/>
    </row>
    <row r="84" spans="1:22" ht="12.75">
      <c r="A84" s="43"/>
      <c r="B84" s="101" t="s">
        <v>48</v>
      </c>
      <c r="C84" s="30">
        <v>5460</v>
      </c>
      <c r="D84" s="42"/>
      <c r="E84" s="30">
        <v>5457</v>
      </c>
      <c r="F84" s="42"/>
      <c r="G84" s="30">
        <v>5686</v>
      </c>
      <c r="H84" s="42"/>
      <c r="I84" s="30">
        <v>5615</v>
      </c>
      <c r="J84" s="42"/>
      <c r="K84" s="30">
        <v>5702</v>
      </c>
      <c r="L84" s="42"/>
      <c r="M84" s="30">
        <v>5656</v>
      </c>
      <c r="N84" s="42"/>
      <c r="O84" s="30">
        <v>5907</v>
      </c>
      <c r="P84" s="42"/>
      <c r="Q84" s="30">
        <v>6040</v>
      </c>
      <c r="R84" s="42"/>
      <c r="S84" s="30">
        <v>6554</v>
      </c>
      <c r="T84" s="42"/>
      <c r="U84" s="30">
        <v>6611</v>
      </c>
      <c r="V84" s="42"/>
    </row>
    <row r="85" spans="1:22" ht="12.75">
      <c r="A85" s="43"/>
      <c r="B85" s="101" t="s">
        <v>90</v>
      </c>
      <c r="C85" s="30">
        <v>203</v>
      </c>
      <c r="D85" s="42">
        <v>203</v>
      </c>
      <c r="E85" s="30">
        <v>202</v>
      </c>
      <c r="F85" s="42">
        <v>202</v>
      </c>
      <c r="G85" s="30">
        <v>193</v>
      </c>
      <c r="H85" s="42">
        <v>193</v>
      </c>
      <c r="I85" s="30">
        <v>218</v>
      </c>
      <c r="J85" s="42">
        <v>218</v>
      </c>
      <c r="K85" s="30">
        <v>220</v>
      </c>
      <c r="L85" s="42">
        <v>220</v>
      </c>
      <c r="M85" s="30">
        <v>204</v>
      </c>
      <c r="N85" s="42">
        <v>204</v>
      </c>
      <c r="O85" s="30">
        <v>190</v>
      </c>
      <c r="P85" s="42">
        <v>190</v>
      </c>
      <c r="Q85" s="30">
        <v>211</v>
      </c>
      <c r="R85" s="42">
        <v>211</v>
      </c>
      <c r="S85" s="30"/>
      <c r="T85" s="42"/>
      <c r="U85" s="30"/>
      <c r="V85" s="42"/>
    </row>
    <row r="86" spans="1:22" ht="12.75">
      <c r="A86" s="43"/>
      <c r="B86" s="101" t="s">
        <v>49</v>
      </c>
      <c r="C86" s="30">
        <v>36</v>
      </c>
      <c r="D86" s="42"/>
      <c r="E86" s="30">
        <v>27</v>
      </c>
      <c r="F86" s="42"/>
      <c r="G86" s="30">
        <v>18</v>
      </c>
      <c r="H86" s="42"/>
      <c r="I86" s="30"/>
      <c r="J86" s="42"/>
      <c r="K86" s="30"/>
      <c r="L86" s="42"/>
      <c r="M86" s="30"/>
      <c r="N86" s="42"/>
      <c r="O86" s="30"/>
      <c r="P86" s="42"/>
      <c r="Q86" s="30"/>
      <c r="R86" s="42"/>
      <c r="S86" s="30"/>
      <c r="T86" s="42"/>
      <c r="U86" s="30"/>
      <c r="V86" s="42"/>
    </row>
    <row r="87" spans="1:22" ht="12.75">
      <c r="A87" s="43"/>
      <c r="B87" s="101" t="s">
        <v>50</v>
      </c>
      <c r="C87" s="30">
        <v>290</v>
      </c>
      <c r="D87" s="42"/>
      <c r="E87" s="30">
        <v>792</v>
      </c>
      <c r="F87" s="42"/>
      <c r="G87" s="30">
        <v>304</v>
      </c>
      <c r="H87" s="42"/>
      <c r="I87" s="30">
        <v>311</v>
      </c>
      <c r="J87" s="42"/>
      <c r="K87" s="30">
        <v>317</v>
      </c>
      <c r="L87" s="42"/>
      <c r="M87" s="30">
        <v>323</v>
      </c>
      <c r="N87" s="42"/>
      <c r="O87" s="30">
        <v>328</v>
      </c>
      <c r="P87" s="42"/>
      <c r="Q87" s="30">
        <v>337</v>
      </c>
      <c r="R87" s="42"/>
      <c r="S87" s="30">
        <v>343</v>
      </c>
      <c r="T87" s="42"/>
      <c r="U87" s="30">
        <v>347</v>
      </c>
      <c r="V87" s="42"/>
    </row>
    <row r="88" spans="1:22" ht="12.75">
      <c r="A88" s="43"/>
      <c r="B88" s="101" t="s">
        <v>83</v>
      </c>
      <c r="C88" s="30"/>
      <c r="D88" s="42"/>
      <c r="E88" s="30"/>
      <c r="F88" s="42"/>
      <c r="G88" s="30"/>
      <c r="H88" s="42"/>
      <c r="I88" s="30"/>
      <c r="J88" s="42"/>
      <c r="K88" s="30"/>
      <c r="L88" s="42"/>
      <c r="M88" s="30"/>
      <c r="N88" s="42"/>
      <c r="O88" s="30"/>
      <c r="P88" s="42"/>
      <c r="Q88" s="30">
        <v>16</v>
      </c>
      <c r="R88" s="42"/>
      <c r="S88" s="30">
        <v>38</v>
      </c>
      <c r="T88" s="42"/>
      <c r="U88" s="30">
        <v>38</v>
      </c>
      <c r="V88" s="42"/>
    </row>
    <row r="89" spans="1:22" ht="12.75">
      <c r="A89" s="43"/>
      <c r="B89" s="103" t="s">
        <v>31</v>
      </c>
      <c r="C89" s="30">
        <v>374</v>
      </c>
      <c r="D89" s="42"/>
      <c r="E89" s="30">
        <f>219+3</f>
        <v>222</v>
      </c>
      <c r="F89" s="42">
        <v>3</v>
      </c>
      <c r="G89" s="30">
        <f>212+1</f>
        <v>213</v>
      </c>
      <c r="H89" s="42">
        <v>1</v>
      </c>
      <c r="I89" s="30">
        <f>284+7</f>
        <v>291</v>
      </c>
      <c r="J89" s="42">
        <v>7</v>
      </c>
      <c r="K89" s="30">
        <f>198+2</f>
        <v>200</v>
      </c>
      <c r="L89" s="42">
        <v>2</v>
      </c>
      <c r="M89" s="30">
        <f>171+1</f>
        <v>172</v>
      </c>
      <c r="N89" s="42">
        <v>1</v>
      </c>
      <c r="O89" s="30">
        <v>271</v>
      </c>
      <c r="P89" s="42">
        <v>1</v>
      </c>
      <c r="Q89" s="30">
        <v>291</v>
      </c>
      <c r="R89" s="42">
        <v>1</v>
      </c>
      <c r="S89" s="30">
        <v>337</v>
      </c>
      <c r="T89" s="42"/>
      <c r="U89" s="30">
        <v>300</v>
      </c>
      <c r="V89" s="42"/>
    </row>
    <row r="90" spans="1:22" ht="12.75">
      <c r="A90" s="43"/>
      <c r="B90" s="42" t="s">
        <v>143</v>
      </c>
      <c r="C90" s="30"/>
      <c r="D90" s="42"/>
      <c r="E90" s="30"/>
      <c r="F90" s="42"/>
      <c r="G90" s="30"/>
      <c r="H90" s="42"/>
      <c r="I90" s="30"/>
      <c r="J90" s="42"/>
      <c r="K90" s="30">
        <v>10</v>
      </c>
      <c r="L90" s="42">
        <v>10</v>
      </c>
      <c r="M90" s="30"/>
      <c r="N90" s="42"/>
      <c r="O90" s="30"/>
      <c r="P90" s="42"/>
      <c r="Q90" s="30"/>
      <c r="R90" s="42"/>
      <c r="S90" s="30"/>
      <c r="T90" s="42"/>
      <c r="U90" s="30">
        <v>3</v>
      </c>
      <c r="V90" s="42"/>
    </row>
    <row r="91" spans="1:22" ht="12.75">
      <c r="A91" s="43"/>
      <c r="B91" s="101" t="s">
        <v>52</v>
      </c>
      <c r="C91" s="30"/>
      <c r="D91" s="42"/>
      <c r="E91" s="30">
        <v>162</v>
      </c>
      <c r="F91" s="42"/>
      <c r="G91" s="30">
        <v>114</v>
      </c>
      <c r="H91" s="42"/>
      <c r="I91" s="30">
        <v>145</v>
      </c>
      <c r="J91" s="42"/>
      <c r="K91" s="30">
        <v>145</v>
      </c>
      <c r="L91" s="42"/>
      <c r="M91" s="30">
        <v>87</v>
      </c>
      <c r="N91" s="42"/>
      <c r="O91" s="30">
        <v>136</v>
      </c>
      <c r="P91" s="42"/>
      <c r="Q91" s="30">
        <v>156</v>
      </c>
      <c r="R91" s="42"/>
      <c r="S91" s="30">
        <v>175</v>
      </c>
      <c r="T91" s="42"/>
      <c r="U91" s="30">
        <v>167</v>
      </c>
      <c r="V91" s="42"/>
    </row>
    <row r="92" spans="1:22" ht="12.75">
      <c r="A92" s="43"/>
      <c r="B92" s="101" t="s">
        <v>51</v>
      </c>
      <c r="C92" s="30"/>
      <c r="D92" s="42"/>
      <c r="E92" s="30">
        <v>2346</v>
      </c>
      <c r="F92" s="55">
        <v>2346</v>
      </c>
      <c r="G92" s="30">
        <v>507</v>
      </c>
      <c r="H92" s="55">
        <v>507</v>
      </c>
      <c r="I92" s="30">
        <v>155</v>
      </c>
      <c r="J92" s="55">
        <v>155</v>
      </c>
      <c r="K92" s="30">
        <v>633</v>
      </c>
      <c r="L92" s="55">
        <v>633</v>
      </c>
      <c r="M92" s="30">
        <v>548</v>
      </c>
      <c r="N92" s="55">
        <v>548</v>
      </c>
      <c r="O92" s="30">
        <v>635</v>
      </c>
      <c r="P92" s="55">
        <v>635</v>
      </c>
      <c r="Q92" s="30">
        <v>718</v>
      </c>
      <c r="R92" s="55">
        <v>718</v>
      </c>
      <c r="S92" s="30">
        <v>842</v>
      </c>
      <c r="T92" s="55">
        <v>842</v>
      </c>
      <c r="U92" s="30">
        <v>856</v>
      </c>
      <c r="V92" s="55">
        <v>856</v>
      </c>
    </row>
    <row r="93" spans="1:22" ht="12.75">
      <c r="A93" s="47"/>
      <c r="B93" s="102" t="s">
        <v>91</v>
      </c>
      <c r="C93" s="52">
        <v>5242</v>
      </c>
      <c r="D93" s="48"/>
      <c r="E93" s="52">
        <v>5238</v>
      </c>
      <c r="F93" s="48"/>
      <c r="G93" s="52">
        <v>5314</v>
      </c>
      <c r="H93" s="48"/>
      <c r="I93" s="52">
        <v>5383</v>
      </c>
      <c r="J93" s="48"/>
      <c r="K93" s="52">
        <v>5447</v>
      </c>
      <c r="L93" s="48"/>
      <c r="M93" s="52">
        <v>5508</v>
      </c>
      <c r="N93" s="48"/>
      <c r="O93" s="52">
        <f>5568+110</f>
        <v>5678</v>
      </c>
      <c r="P93" s="48"/>
      <c r="Q93" s="52">
        <f>159+5635</f>
        <v>5794</v>
      </c>
      <c r="R93" s="48"/>
      <c r="S93" s="52">
        <v>5699</v>
      </c>
      <c r="T93" s="48"/>
      <c r="U93" s="52">
        <f>3225+187</f>
        <v>3412</v>
      </c>
      <c r="V93" s="48"/>
    </row>
    <row r="94" spans="1:22" ht="12.75">
      <c r="A94" s="114" t="s">
        <v>123</v>
      </c>
      <c r="B94" s="115"/>
      <c r="C94" s="116">
        <f aca="true" t="shared" si="13" ref="C94:T94">+C95+C99+C111+C118</f>
        <v>26345</v>
      </c>
      <c r="D94" s="116">
        <f t="shared" si="13"/>
        <v>7247</v>
      </c>
      <c r="E94" s="116">
        <f t="shared" si="13"/>
        <v>28093</v>
      </c>
      <c r="F94" s="116">
        <f t="shared" si="13"/>
        <v>16503</v>
      </c>
      <c r="G94" s="116">
        <f t="shared" si="13"/>
        <v>21227</v>
      </c>
      <c r="H94" s="116">
        <f t="shared" si="13"/>
        <v>16177</v>
      </c>
      <c r="I94" s="116">
        <f t="shared" si="13"/>
        <v>15451</v>
      </c>
      <c r="J94" s="116">
        <f t="shared" si="13"/>
        <v>13865</v>
      </c>
      <c r="K94" s="116">
        <f t="shared" si="13"/>
        <v>18407</v>
      </c>
      <c r="L94" s="116">
        <f t="shared" si="13"/>
        <v>16506</v>
      </c>
      <c r="M94" s="116">
        <f t="shared" si="13"/>
        <v>7554</v>
      </c>
      <c r="N94" s="116">
        <f t="shared" si="13"/>
        <v>6268</v>
      </c>
      <c r="O94" s="116">
        <f t="shared" si="13"/>
        <v>10891</v>
      </c>
      <c r="P94" s="116">
        <f t="shared" si="13"/>
        <v>9736</v>
      </c>
      <c r="Q94" s="116">
        <f t="shared" si="13"/>
        <v>9008</v>
      </c>
      <c r="R94" s="116">
        <f t="shared" si="13"/>
        <v>7907</v>
      </c>
      <c r="S94" s="116">
        <f t="shared" si="13"/>
        <v>8472</v>
      </c>
      <c r="T94" s="116">
        <f t="shared" si="13"/>
        <v>7343</v>
      </c>
      <c r="U94" s="116">
        <f>+U95+U99+U111+U118</f>
        <v>9268</v>
      </c>
      <c r="V94" s="116">
        <f>+V95+V99+V111+V118</f>
        <v>8548</v>
      </c>
    </row>
    <row r="95" spans="1:22" ht="12.75">
      <c r="A95" s="64" t="s">
        <v>137</v>
      </c>
      <c r="B95" s="108"/>
      <c r="C95" s="28">
        <f aca="true" t="shared" si="14" ref="C95:T95">SUM(C96:C98)</f>
        <v>0</v>
      </c>
      <c r="D95" s="28">
        <f t="shared" si="14"/>
        <v>0</v>
      </c>
      <c r="E95" s="28">
        <f t="shared" si="14"/>
        <v>0</v>
      </c>
      <c r="F95" s="28">
        <f t="shared" si="14"/>
        <v>0</v>
      </c>
      <c r="G95" s="28">
        <f t="shared" si="14"/>
        <v>0</v>
      </c>
      <c r="H95" s="28">
        <f t="shared" si="14"/>
        <v>0</v>
      </c>
      <c r="I95" s="28">
        <f t="shared" si="14"/>
        <v>18</v>
      </c>
      <c r="J95" s="28">
        <f t="shared" si="14"/>
        <v>18</v>
      </c>
      <c r="K95" s="28">
        <f t="shared" si="14"/>
        <v>55</v>
      </c>
      <c r="L95" s="28">
        <f t="shared" si="14"/>
        <v>55</v>
      </c>
      <c r="M95" s="28">
        <f t="shared" si="14"/>
        <v>30</v>
      </c>
      <c r="N95" s="28">
        <f t="shared" si="14"/>
        <v>30</v>
      </c>
      <c r="O95" s="28">
        <f t="shared" si="14"/>
        <v>457</v>
      </c>
      <c r="P95" s="28">
        <f t="shared" si="14"/>
        <v>457</v>
      </c>
      <c r="Q95" s="28">
        <f t="shared" si="14"/>
        <v>150</v>
      </c>
      <c r="R95" s="28">
        <f t="shared" si="14"/>
        <v>150</v>
      </c>
      <c r="S95" s="28">
        <f t="shared" si="14"/>
        <v>0</v>
      </c>
      <c r="T95" s="28">
        <f t="shared" si="14"/>
        <v>0</v>
      </c>
      <c r="U95" s="28">
        <f>SUM(U96:U98)</f>
        <v>300</v>
      </c>
      <c r="V95" s="28">
        <f>SUM(V96:V98)</f>
        <v>300</v>
      </c>
    </row>
    <row r="96" spans="1:22" ht="12.75">
      <c r="A96" s="41"/>
      <c r="B96" s="101" t="s">
        <v>33</v>
      </c>
      <c r="C96" s="31"/>
      <c r="D96" s="42"/>
      <c r="E96" s="31"/>
      <c r="F96" s="42"/>
      <c r="G96" s="31"/>
      <c r="H96" s="42"/>
      <c r="I96" s="31"/>
      <c r="J96" s="42"/>
      <c r="K96" s="31"/>
      <c r="L96" s="42"/>
      <c r="M96" s="31"/>
      <c r="N96" s="42"/>
      <c r="O96" s="31"/>
      <c r="P96" s="42"/>
      <c r="Q96" s="31">
        <v>150</v>
      </c>
      <c r="R96" s="42">
        <v>150</v>
      </c>
      <c r="S96" s="31"/>
      <c r="T96" s="42"/>
      <c r="U96" s="31">
        <v>300</v>
      </c>
      <c r="V96" s="42">
        <v>300</v>
      </c>
    </row>
    <row r="97" spans="1:22" ht="12.75">
      <c r="A97" s="41"/>
      <c r="B97" s="101" t="s">
        <v>95</v>
      </c>
      <c r="C97" s="31"/>
      <c r="D97" s="42"/>
      <c r="E97" s="31"/>
      <c r="F97" s="42"/>
      <c r="G97" s="31"/>
      <c r="H97" s="42"/>
      <c r="I97" s="31">
        <v>18</v>
      </c>
      <c r="J97" s="42">
        <v>18</v>
      </c>
      <c r="K97" s="31">
        <v>55</v>
      </c>
      <c r="L97" s="42">
        <v>55</v>
      </c>
      <c r="M97" s="31">
        <v>30</v>
      </c>
      <c r="N97" s="42">
        <v>30</v>
      </c>
      <c r="O97" s="31">
        <v>55</v>
      </c>
      <c r="P97" s="42">
        <v>55</v>
      </c>
      <c r="Q97" s="31"/>
      <c r="R97" s="42"/>
      <c r="S97" s="31"/>
      <c r="T97" s="42"/>
      <c r="U97" s="31"/>
      <c r="V97" s="42"/>
    </row>
    <row r="98" spans="1:22" ht="12.75">
      <c r="A98" s="14"/>
      <c r="B98" s="42" t="s">
        <v>15</v>
      </c>
      <c r="C98" s="19"/>
      <c r="D98" s="61"/>
      <c r="E98" s="19"/>
      <c r="F98" s="61"/>
      <c r="G98" s="19"/>
      <c r="H98" s="61"/>
      <c r="I98" s="19"/>
      <c r="J98" s="61"/>
      <c r="K98" s="19"/>
      <c r="L98" s="61"/>
      <c r="M98" s="19"/>
      <c r="N98" s="61"/>
      <c r="O98" s="19">
        <v>402</v>
      </c>
      <c r="P98" s="61">
        <v>402</v>
      </c>
      <c r="Q98" s="19"/>
      <c r="R98" s="61"/>
      <c r="S98" s="19"/>
      <c r="T98" s="61"/>
      <c r="U98" s="19"/>
      <c r="V98" s="61"/>
    </row>
    <row r="99" spans="1:22" ht="12.75">
      <c r="A99" s="23" t="s">
        <v>106</v>
      </c>
      <c r="B99" s="109"/>
      <c r="C99" s="25">
        <f aca="true" t="shared" si="15" ref="C99:T99">SUM(C100:C110)</f>
        <v>14997</v>
      </c>
      <c r="D99" s="25">
        <f t="shared" si="15"/>
        <v>6024</v>
      </c>
      <c r="E99" s="25">
        <f t="shared" si="15"/>
        <v>12130</v>
      </c>
      <c r="F99" s="25">
        <f t="shared" si="15"/>
        <v>4191</v>
      </c>
      <c r="G99" s="25">
        <f t="shared" si="15"/>
        <v>6017</v>
      </c>
      <c r="H99" s="25">
        <f t="shared" si="15"/>
        <v>5506</v>
      </c>
      <c r="I99" s="25">
        <f t="shared" si="15"/>
        <v>483</v>
      </c>
      <c r="J99" s="25">
        <f t="shared" si="15"/>
        <v>454</v>
      </c>
      <c r="K99" s="25">
        <f t="shared" si="15"/>
        <v>441</v>
      </c>
      <c r="L99" s="25">
        <f t="shared" si="15"/>
        <v>412</v>
      </c>
      <c r="M99" s="25">
        <f t="shared" si="15"/>
        <v>582</v>
      </c>
      <c r="N99" s="25">
        <f t="shared" si="15"/>
        <v>582</v>
      </c>
      <c r="O99" s="25">
        <f t="shared" si="15"/>
        <v>1247</v>
      </c>
      <c r="P99" s="25">
        <f t="shared" si="15"/>
        <v>1247</v>
      </c>
      <c r="Q99" s="25">
        <f t="shared" si="15"/>
        <v>1168</v>
      </c>
      <c r="R99" s="25">
        <f t="shared" si="15"/>
        <v>1168</v>
      </c>
      <c r="S99" s="25">
        <f t="shared" si="15"/>
        <v>356</v>
      </c>
      <c r="T99" s="25">
        <f t="shared" si="15"/>
        <v>356</v>
      </c>
      <c r="U99" s="25">
        <f>SUM(U100:U110)</f>
        <v>1467</v>
      </c>
      <c r="V99" s="25">
        <f>SUM(V100:V110)</f>
        <v>1467</v>
      </c>
    </row>
    <row r="100" spans="1:22" ht="12.75">
      <c r="A100" s="43"/>
      <c r="B100" s="42" t="s">
        <v>60</v>
      </c>
      <c r="C100" s="30">
        <f>5+155</f>
        <v>160</v>
      </c>
      <c r="D100" s="31">
        <f>5+155</f>
        <v>160</v>
      </c>
      <c r="E100" s="30">
        <f>5+1013</f>
        <v>1018</v>
      </c>
      <c r="F100" s="30">
        <f>5+1013</f>
        <v>1018</v>
      </c>
      <c r="G100" s="30">
        <f>12+1000</f>
        <v>1012</v>
      </c>
      <c r="H100" s="30">
        <f>12+1000</f>
        <v>1012</v>
      </c>
      <c r="I100" s="30">
        <v>18</v>
      </c>
      <c r="J100" s="30">
        <v>18</v>
      </c>
      <c r="K100" s="30">
        <v>121</v>
      </c>
      <c r="L100" s="30">
        <v>121</v>
      </c>
      <c r="M100" s="30">
        <v>16</v>
      </c>
      <c r="N100" s="30">
        <v>16</v>
      </c>
      <c r="O100" s="30">
        <v>1</v>
      </c>
      <c r="P100" s="30">
        <v>1</v>
      </c>
      <c r="Q100" s="30">
        <v>15</v>
      </c>
      <c r="R100" s="30">
        <v>15</v>
      </c>
      <c r="S100" s="30">
        <v>21</v>
      </c>
      <c r="T100" s="30">
        <v>21</v>
      </c>
      <c r="U100" s="30">
        <v>165</v>
      </c>
      <c r="V100" s="30">
        <v>165</v>
      </c>
    </row>
    <row r="101" spans="1:22" ht="12.75">
      <c r="A101" s="43"/>
      <c r="B101" s="101" t="s">
        <v>95</v>
      </c>
      <c r="C101" s="30">
        <v>4903</v>
      </c>
      <c r="D101" s="31">
        <v>4903</v>
      </c>
      <c r="E101" s="30">
        <v>2382</v>
      </c>
      <c r="F101" s="31">
        <v>2382</v>
      </c>
      <c r="G101" s="30">
        <v>3599</v>
      </c>
      <c r="H101" s="31">
        <v>3599</v>
      </c>
      <c r="I101" s="30">
        <v>220</v>
      </c>
      <c r="J101" s="30">
        <v>220</v>
      </c>
      <c r="K101" s="30">
        <v>255</v>
      </c>
      <c r="L101" s="30">
        <v>255</v>
      </c>
      <c r="M101" s="30">
        <v>160</v>
      </c>
      <c r="N101" s="30">
        <v>160</v>
      </c>
      <c r="O101" s="30">
        <v>296</v>
      </c>
      <c r="P101" s="30">
        <v>296</v>
      </c>
      <c r="Q101" s="30">
        <v>533</v>
      </c>
      <c r="R101" s="30">
        <v>533</v>
      </c>
      <c r="S101" s="30">
        <v>14</v>
      </c>
      <c r="T101" s="30">
        <v>14</v>
      </c>
      <c r="U101" s="30">
        <v>240</v>
      </c>
      <c r="V101" s="30">
        <v>240</v>
      </c>
    </row>
    <row r="102" spans="1:22" ht="12.75">
      <c r="A102" s="43"/>
      <c r="B102" s="101" t="s">
        <v>59</v>
      </c>
      <c r="C102" s="30">
        <v>258</v>
      </c>
      <c r="D102" s="31">
        <v>258</v>
      </c>
      <c r="E102" s="30"/>
      <c r="F102" s="31"/>
      <c r="G102" s="30">
        <f>207+21</f>
        <v>228</v>
      </c>
      <c r="H102" s="31">
        <v>207</v>
      </c>
      <c r="I102" s="30">
        <v>29</v>
      </c>
      <c r="J102" s="31"/>
      <c r="K102" s="30">
        <v>29</v>
      </c>
      <c r="L102" s="31"/>
      <c r="M102" s="30">
        <v>179</v>
      </c>
      <c r="N102" s="31">
        <v>179</v>
      </c>
      <c r="O102" s="30">
        <v>553</v>
      </c>
      <c r="P102" s="31">
        <v>553</v>
      </c>
      <c r="Q102" s="30">
        <v>422</v>
      </c>
      <c r="R102" s="31">
        <v>422</v>
      </c>
      <c r="S102" s="30">
        <v>13</v>
      </c>
      <c r="T102" s="31">
        <v>13</v>
      </c>
      <c r="U102" s="30">
        <v>217</v>
      </c>
      <c r="V102" s="31">
        <v>217</v>
      </c>
    </row>
    <row r="103" spans="1:22" ht="12.75">
      <c r="A103" s="43"/>
      <c r="B103" s="101" t="s">
        <v>14</v>
      </c>
      <c r="C103" s="30">
        <f>697+665+38</f>
        <v>1400</v>
      </c>
      <c r="D103" s="39">
        <f>665+38</f>
        <v>703</v>
      </c>
      <c r="E103" s="30">
        <f>616+697</f>
        <v>1313</v>
      </c>
      <c r="F103" s="39">
        <v>616</v>
      </c>
      <c r="G103" s="30">
        <f>683+490</f>
        <v>1173</v>
      </c>
      <c r="H103" s="39">
        <v>683</v>
      </c>
      <c r="I103" s="30">
        <v>210</v>
      </c>
      <c r="J103" s="30">
        <v>210</v>
      </c>
      <c r="K103" s="30">
        <v>30</v>
      </c>
      <c r="L103" s="30">
        <v>30</v>
      </c>
      <c r="M103" s="30">
        <v>221</v>
      </c>
      <c r="N103" s="30">
        <v>221</v>
      </c>
      <c r="O103" s="30">
        <v>356</v>
      </c>
      <c r="P103" s="30">
        <v>356</v>
      </c>
      <c r="Q103" s="30">
        <v>193</v>
      </c>
      <c r="R103" s="30">
        <v>193</v>
      </c>
      <c r="S103" s="30">
        <v>278</v>
      </c>
      <c r="T103" s="30">
        <v>278</v>
      </c>
      <c r="U103" s="30">
        <v>130</v>
      </c>
      <c r="V103" s="30">
        <v>130</v>
      </c>
    </row>
    <row r="104" spans="1:22" ht="12.75">
      <c r="A104" s="43"/>
      <c r="B104" s="42" t="s">
        <v>15</v>
      </c>
      <c r="C104" s="30"/>
      <c r="D104" s="39"/>
      <c r="E104" s="30">
        <v>170</v>
      </c>
      <c r="F104" s="39">
        <v>170</v>
      </c>
      <c r="G104" s="30"/>
      <c r="H104" s="39"/>
      <c r="I104" s="30"/>
      <c r="J104" s="39"/>
      <c r="K104" s="30"/>
      <c r="L104" s="39"/>
      <c r="M104" s="30"/>
      <c r="N104" s="39"/>
      <c r="O104" s="30">
        <v>35</v>
      </c>
      <c r="P104" s="30">
        <v>35</v>
      </c>
      <c r="Q104" s="30"/>
      <c r="R104" s="39"/>
      <c r="S104" s="30"/>
      <c r="T104" s="39"/>
      <c r="U104" s="30">
        <v>686</v>
      </c>
      <c r="V104" s="39">
        <v>686</v>
      </c>
    </row>
    <row r="105" spans="1:22" ht="12.75">
      <c r="A105" s="43"/>
      <c r="B105" s="101" t="s">
        <v>12</v>
      </c>
      <c r="C105" s="30"/>
      <c r="D105" s="39"/>
      <c r="E105" s="30"/>
      <c r="F105" s="39"/>
      <c r="G105" s="30"/>
      <c r="H105" s="39"/>
      <c r="I105" s="30"/>
      <c r="J105" s="39"/>
      <c r="K105" s="30"/>
      <c r="L105" s="39"/>
      <c r="M105" s="30"/>
      <c r="N105" s="39"/>
      <c r="O105" s="30"/>
      <c r="P105" s="39"/>
      <c r="Q105" s="30"/>
      <c r="R105" s="39"/>
      <c r="S105" s="30">
        <v>24</v>
      </c>
      <c r="T105" s="39">
        <v>24</v>
      </c>
      <c r="U105" s="30">
        <v>13</v>
      </c>
      <c r="V105" s="39">
        <v>13</v>
      </c>
    </row>
    <row r="106" spans="1:22" ht="12.75">
      <c r="A106" s="43"/>
      <c r="B106" s="42" t="s">
        <v>53</v>
      </c>
      <c r="C106" s="30">
        <v>2868</v>
      </c>
      <c r="D106" s="39"/>
      <c r="E106" s="30">
        <v>3326</v>
      </c>
      <c r="F106" s="39"/>
      <c r="G106" s="30"/>
      <c r="H106" s="39"/>
      <c r="I106" s="30"/>
      <c r="J106" s="39"/>
      <c r="K106" s="30"/>
      <c r="L106" s="39"/>
      <c r="M106" s="30"/>
      <c r="N106" s="39"/>
      <c r="O106" s="30"/>
      <c r="P106" s="39"/>
      <c r="Q106" s="30"/>
      <c r="R106" s="39"/>
      <c r="S106" s="30"/>
      <c r="T106" s="39"/>
      <c r="U106" s="30"/>
      <c r="V106" s="39"/>
    </row>
    <row r="107" spans="1:22" ht="12.75">
      <c r="A107" s="43"/>
      <c r="B107" s="42" t="s">
        <v>54</v>
      </c>
      <c r="C107" s="30">
        <v>1241</v>
      </c>
      <c r="D107" s="39"/>
      <c r="E107" s="30">
        <v>974</v>
      </c>
      <c r="F107" s="39"/>
      <c r="G107" s="30"/>
      <c r="H107" s="39"/>
      <c r="I107" s="30"/>
      <c r="J107" s="39"/>
      <c r="K107" s="30"/>
      <c r="L107" s="39"/>
      <c r="M107" s="30"/>
      <c r="N107" s="39"/>
      <c r="O107" s="30"/>
      <c r="P107" s="39"/>
      <c r="Q107" s="30"/>
      <c r="R107" s="39"/>
      <c r="S107" s="30"/>
      <c r="T107" s="39"/>
      <c r="U107" s="30"/>
      <c r="V107" s="39"/>
    </row>
    <row r="108" spans="1:22" ht="12.75">
      <c r="A108" s="43"/>
      <c r="B108" s="42" t="s">
        <v>55</v>
      </c>
      <c r="C108" s="30">
        <v>989</v>
      </c>
      <c r="D108" s="39"/>
      <c r="E108" s="30"/>
      <c r="F108" s="39"/>
      <c r="G108" s="30"/>
      <c r="H108" s="39"/>
      <c r="I108" s="30"/>
      <c r="J108" s="39"/>
      <c r="K108" s="30"/>
      <c r="L108" s="39"/>
      <c r="M108" s="30"/>
      <c r="N108" s="39"/>
      <c r="O108" s="30"/>
      <c r="P108" s="39"/>
      <c r="Q108" s="30"/>
      <c r="R108" s="39"/>
      <c r="S108" s="30"/>
      <c r="T108" s="39"/>
      <c r="U108" s="30"/>
      <c r="V108" s="39"/>
    </row>
    <row r="109" spans="1:22" ht="12.75">
      <c r="A109" s="43"/>
      <c r="B109" s="42" t="s">
        <v>56</v>
      </c>
      <c r="C109" s="30">
        <v>3149</v>
      </c>
      <c r="D109" s="39"/>
      <c r="E109" s="30">
        <v>2942</v>
      </c>
      <c r="F109" s="39"/>
      <c r="G109" s="30"/>
      <c r="H109" s="39"/>
      <c r="I109" s="30"/>
      <c r="J109" s="39"/>
      <c r="K109" s="30"/>
      <c r="L109" s="39"/>
      <c r="M109" s="30"/>
      <c r="N109" s="39"/>
      <c r="O109" s="30"/>
      <c r="P109" s="39"/>
      <c r="Q109" s="30"/>
      <c r="R109" s="39"/>
      <c r="S109" s="30"/>
      <c r="T109" s="39"/>
      <c r="U109" s="30"/>
      <c r="V109" s="39"/>
    </row>
    <row r="110" spans="1:22" ht="12.75">
      <c r="A110" s="47"/>
      <c r="B110" s="102" t="s">
        <v>57</v>
      </c>
      <c r="C110" s="52">
        <v>29</v>
      </c>
      <c r="D110" s="46"/>
      <c r="E110" s="52">
        <v>5</v>
      </c>
      <c r="F110" s="46">
        <v>5</v>
      </c>
      <c r="G110" s="52">
        <v>5</v>
      </c>
      <c r="H110" s="46">
        <v>5</v>
      </c>
      <c r="I110" s="52">
        <v>6</v>
      </c>
      <c r="J110" s="46">
        <v>6</v>
      </c>
      <c r="K110" s="46">
        <v>6</v>
      </c>
      <c r="L110" s="46">
        <v>6</v>
      </c>
      <c r="M110" s="46">
        <v>6</v>
      </c>
      <c r="N110" s="46">
        <v>6</v>
      </c>
      <c r="O110" s="46">
        <v>6</v>
      </c>
      <c r="P110" s="46">
        <v>6</v>
      </c>
      <c r="Q110" s="46">
        <v>5</v>
      </c>
      <c r="R110" s="46">
        <v>5</v>
      </c>
      <c r="S110" s="46">
        <v>6</v>
      </c>
      <c r="T110" s="46">
        <v>6</v>
      </c>
      <c r="U110" s="46">
        <v>16</v>
      </c>
      <c r="V110" s="46">
        <v>16</v>
      </c>
    </row>
    <row r="111" spans="1:22" ht="12.75">
      <c r="A111" s="64" t="s">
        <v>124</v>
      </c>
      <c r="B111" s="112"/>
      <c r="C111" s="28">
        <f aca="true" t="shared" si="16" ref="C111:T111">SUM(C112:C117)</f>
        <v>4684</v>
      </c>
      <c r="D111" s="28">
        <f t="shared" si="16"/>
        <v>1217</v>
      </c>
      <c r="E111" s="28">
        <f t="shared" si="16"/>
        <v>4356</v>
      </c>
      <c r="F111" s="28">
        <f t="shared" si="16"/>
        <v>1362</v>
      </c>
      <c r="G111" s="28">
        <f t="shared" si="16"/>
        <v>5136</v>
      </c>
      <c r="H111" s="28">
        <f t="shared" si="16"/>
        <v>1291</v>
      </c>
      <c r="I111" s="28">
        <f t="shared" si="16"/>
        <v>1842</v>
      </c>
      <c r="J111" s="28">
        <f t="shared" si="16"/>
        <v>1054</v>
      </c>
      <c r="K111" s="28">
        <f t="shared" si="16"/>
        <v>2055</v>
      </c>
      <c r="L111" s="28">
        <f t="shared" si="16"/>
        <v>1257</v>
      </c>
      <c r="M111" s="28">
        <f t="shared" si="16"/>
        <v>1709</v>
      </c>
      <c r="N111" s="28">
        <f t="shared" si="16"/>
        <v>927</v>
      </c>
      <c r="O111" s="28">
        <f t="shared" si="16"/>
        <v>2544</v>
      </c>
      <c r="P111" s="28">
        <f t="shared" si="16"/>
        <v>1740</v>
      </c>
      <c r="Q111" s="28">
        <f t="shared" si="16"/>
        <v>2336</v>
      </c>
      <c r="R111" s="28">
        <f t="shared" si="16"/>
        <v>1573</v>
      </c>
      <c r="S111" s="28">
        <f t="shared" si="16"/>
        <v>3068</v>
      </c>
      <c r="T111" s="28">
        <f t="shared" si="16"/>
        <v>2317</v>
      </c>
      <c r="U111" s="28">
        <f>SUM(U112:U117)</f>
        <v>3796</v>
      </c>
      <c r="V111" s="28">
        <f>SUM(V112:V117)</f>
        <v>3076</v>
      </c>
    </row>
    <row r="112" spans="1:22" ht="12.75">
      <c r="A112" s="43"/>
      <c r="B112" s="42" t="s">
        <v>60</v>
      </c>
      <c r="C112" s="50">
        <v>33</v>
      </c>
      <c r="D112" s="31">
        <v>33</v>
      </c>
      <c r="E112" s="50">
        <v>6</v>
      </c>
      <c r="F112" s="31">
        <v>6</v>
      </c>
      <c r="G112" s="50">
        <v>25</v>
      </c>
      <c r="H112" s="31">
        <v>25</v>
      </c>
      <c r="I112" s="50">
        <v>18</v>
      </c>
      <c r="J112" s="31">
        <v>18</v>
      </c>
      <c r="K112" s="50">
        <v>29</v>
      </c>
      <c r="L112" s="31">
        <v>29</v>
      </c>
      <c r="M112" s="50">
        <v>20</v>
      </c>
      <c r="N112" s="31">
        <v>20</v>
      </c>
      <c r="O112" s="50">
        <f>53+742</f>
        <v>795</v>
      </c>
      <c r="P112" s="50">
        <f>53+742</f>
        <v>795</v>
      </c>
      <c r="Q112" s="50">
        <f>35+150</f>
        <v>185</v>
      </c>
      <c r="R112" s="50">
        <f>35+150</f>
        <v>185</v>
      </c>
      <c r="S112" s="50">
        <v>645</v>
      </c>
      <c r="T112" s="31">
        <v>645</v>
      </c>
      <c r="U112" s="50">
        <f>3+680</f>
        <v>683</v>
      </c>
      <c r="V112" s="31">
        <f>3+680</f>
        <v>683</v>
      </c>
    </row>
    <row r="113" spans="1:22" s="2" customFormat="1" ht="12.75">
      <c r="A113" s="43"/>
      <c r="B113" s="42" t="s">
        <v>15</v>
      </c>
      <c r="C113" s="50"/>
      <c r="D113" s="31"/>
      <c r="E113" s="50">
        <v>17</v>
      </c>
      <c r="F113" s="31">
        <v>17</v>
      </c>
      <c r="G113" s="50">
        <v>13</v>
      </c>
      <c r="H113" s="31">
        <v>13</v>
      </c>
      <c r="I113" s="50">
        <v>10</v>
      </c>
      <c r="J113" s="31">
        <v>10</v>
      </c>
      <c r="K113" s="50">
        <v>20</v>
      </c>
      <c r="L113" s="31">
        <v>20</v>
      </c>
      <c r="M113" s="50"/>
      <c r="N113" s="31"/>
      <c r="O113" s="50"/>
      <c r="P113" s="31"/>
      <c r="Q113" s="50">
        <v>10</v>
      </c>
      <c r="R113" s="31">
        <v>10</v>
      </c>
      <c r="S113" s="50"/>
      <c r="T113" s="31"/>
      <c r="U113" s="50">
        <v>818</v>
      </c>
      <c r="V113" s="31">
        <v>818</v>
      </c>
    </row>
    <row r="114" spans="1:22" s="2" customFormat="1" ht="12.75">
      <c r="A114" s="43"/>
      <c r="B114" s="42" t="s">
        <v>95</v>
      </c>
      <c r="C114" s="50">
        <v>645</v>
      </c>
      <c r="D114" s="31">
        <v>645</v>
      </c>
      <c r="E114" s="50">
        <v>854</v>
      </c>
      <c r="F114" s="31">
        <v>854</v>
      </c>
      <c r="G114" s="50">
        <f>775+35</f>
        <v>810</v>
      </c>
      <c r="H114" s="31">
        <f>775+35</f>
        <v>810</v>
      </c>
      <c r="I114" s="50">
        <v>1026</v>
      </c>
      <c r="J114" s="31">
        <v>1026</v>
      </c>
      <c r="K114" s="50">
        <v>1208</v>
      </c>
      <c r="L114" s="31">
        <v>1208</v>
      </c>
      <c r="M114" s="50">
        <v>899</v>
      </c>
      <c r="N114" s="31">
        <v>899</v>
      </c>
      <c r="O114" s="50">
        <v>936</v>
      </c>
      <c r="P114" s="31">
        <v>936</v>
      </c>
      <c r="Q114" s="50">
        <v>296</v>
      </c>
      <c r="R114" s="31">
        <v>296</v>
      </c>
      <c r="S114" s="50">
        <v>678</v>
      </c>
      <c r="T114" s="31">
        <v>678</v>
      </c>
      <c r="U114" s="50">
        <v>811</v>
      </c>
      <c r="V114" s="31">
        <v>811</v>
      </c>
    </row>
    <row r="115" spans="1:22" s="2" customFormat="1" ht="12.75">
      <c r="A115" s="43"/>
      <c r="B115" s="101" t="s">
        <v>59</v>
      </c>
      <c r="C115" s="60">
        <v>2276</v>
      </c>
      <c r="D115" s="31"/>
      <c r="E115" s="60">
        <f>2320+54</f>
        <v>2374</v>
      </c>
      <c r="F115" s="31"/>
      <c r="G115" s="60">
        <v>3104</v>
      </c>
      <c r="H115" s="31"/>
      <c r="I115" s="60"/>
      <c r="J115" s="31"/>
      <c r="K115" s="60"/>
      <c r="L115" s="31"/>
      <c r="M115" s="60"/>
      <c r="N115" s="31"/>
      <c r="O115" s="60"/>
      <c r="P115" s="31"/>
      <c r="Q115" s="50">
        <v>124</v>
      </c>
      <c r="R115" s="31">
        <v>124</v>
      </c>
      <c r="S115" s="50">
        <v>55</v>
      </c>
      <c r="T115" s="31">
        <v>55</v>
      </c>
      <c r="U115" s="50"/>
      <c r="V115" s="31"/>
    </row>
    <row r="116" spans="1:22" s="2" customFormat="1" ht="12.75">
      <c r="A116" s="43"/>
      <c r="B116" s="101" t="s">
        <v>14</v>
      </c>
      <c r="C116" s="60">
        <f>310+539</f>
        <v>849</v>
      </c>
      <c r="D116" s="31">
        <v>539</v>
      </c>
      <c r="E116" s="60">
        <f>310+485</f>
        <v>795</v>
      </c>
      <c r="F116" s="31">
        <v>485</v>
      </c>
      <c r="G116" s="60">
        <f>436+443</f>
        <v>879</v>
      </c>
      <c r="H116" s="31">
        <v>443</v>
      </c>
      <c r="I116" s="60">
        <v>444</v>
      </c>
      <c r="J116" s="31"/>
      <c r="K116" s="60">
        <v>423</v>
      </c>
      <c r="L116" s="31"/>
      <c r="M116" s="60">
        <f>8+432</f>
        <v>440</v>
      </c>
      <c r="N116" s="31">
        <v>8</v>
      </c>
      <c r="O116" s="60">
        <f>9+474</f>
        <v>483</v>
      </c>
      <c r="P116" s="31">
        <v>9</v>
      </c>
      <c r="Q116" s="60">
        <f>958+433</f>
        <v>1391</v>
      </c>
      <c r="R116" s="31">
        <v>958</v>
      </c>
      <c r="S116" s="60">
        <f>939+421</f>
        <v>1360</v>
      </c>
      <c r="T116" s="31">
        <v>939</v>
      </c>
      <c r="U116" s="60">
        <f>764+390</f>
        <v>1154</v>
      </c>
      <c r="V116" s="31">
        <v>764</v>
      </c>
    </row>
    <row r="117" spans="1:22" s="2" customFormat="1" ht="12.75">
      <c r="A117" s="47"/>
      <c r="B117" s="102" t="s">
        <v>58</v>
      </c>
      <c r="C117" s="52">
        <v>881</v>
      </c>
      <c r="D117" s="46"/>
      <c r="E117" s="52">
        <v>310</v>
      </c>
      <c r="F117" s="46"/>
      <c r="G117" s="52">
        <v>305</v>
      </c>
      <c r="H117" s="46"/>
      <c r="I117" s="52">
        <v>344</v>
      </c>
      <c r="J117" s="46"/>
      <c r="K117" s="52">
        <v>375</v>
      </c>
      <c r="L117" s="46"/>
      <c r="M117" s="52">
        <v>350</v>
      </c>
      <c r="N117" s="46"/>
      <c r="O117" s="52">
        <v>330</v>
      </c>
      <c r="P117" s="46"/>
      <c r="Q117" s="52">
        <v>330</v>
      </c>
      <c r="R117" s="46"/>
      <c r="S117" s="52">
        <v>330</v>
      </c>
      <c r="T117" s="46"/>
      <c r="U117" s="52">
        <v>330</v>
      </c>
      <c r="V117" s="46"/>
    </row>
    <row r="118" spans="1:22" s="2" customFormat="1" ht="12.75">
      <c r="A118" s="64" t="s">
        <v>125</v>
      </c>
      <c r="B118" s="112"/>
      <c r="C118" s="28">
        <f aca="true" t="shared" si="17" ref="C118:T118">SUM(C119:C124)</f>
        <v>6664</v>
      </c>
      <c r="D118" s="28">
        <f t="shared" si="17"/>
        <v>6</v>
      </c>
      <c r="E118" s="28">
        <f t="shared" si="17"/>
        <v>11607</v>
      </c>
      <c r="F118" s="28">
        <f t="shared" si="17"/>
        <v>10950</v>
      </c>
      <c r="G118" s="28">
        <f t="shared" si="17"/>
        <v>10074</v>
      </c>
      <c r="H118" s="28">
        <f t="shared" si="17"/>
        <v>9380</v>
      </c>
      <c r="I118" s="28">
        <f t="shared" si="17"/>
        <v>13108</v>
      </c>
      <c r="J118" s="28">
        <f t="shared" si="17"/>
        <v>12339</v>
      </c>
      <c r="K118" s="28">
        <f t="shared" si="17"/>
        <v>15856</v>
      </c>
      <c r="L118" s="28">
        <f t="shared" si="17"/>
        <v>14782</v>
      </c>
      <c r="M118" s="28">
        <f t="shared" si="17"/>
        <v>5233</v>
      </c>
      <c r="N118" s="28">
        <f t="shared" si="17"/>
        <v>4729</v>
      </c>
      <c r="O118" s="28">
        <f t="shared" si="17"/>
        <v>6643</v>
      </c>
      <c r="P118" s="28">
        <f t="shared" si="17"/>
        <v>6292</v>
      </c>
      <c r="Q118" s="28">
        <f t="shared" si="17"/>
        <v>5354</v>
      </c>
      <c r="R118" s="28">
        <f t="shared" si="17"/>
        <v>5016</v>
      </c>
      <c r="S118" s="28">
        <f t="shared" si="17"/>
        <v>5048</v>
      </c>
      <c r="T118" s="28">
        <f t="shared" si="17"/>
        <v>4670</v>
      </c>
      <c r="U118" s="28">
        <f>SUM(U119:U124)</f>
        <v>3705</v>
      </c>
      <c r="V118" s="28">
        <f>SUM(V119:V124)</f>
        <v>3705</v>
      </c>
    </row>
    <row r="119" spans="1:30" s="117" customFormat="1" ht="12.75">
      <c r="A119" s="43"/>
      <c r="B119" s="101" t="s">
        <v>95</v>
      </c>
      <c r="C119" s="31"/>
      <c r="D119" s="31"/>
      <c r="E119" s="31">
        <v>4764</v>
      </c>
      <c r="F119" s="31">
        <v>4764</v>
      </c>
      <c r="G119" s="31">
        <v>3024</v>
      </c>
      <c r="H119" s="31">
        <v>3024</v>
      </c>
      <c r="I119" s="31">
        <v>5322</v>
      </c>
      <c r="J119" s="31">
        <v>5322</v>
      </c>
      <c r="K119" s="31">
        <v>4892</v>
      </c>
      <c r="L119" s="31">
        <v>4892</v>
      </c>
      <c r="M119" s="31">
        <v>3073</v>
      </c>
      <c r="N119" s="31">
        <v>3073</v>
      </c>
      <c r="O119" s="31">
        <v>4497</v>
      </c>
      <c r="P119" s="31">
        <v>4497</v>
      </c>
      <c r="Q119" s="31">
        <v>3361</v>
      </c>
      <c r="R119" s="31">
        <v>3361</v>
      </c>
      <c r="S119" s="31">
        <v>2915</v>
      </c>
      <c r="T119" s="31">
        <v>2915</v>
      </c>
      <c r="U119" s="31">
        <v>2353</v>
      </c>
      <c r="V119" s="31">
        <v>2353</v>
      </c>
      <c r="W119" s="2"/>
      <c r="X119" s="2"/>
      <c r="Y119" s="2"/>
      <c r="Z119" s="2"/>
      <c r="AA119" s="2"/>
      <c r="AB119" s="2"/>
      <c r="AC119" s="2"/>
      <c r="AD119" s="2"/>
    </row>
    <row r="120" spans="1:30" s="117" customFormat="1" ht="12.75">
      <c r="A120" s="43"/>
      <c r="B120" s="101" t="s">
        <v>59</v>
      </c>
      <c r="C120" s="31"/>
      <c r="D120" s="39"/>
      <c r="E120" s="31"/>
      <c r="F120" s="39"/>
      <c r="G120" s="31"/>
      <c r="H120" s="39"/>
      <c r="I120" s="31"/>
      <c r="J120" s="39"/>
      <c r="K120" s="31"/>
      <c r="L120" s="39"/>
      <c r="M120" s="31"/>
      <c r="N120" s="39"/>
      <c r="O120" s="31"/>
      <c r="P120" s="39"/>
      <c r="Q120" s="31"/>
      <c r="R120" s="39"/>
      <c r="S120" s="31"/>
      <c r="T120" s="39"/>
      <c r="U120" s="31">
        <v>477</v>
      </c>
      <c r="V120" s="39">
        <v>477</v>
      </c>
      <c r="W120" s="2"/>
      <c r="X120" s="2"/>
      <c r="Y120" s="2"/>
      <c r="Z120" s="2"/>
      <c r="AA120" s="2"/>
      <c r="AB120" s="2"/>
      <c r="AC120" s="2"/>
      <c r="AD120" s="2"/>
    </row>
    <row r="121" spans="1:30" s="117" customFormat="1" ht="12.75">
      <c r="A121" s="43"/>
      <c r="B121" s="17" t="s">
        <v>60</v>
      </c>
      <c r="C121" s="31"/>
      <c r="D121" s="39"/>
      <c r="E121" s="31"/>
      <c r="F121" s="39"/>
      <c r="G121" s="31"/>
      <c r="H121" s="39"/>
      <c r="I121" s="31"/>
      <c r="J121" s="39"/>
      <c r="K121" s="31"/>
      <c r="L121" s="39"/>
      <c r="M121" s="31"/>
      <c r="N121" s="39"/>
      <c r="O121" s="31"/>
      <c r="P121" s="39"/>
      <c r="Q121" s="31"/>
      <c r="R121" s="39"/>
      <c r="S121" s="31"/>
      <c r="T121" s="39"/>
      <c r="U121" s="31">
        <v>30</v>
      </c>
      <c r="V121" s="39">
        <v>30</v>
      </c>
      <c r="W121" s="2"/>
      <c r="X121" s="2"/>
      <c r="Y121" s="2"/>
      <c r="Z121" s="2"/>
      <c r="AA121" s="2"/>
      <c r="AB121" s="2"/>
      <c r="AC121" s="2"/>
      <c r="AD121" s="2"/>
    </row>
    <row r="122" spans="1:22" s="2" customFormat="1" ht="12.75">
      <c r="A122" s="43"/>
      <c r="B122" s="101" t="s">
        <v>78</v>
      </c>
      <c r="C122" s="30">
        <v>647</v>
      </c>
      <c r="D122" s="42"/>
      <c r="E122" s="30">
        <v>652</v>
      </c>
      <c r="F122" s="42"/>
      <c r="G122" s="30">
        <v>689</v>
      </c>
      <c r="H122" s="42"/>
      <c r="I122" s="30">
        <v>764</v>
      </c>
      <c r="J122" s="42"/>
      <c r="K122" s="30">
        <v>1069</v>
      </c>
      <c r="L122" s="42"/>
      <c r="M122" s="30">
        <v>504</v>
      </c>
      <c r="N122" s="42"/>
      <c r="O122" s="30">
        <v>351</v>
      </c>
      <c r="P122" s="42"/>
      <c r="Q122" s="30">
        <v>338</v>
      </c>
      <c r="R122" s="42"/>
      <c r="S122" s="30">
        <v>378</v>
      </c>
      <c r="T122" s="42"/>
      <c r="U122" s="30"/>
      <c r="V122" s="42"/>
    </row>
    <row r="123" spans="1:22" s="80" customFormat="1" ht="12.75">
      <c r="A123" s="43"/>
      <c r="B123" s="101" t="s">
        <v>112</v>
      </c>
      <c r="C123" s="30">
        <f>6011+6</f>
        <v>6017</v>
      </c>
      <c r="D123" s="42">
        <v>6</v>
      </c>
      <c r="E123" s="30">
        <f>5+6</f>
        <v>11</v>
      </c>
      <c r="F123" s="42">
        <v>6</v>
      </c>
      <c r="G123" s="30">
        <f>5+6</f>
        <v>11</v>
      </c>
      <c r="H123" s="42">
        <v>6</v>
      </c>
      <c r="I123" s="30">
        <f>5+6</f>
        <v>11</v>
      </c>
      <c r="J123" s="42">
        <v>6</v>
      </c>
      <c r="K123" s="30">
        <f>5+5</f>
        <v>10</v>
      </c>
      <c r="L123" s="42">
        <v>5</v>
      </c>
      <c r="M123" s="30">
        <v>5</v>
      </c>
      <c r="N123" s="42">
        <v>5</v>
      </c>
      <c r="O123" s="30">
        <v>5</v>
      </c>
      <c r="P123" s="42">
        <v>5</v>
      </c>
      <c r="Q123" s="30">
        <v>5</v>
      </c>
      <c r="R123" s="42">
        <v>5</v>
      </c>
      <c r="S123" s="30">
        <v>5</v>
      </c>
      <c r="T123" s="42">
        <v>5</v>
      </c>
      <c r="U123" s="30">
        <v>5</v>
      </c>
      <c r="V123" s="42">
        <v>5</v>
      </c>
    </row>
    <row r="124" spans="1:22" s="2" customFormat="1" ht="12.75">
      <c r="A124" s="47"/>
      <c r="B124" s="110" t="s">
        <v>97</v>
      </c>
      <c r="C124" s="73"/>
      <c r="D124" s="32"/>
      <c r="E124" s="73">
        <v>6180</v>
      </c>
      <c r="F124" s="73">
        <v>6180</v>
      </c>
      <c r="G124" s="73">
        <v>6350</v>
      </c>
      <c r="H124" s="73">
        <v>6350</v>
      </c>
      <c r="I124" s="73">
        <v>7011</v>
      </c>
      <c r="J124" s="73">
        <v>7011</v>
      </c>
      <c r="K124" s="73">
        <v>9885</v>
      </c>
      <c r="L124" s="73">
        <v>9885</v>
      </c>
      <c r="M124" s="73">
        <v>1651</v>
      </c>
      <c r="N124" s="73">
        <v>1651</v>
      </c>
      <c r="O124" s="73">
        <v>1790</v>
      </c>
      <c r="P124" s="73">
        <v>1790</v>
      </c>
      <c r="Q124" s="73">
        <v>1650</v>
      </c>
      <c r="R124" s="73">
        <v>1650</v>
      </c>
      <c r="S124" s="73">
        <v>1750</v>
      </c>
      <c r="T124" s="73">
        <v>1750</v>
      </c>
      <c r="U124" s="73">
        <v>840</v>
      </c>
      <c r="V124" s="73">
        <v>840</v>
      </c>
    </row>
    <row r="125" spans="1:30" s="117" customFormat="1" ht="12.75">
      <c r="A125" s="65" t="s">
        <v>126</v>
      </c>
      <c r="B125" s="107"/>
      <c r="C125" s="89">
        <f aca="true" t="shared" si="18" ref="C125:N125">SUM(C126:C136)</f>
        <v>1958</v>
      </c>
      <c r="D125" s="89">
        <f t="shared" si="18"/>
        <v>1629</v>
      </c>
      <c r="E125" s="89">
        <f t="shared" si="18"/>
        <v>2302</v>
      </c>
      <c r="F125" s="89">
        <f t="shared" si="18"/>
        <v>562</v>
      </c>
      <c r="G125" s="89">
        <f t="shared" si="18"/>
        <v>4867</v>
      </c>
      <c r="H125" s="89">
        <f t="shared" si="18"/>
        <v>2089</v>
      </c>
      <c r="I125" s="89">
        <f t="shared" si="18"/>
        <v>4803</v>
      </c>
      <c r="J125" s="89">
        <f t="shared" si="18"/>
        <v>1684</v>
      </c>
      <c r="K125" s="89">
        <f t="shared" si="18"/>
        <v>5267</v>
      </c>
      <c r="L125" s="89">
        <f t="shared" si="18"/>
        <v>1969</v>
      </c>
      <c r="M125" s="89">
        <f t="shared" si="18"/>
        <v>2447</v>
      </c>
      <c r="N125" s="89">
        <f t="shared" si="18"/>
        <v>1213</v>
      </c>
      <c r="O125" s="89">
        <f aca="true" t="shared" si="19" ref="O125:T125">SUM(O126:O136)</f>
        <v>2492</v>
      </c>
      <c r="P125" s="89">
        <f t="shared" si="19"/>
        <v>1364</v>
      </c>
      <c r="Q125" s="89">
        <f t="shared" si="19"/>
        <v>2730</v>
      </c>
      <c r="R125" s="89">
        <f t="shared" si="19"/>
        <v>1510</v>
      </c>
      <c r="S125" s="89">
        <f t="shared" si="19"/>
        <v>3482</v>
      </c>
      <c r="T125" s="89">
        <f t="shared" si="19"/>
        <v>2484</v>
      </c>
      <c r="U125" s="89">
        <f>SUM(U126:U136)</f>
        <v>2827</v>
      </c>
      <c r="V125" s="89">
        <f>SUM(V126:V136)</f>
        <v>2827</v>
      </c>
      <c r="W125" s="2"/>
      <c r="X125" s="2"/>
      <c r="Y125" s="2"/>
      <c r="Z125" s="2"/>
      <c r="AA125" s="2"/>
      <c r="AB125" s="2"/>
      <c r="AC125" s="2"/>
      <c r="AD125" s="2"/>
    </row>
    <row r="126" spans="1:22" s="2" customFormat="1" ht="12.75">
      <c r="A126" s="43"/>
      <c r="B126" s="101" t="s">
        <v>59</v>
      </c>
      <c r="C126" s="54"/>
      <c r="D126" s="31"/>
      <c r="E126" s="54"/>
      <c r="F126" s="31"/>
      <c r="G126" s="54">
        <v>669</v>
      </c>
      <c r="H126" s="31">
        <v>669</v>
      </c>
      <c r="I126" s="54">
        <v>194</v>
      </c>
      <c r="J126" s="31">
        <v>194</v>
      </c>
      <c r="K126" s="54"/>
      <c r="L126" s="31"/>
      <c r="M126" s="54">
        <v>35</v>
      </c>
      <c r="N126" s="31">
        <v>35</v>
      </c>
      <c r="O126" s="54">
        <v>43</v>
      </c>
      <c r="P126" s="31">
        <v>43</v>
      </c>
      <c r="Q126" s="54">
        <v>8</v>
      </c>
      <c r="R126" s="31">
        <v>8</v>
      </c>
      <c r="S126" s="54">
        <v>13</v>
      </c>
      <c r="T126" s="31">
        <v>13</v>
      </c>
      <c r="U126" s="54"/>
      <c r="V126" s="31"/>
    </row>
    <row r="127" spans="1:22" s="2" customFormat="1" ht="12.75">
      <c r="A127" s="43"/>
      <c r="B127" s="101" t="s">
        <v>64</v>
      </c>
      <c r="C127" s="54">
        <v>314</v>
      </c>
      <c r="D127" s="31"/>
      <c r="E127" s="54">
        <v>157</v>
      </c>
      <c r="F127" s="31">
        <v>20</v>
      </c>
      <c r="G127" s="54">
        <v>185</v>
      </c>
      <c r="H127" s="31">
        <v>46</v>
      </c>
      <c r="I127" s="54">
        <v>205</v>
      </c>
      <c r="J127" s="31">
        <v>54</v>
      </c>
      <c r="K127" s="54">
        <v>225</v>
      </c>
      <c r="L127" s="31">
        <v>58</v>
      </c>
      <c r="M127" s="54">
        <v>175</v>
      </c>
      <c r="N127" s="31">
        <v>59</v>
      </c>
      <c r="O127" s="54">
        <f>4+75</f>
        <v>79</v>
      </c>
      <c r="P127" s="31">
        <v>75</v>
      </c>
      <c r="Q127" s="54">
        <v>83</v>
      </c>
      <c r="R127" s="31">
        <v>83</v>
      </c>
      <c r="S127" s="54">
        <f>82+64</f>
        <v>146</v>
      </c>
      <c r="T127" s="31">
        <v>64</v>
      </c>
      <c r="U127" s="54"/>
      <c r="V127" s="31"/>
    </row>
    <row r="128" spans="1:22" s="2" customFormat="1" ht="12.75">
      <c r="A128" s="43"/>
      <c r="B128" s="101" t="s">
        <v>95</v>
      </c>
      <c r="C128" s="51">
        <v>57</v>
      </c>
      <c r="D128" s="31">
        <v>57</v>
      </c>
      <c r="E128" s="54">
        <v>125</v>
      </c>
      <c r="F128" s="60">
        <v>125</v>
      </c>
      <c r="G128" s="54">
        <v>146</v>
      </c>
      <c r="H128" s="60">
        <v>146</v>
      </c>
      <c r="I128" s="54">
        <v>44</v>
      </c>
      <c r="J128" s="60">
        <v>44</v>
      </c>
      <c r="K128" s="54">
        <v>107</v>
      </c>
      <c r="L128" s="60">
        <v>107</v>
      </c>
      <c r="M128" s="54">
        <v>49</v>
      </c>
      <c r="N128" s="60">
        <v>49</v>
      </c>
      <c r="O128" s="54">
        <v>43</v>
      </c>
      <c r="P128" s="60">
        <v>43</v>
      </c>
      <c r="Q128" s="54">
        <v>161</v>
      </c>
      <c r="R128" s="60">
        <v>161</v>
      </c>
      <c r="S128" s="54">
        <v>119</v>
      </c>
      <c r="T128" s="60">
        <v>119</v>
      </c>
      <c r="U128" s="54">
        <v>100</v>
      </c>
      <c r="V128" s="60">
        <v>100</v>
      </c>
    </row>
    <row r="129" spans="1:22" ht="12.75">
      <c r="A129" s="43"/>
      <c r="B129" s="17" t="s">
        <v>60</v>
      </c>
      <c r="C129" s="51">
        <f>15+332</f>
        <v>347</v>
      </c>
      <c r="D129" s="31">
        <v>332</v>
      </c>
      <c r="E129" s="54">
        <f>1032+126</f>
        <v>1158</v>
      </c>
      <c r="F129" s="31">
        <f>65+61</f>
        <v>126</v>
      </c>
      <c r="G129" s="54">
        <f>1432+944</f>
        <v>2376</v>
      </c>
      <c r="H129" s="31">
        <v>944</v>
      </c>
      <c r="I129" s="54">
        <f>1522+1153</f>
        <v>2675</v>
      </c>
      <c r="J129" s="31">
        <v>1153</v>
      </c>
      <c r="K129" s="54">
        <f>1150+1781</f>
        <v>2931</v>
      </c>
      <c r="L129" s="31">
        <v>1781</v>
      </c>
      <c r="M129" s="54">
        <f>600+55+807+70</f>
        <v>1532</v>
      </c>
      <c r="N129" s="31">
        <f>55+807+70</f>
        <v>932</v>
      </c>
      <c r="O129" s="54">
        <f>600+58+980</f>
        <v>1638</v>
      </c>
      <c r="P129" s="31">
        <f>58+980</f>
        <v>1038</v>
      </c>
      <c r="Q129" s="54">
        <f>700+59+964</f>
        <v>1723</v>
      </c>
      <c r="R129" s="31">
        <f>59+964</f>
        <v>1023</v>
      </c>
      <c r="S129" s="54">
        <f>400+115+2050</f>
        <v>2565</v>
      </c>
      <c r="T129" s="31">
        <f>115+2050</f>
        <v>2165</v>
      </c>
      <c r="U129" s="54">
        <f>12+1951</f>
        <v>1963</v>
      </c>
      <c r="V129" s="31">
        <f>12+1951</f>
        <v>1963</v>
      </c>
    </row>
    <row r="130" spans="1:22" ht="12.75">
      <c r="A130" s="43"/>
      <c r="B130" s="42" t="s">
        <v>15</v>
      </c>
      <c r="C130" s="51"/>
      <c r="D130" s="31"/>
      <c r="E130" s="51"/>
      <c r="F130" s="31"/>
      <c r="G130" s="51">
        <v>203</v>
      </c>
      <c r="H130" s="31">
        <v>203</v>
      </c>
      <c r="I130" s="51">
        <v>61</v>
      </c>
      <c r="J130" s="31">
        <v>61</v>
      </c>
      <c r="K130" s="51"/>
      <c r="L130" s="31"/>
      <c r="M130" s="51"/>
      <c r="N130" s="31"/>
      <c r="O130" s="51"/>
      <c r="P130" s="31"/>
      <c r="Q130" s="51"/>
      <c r="R130" s="31"/>
      <c r="S130" s="51"/>
      <c r="T130" s="31"/>
      <c r="U130" s="51"/>
      <c r="V130" s="31"/>
    </row>
    <row r="131" spans="1:22" ht="12.75">
      <c r="A131" s="43"/>
      <c r="B131" s="101" t="s">
        <v>57</v>
      </c>
      <c r="C131" s="51"/>
      <c r="D131" s="31"/>
      <c r="E131" s="51">
        <v>19</v>
      </c>
      <c r="F131" s="31">
        <v>19</v>
      </c>
      <c r="G131" s="51">
        <v>19</v>
      </c>
      <c r="H131" s="31">
        <v>19</v>
      </c>
      <c r="I131" s="51">
        <f>22+150</f>
        <v>172</v>
      </c>
      <c r="J131" s="31">
        <f>22+150</f>
        <v>172</v>
      </c>
      <c r="K131" s="51">
        <v>11</v>
      </c>
      <c r="L131" s="31">
        <v>11</v>
      </c>
      <c r="M131" s="51">
        <f>29+99</f>
        <v>128</v>
      </c>
      <c r="N131" s="31">
        <f>29+99</f>
        <v>128</v>
      </c>
      <c r="O131" s="51">
        <v>69</v>
      </c>
      <c r="P131" s="31">
        <v>69</v>
      </c>
      <c r="Q131" s="51">
        <v>94</v>
      </c>
      <c r="R131" s="31">
        <v>94</v>
      </c>
      <c r="S131" s="51">
        <v>80</v>
      </c>
      <c r="T131" s="31">
        <v>80</v>
      </c>
      <c r="U131" s="51"/>
      <c r="V131" s="31"/>
    </row>
    <row r="132" spans="1:22" ht="12.75">
      <c r="A132" s="43"/>
      <c r="B132" s="101" t="s">
        <v>96</v>
      </c>
      <c r="C132" s="51"/>
      <c r="D132" s="31"/>
      <c r="E132" s="51">
        <v>270</v>
      </c>
      <c r="F132" s="31">
        <v>270</v>
      </c>
      <c r="G132" s="51">
        <v>59</v>
      </c>
      <c r="H132" s="31">
        <v>59</v>
      </c>
      <c r="I132" s="51"/>
      <c r="J132" s="31"/>
      <c r="K132" s="51"/>
      <c r="L132" s="31"/>
      <c r="M132" s="51"/>
      <c r="N132" s="31"/>
      <c r="O132" s="51"/>
      <c r="P132" s="31"/>
      <c r="Q132" s="51"/>
      <c r="R132" s="31"/>
      <c r="S132" s="51"/>
      <c r="T132" s="31"/>
      <c r="U132" s="51"/>
      <c r="V132" s="31"/>
    </row>
    <row r="133" spans="1:22" ht="12.75">
      <c r="A133" s="43"/>
      <c r="B133" s="101" t="s">
        <v>65</v>
      </c>
      <c r="C133" s="54">
        <v>1</v>
      </c>
      <c r="D133" s="31">
        <v>1</v>
      </c>
      <c r="E133" s="51">
        <f>516+2</f>
        <v>518</v>
      </c>
      <c r="F133" s="31">
        <v>2</v>
      </c>
      <c r="G133" s="51">
        <f>517+3</f>
        <v>520</v>
      </c>
      <c r="H133" s="31">
        <v>3</v>
      </c>
      <c r="I133" s="51">
        <f>516+6</f>
        <v>522</v>
      </c>
      <c r="J133" s="31">
        <v>6</v>
      </c>
      <c r="K133" s="51">
        <f>515+12</f>
        <v>527</v>
      </c>
      <c r="L133" s="31">
        <v>12</v>
      </c>
      <c r="M133" s="51">
        <f>10+516</f>
        <v>526</v>
      </c>
      <c r="N133" s="31">
        <v>10</v>
      </c>
      <c r="O133" s="51">
        <f>93+517</f>
        <v>610</v>
      </c>
      <c r="P133" s="31">
        <v>93</v>
      </c>
      <c r="Q133" s="51">
        <f>132+517</f>
        <v>649</v>
      </c>
      <c r="R133" s="31">
        <v>132</v>
      </c>
      <c r="S133" s="51">
        <f>40+516</f>
        <v>556</v>
      </c>
      <c r="T133" s="31">
        <v>40</v>
      </c>
      <c r="U133" s="51">
        <v>764</v>
      </c>
      <c r="V133" s="31">
        <v>764</v>
      </c>
    </row>
    <row r="134" spans="1:22" ht="12.75">
      <c r="A134" s="43"/>
      <c r="B134" s="103" t="s">
        <v>58</v>
      </c>
      <c r="C134" s="54"/>
      <c r="D134" s="31"/>
      <c r="E134" s="54">
        <v>55</v>
      </c>
      <c r="F134" s="31"/>
      <c r="G134" s="54">
        <v>90</v>
      </c>
      <c r="H134" s="31"/>
      <c r="I134" s="54">
        <v>181</v>
      </c>
      <c r="J134" s="31"/>
      <c r="K134" s="54"/>
      <c r="L134" s="31"/>
      <c r="M134" s="54">
        <v>2</v>
      </c>
      <c r="N134" s="31"/>
      <c r="O134" s="54">
        <f>7+3</f>
        <v>10</v>
      </c>
      <c r="P134" s="31">
        <v>3</v>
      </c>
      <c r="Q134" s="54">
        <f>3+9</f>
        <v>12</v>
      </c>
      <c r="R134" s="31">
        <v>9</v>
      </c>
      <c r="S134" s="54">
        <v>3</v>
      </c>
      <c r="T134" s="31">
        <v>3</v>
      </c>
      <c r="U134" s="54"/>
      <c r="V134" s="31"/>
    </row>
    <row r="135" spans="1:22" ht="12.75">
      <c r="A135" s="43"/>
      <c r="B135" s="103" t="s">
        <v>83</v>
      </c>
      <c r="C135" s="54"/>
      <c r="D135" s="31"/>
      <c r="E135" s="54"/>
      <c r="F135" s="31"/>
      <c r="G135" s="54">
        <v>600</v>
      </c>
      <c r="H135" s="31"/>
      <c r="I135" s="54">
        <v>749</v>
      </c>
      <c r="J135" s="31"/>
      <c r="K135" s="54">
        <v>1466</v>
      </c>
      <c r="L135" s="31"/>
      <c r="M135" s="54"/>
      <c r="N135" s="31"/>
      <c r="O135" s="54"/>
      <c r="P135" s="31"/>
      <c r="Q135" s="54"/>
      <c r="R135" s="31"/>
      <c r="S135" s="54"/>
      <c r="T135" s="31"/>
      <c r="U135" s="54"/>
      <c r="V135" s="31"/>
    </row>
    <row r="136" spans="1:22" ht="12.75">
      <c r="A136" s="47"/>
      <c r="B136" s="102" t="s">
        <v>66</v>
      </c>
      <c r="C136" s="52">
        <v>1239</v>
      </c>
      <c r="D136" s="46">
        <v>1239</v>
      </c>
      <c r="E136" s="52"/>
      <c r="F136" s="46"/>
      <c r="G136" s="52"/>
      <c r="H136" s="46"/>
      <c r="I136" s="52"/>
      <c r="J136" s="46"/>
      <c r="K136" s="52"/>
      <c r="L136" s="46"/>
      <c r="M136" s="52"/>
      <c r="N136" s="46"/>
      <c r="O136" s="52"/>
      <c r="P136" s="46"/>
      <c r="Q136" s="52"/>
      <c r="R136" s="46"/>
      <c r="S136" s="52"/>
      <c r="T136" s="46"/>
      <c r="U136" s="52"/>
      <c r="V136" s="46"/>
    </row>
    <row r="137" spans="1:22" ht="12.75">
      <c r="A137" s="65" t="s">
        <v>116</v>
      </c>
      <c r="B137" s="107"/>
      <c r="C137" s="89">
        <f aca="true" t="shared" si="20" ref="C137:T137">SUM(C138:C147)</f>
        <v>5896</v>
      </c>
      <c r="D137" s="89">
        <f t="shared" si="20"/>
        <v>3931</v>
      </c>
      <c r="E137" s="89">
        <f t="shared" si="20"/>
        <v>3192</v>
      </c>
      <c r="F137" s="89">
        <f t="shared" si="20"/>
        <v>2092</v>
      </c>
      <c r="G137" s="89">
        <f t="shared" si="20"/>
        <v>3350</v>
      </c>
      <c r="H137" s="89">
        <f t="shared" si="20"/>
        <v>2466</v>
      </c>
      <c r="I137" s="89">
        <f t="shared" si="20"/>
        <v>1192</v>
      </c>
      <c r="J137" s="89">
        <f t="shared" si="20"/>
        <v>660</v>
      </c>
      <c r="K137" s="89">
        <f t="shared" si="20"/>
        <v>3841</v>
      </c>
      <c r="L137" s="89">
        <f t="shared" si="20"/>
        <v>3050</v>
      </c>
      <c r="M137" s="89">
        <f t="shared" si="20"/>
        <v>1415</v>
      </c>
      <c r="N137" s="89">
        <f t="shared" si="20"/>
        <v>1149</v>
      </c>
      <c r="O137" s="89">
        <f t="shared" si="20"/>
        <v>1297</v>
      </c>
      <c r="P137" s="89">
        <f t="shared" si="20"/>
        <v>1119</v>
      </c>
      <c r="Q137" s="89">
        <f t="shared" si="20"/>
        <v>1980</v>
      </c>
      <c r="R137" s="89">
        <f t="shared" si="20"/>
        <v>1879</v>
      </c>
      <c r="S137" s="89">
        <f t="shared" si="20"/>
        <v>874</v>
      </c>
      <c r="T137" s="89">
        <f t="shared" si="20"/>
        <v>843</v>
      </c>
      <c r="U137" s="89">
        <f>SUM(U138:U147)</f>
        <v>1238</v>
      </c>
      <c r="V137" s="89">
        <f>SUM(V138:V147)</f>
        <v>1210</v>
      </c>
    </row>
    <row r="138" spans="1:22" ht="12.75">
      <c r="A138" s="43"/>
      <c r="B138" s="101" t="s">
        <v>57</v>
      </c>
      <c r="C138" s="26">
        <v>40</v>
      </c>
      <c r="D138" s="19">
        <v>40</v>
      </c>
      <c r="E138" s="26"/>
      <c r="F138" s="19"/>
      <c r="G138" s="26"/>
      <c r="H138" s="19"/>
      <c r="I138" s="26"/>
      <c r="J138" s="19"/>
      <c r="K138" s="26"/>
      <c r="L138" s="19"/>
      <c r="M138" s="26"/>
      <c r="N138" s="19"/>
      <c r="O138" s="26"/>
      <c r="P138" s="19"/>
      <c r="Q138" s="26"/>
      <c r="R138" s="19"/>
      <c r="S138" s="26"/>
      <c r="T138" s="19"/>
      <c r="U138" s="26"/>
      <c r="V138" s="19"/>
    </row>
    <row r="139" spans="1:22" ht="12.75">
      <c r="A139" s="43"/>
      <c r="B139" s="101" t="s">
        <v>68</v>
      </c>
      <c r="C139" s="50">
        <v>880</v>
      </c>
      <c r="D139" s="31"/>
      <c r="E139" s="60">
        <v>1100</v>
      </c>
      <c r="F139" s="60"/>
      <c r="G139" s="60">
        <v>884</v>
      </c>
      <c r="H139" s="60"/>
      <c r="I139" s="60">
        <f>488+501</f>
        <v>989</v>
      </c>
      <c r="J139" s="60">
        <v>501</v>
      </c>
      <c r="K139" s="60">
        <f>435+527</f>
        <v>962</v>
      </c>
      <c r="L139" s="60">
        <v>527</v>
      </c>
      <c r="M139" s="60">
        <f>218+505</f>
        <v>723</v>
      </c>
      <c r="N139" s="60">
        <v>505</v>
      </c>
      <c r="O139" s="60">
        <f>601+145</f>
        <v>746</v>
      </c>
      <c r="P139" s="60">
        <v>601</v>
      </c>
      <c r="Q139" s="60">
        <f>70+643</f>
        <v>713</v>
      </c>
      <c r="R139" s="60">
        <v>643</v>
      </c>
      <c r="S139" s="60">
        <v>694</v>
      </c>
      <c r="T139" s="60">
        <v>694</v>
      </c>
      <c r="U139" s="60">
        <v>685</v>
      </c>
      <c r="V139" s="60">
        <v>685</v>
      </c>
    </row>
    <row r="140" spans="1:22" ht="12.75">
      <c r="A140" s="43"/>
      <c r="B140" s="101" t="s">
        <v>59</v>
      </c>
      <c r="C140" s="60">
        <f>2453+5</f>
        <v>2458</v>
      </c>
      <c r="D140" s="31">
        <f>2453+5</f>
        <v>2458</v>
      </c>
      <c r="E140" s="60">
        <f>2084+5</f>
        <v>2089</v>
      </c>
      <c r="F140" s="31">
        <f>2084+5</f>
        <v>2089</v>
      </c>
      <c r="G140" s="26">
        <f>2438+5</f>
        <v>2443</v>
      </c>
      <c r="H140" s="19">
        <f>2438+5</f>
        <v>2443</v>
      </c>
      <c r="I140" s="26"/>
      <c r="J140" s="19"/>
      <c r="K140" s="95">
        <v>2283</v>
      </c>
      <c r="L140" s="19">
        <v>2283</v>
      </c>
      <c r="M140" s="26">
        <v>152</v>
      </c>
      <c r="N140" s="19">
        <v>152</v>
      </c>
      <c r="O140" s="26"/>
      <c r="P140" s="19"/>
      <c r="Q140" s="26">
        <v>991</v>
      </c>
      <c r="R140" s="19">
        <v>991</v>
      </c>
      <c r="S140" s="26"/>
      <c r="T140" s="19"/>
      <c r="U140" s="26">
        <v>209</v>
      </c>
      <c r="V140" s="19">
        <v>209</v>
      </c>
    </row>
    <row r="141" spans="1:22" ht="12.75">
      <c r="A141" s="43"/>
      <c r="B141" s="101" t="s">
        <v>95</v>
      </c>
      <c r="C141" s="60"/>
      <c r="D141" s="31"/>
      <c r="E141" s="26"/>
      <c r="F141" s="19"/>
      <c r="G141" s="26"/>
      <c r="H141" s="19"/>
      <c r="I141" s="26">
        <v>41</v>
      </c>
      <c r="J141" s="19">
        <v>41</v>
      </c>
      <c r="K141" s="95">
        <v>79</v>
      </c>
      <c r="L141" s="19">
        <v>79</v>
      </c>
      <c r="M141" s="26">
        <v>28</v>
      </c>
      <c r="N141" s="19">
        <v>28</v>
      </c>
      <c r="O141" s="26">
        <v>61</v>
      </c>
      <c r="P141" s="19">
        <v>61</v>
      </c>
      <c r="Q141" s="26"/>
      <c r="R141" s="19"/>
      <c r="S141" s="26">
        <v>45</v>
      </c>
      <c r="T141" s="19">
        <v>45</v>
      </c>
      <c r="U141" s="26">
        <v>78</v>
      </c>
      <c r="V141" s="19">
        <v>78</v>
      </c>
    </row>
    <row r="142" spans="1:22" ht="12.75">
      <c r="A142" s="43"/>
      <c r="B142" s="101" t="s">
        <v>62</v>
      </c>
      <c r="C142" s="50">
        <v>18</v>
      </c>
      <c r="D142" s="31">
        <v>18</v>
      </c>
      <c r="E142" s="50"/>
      <c r="F142" s="31"/>
      <c r="G142" s="50"/>
      <c r="H142" s="31"/>
      <c r="I142" s="50"/>
      <c r="J142" s="31"/>
      <c r="K142" s="50"/>
      <c r="L142" s="31"/>
      <c r="M142" s="50"/>
      <c r="N142" s="31"/>
      <c r="O142" s="50"/>
      <c r="P142" s="31"/>
      <c r="Q142" s="50"/>
      <c r="R142" s="31"/>
      <c r="S142" s="50"/>
      <c r="T142" s="31"/>
      <c r="U142" s="50"/>
      <c r="V142" s="31"/>
    </row>
    <row r="143" spans="1:22" ht="12.75">
      <c r="A143" s="43"/>
      <c r="B143" s="42" t="s">
        <v>15</v>
      </c>
      <c r="C143" s="60">
        <v>1411</v>
      </c>
      <c r="D143" s="31">
        <v>1411</v>
      </c>
      <c r="E143" s="60"/>
      <c r="F143" s="31"/>
      <c r="G143" s="60"/>
      <c r="H143" s="31"/>
      <c r="I143" s="60">
        <v>15</v>
      </c>
      <c r="J143" s="31">
        <v>15</v>
      </c>
      <c r="K143" s="60">
        <v>5</v>
      </c>
      <c r="L143" s="31">
        <v>5</v>
      </c>
      <c r="M143" s="50">
        <v>191</v>
      </c>
      <c r="N143" s="31">
        <v>191</v>
      </c>
      <c r="O143" s="50">
        <v>338</v>
      </c>
      <c r="P143" s="31">
        <v>338</v>
      </c>
      <c r="Q143" s="50">
        <v>3</v>
      </c>
      <c r="R143" s="31">
        <v>3</v>
      </c>
      <c r="S143" s="50"/>
      <c r="T143" s="31"/>
      <c r="U143" s="50">
        <v>30</v>
      </c>
      <c r="V143" s="31">
        <v>30</v>
      </c>
    </row>
    <row r="144" spans="1:22" ht="12.75">
      <c r="A144" s="44"/>
      <c r="B144" s="101" t="s">
        <v>14</v>
      </c>
      <c r="C144" s="31">
        <v>1085</v>
      </c>
      <c r="D144" s="42"/>
      <c r="E144" s="31"/>
      <c r="F144" s="42"/>
      <c r="G144" s="31"/>
      <c r="H144" s="42"/>
      <c r="I144" s="31"/>
      <c r="J144" s="42"/>
      <c r="K144" s="30">
        <v>31</v>
      </c>
      <c r="L144" s="31">
        <v>31</v>
      </c>
      <c r="M144" s="30">
        <v>20</v>
      </c>
      <c r="N144" s="31">
        <v>20</v>
      </c>
      <c r="O144" s="30">
        <v>42</v>
      </c>
      <c r="P144" s="31">
        <v>42</v>
      </c>
      <c r="Q144" s="30">
        <v>20</v>
      </c>
      <c r="R144" s="31">
        <v>20</v>
      </c>
      <c r="S144" s="30"/>
      <c r="T144" s="31"/>
      <c r="U144" s="30">
        <v>14</v>
      </c>
      <c r="V144" s="31">
        <v>14</v>
      </c>
    </row>
    <row r="145" spans="1:22" ht="12.75">
      <c r="A145" s="9"/>
      <c r="B145" s="101" t="s">
        <v>19</v>
      </c>
      <c r="C145" s="21"/>
      <c r="D145" s="17"/>
      <c r="E145" s="21"/>
      <c r="F145" s="17"/>
      <c r="G145" s="21"/>
      <c r="H145" s="17"/>
      <c r="I145" s="21">
        <v>44</v>
      </c>
      <c r="J145" s="17"/>
      <c r="K145" s="21">
        <v>41</v>
      </c>
      <c r="L145" s="17"/>
      <c r="M145" s="21">
        <v>47</v>
      </c>
      <c r="N145" s="17"/>
      <c r="O145" s="21">
        <v>33</v>
      </c>
      <c r="P145" s="17"/>
      <c r="Q145" s="21">
        <v>30</v>
      </c>
      <c r="R145" s="17"/>
      <c r="S145" s="21">
        <v>30</v>
      </c>
      <c r="T145" s="17"/>
      <c r="U145" s="21">
        <v>27</v>
      </c>
      <c r="V145" s="17"/>
    </row>
    <row r="146" spans="1:22" ht="12.75">
      <c r="A146" s="43"/>
      <c r="B146" s="101" t="s">
        <v>58</v>
      </c>
      <c r="C146" s="50"/>
      <c r="D146" s="31"/>
      <c r="E146" s="50">
        <v>3</v>
      </c>
      <c r="F146" s="31">
        <v>3</v>
      </c>
      <c r="G146" s="50">
        <f>22+1</f>
        <v>23</v>
      </c>
      <c r="H146" s="31">
        <f>22+1</f>
        <v>23</v>
      </c>
      <c r="I146" s="50">
        <v>86</v>
      </c>
      <c r="J146" s="31">
        <v>86</v>
      </c>
      <c r="K146" s="50">
        <f>315+107</f>
        <v>422</v>
      </c>
      <c r="L146" s="50">
        <f>107</f>
        <v>107</v>
      </c>
      <c r="M146" s="50">
        <f>1+18</f>
        <v>19</v>
      </c>
      <c r="N146" s="31">
        <v>18</v>
      </c>
      <c r="O146" s="50">
        <v>7</v>
      </c>
      <c r="P146" s="31">
        <v>7</v>
      </c>
      <c r="Q146" s="50">
        <f>1+222</f>
        <v>223</v>
      </c>
      <c r="R146" s="31">
        <v>222</v>
      </c>
      <c r="S146" s="50">
        <v>103</v>
      </c>
      <c r="T146" s="31">
        <v>103</v>
      </c>
      <c r="U146" s="50">
        <f>1+194</f>
        <v>195</v>
      </c>
      <c r="V146" s="31">
        <v>194</v>
      </c>
    </row>
    <row r="147" spans="1:22" ht="12.75">
      <c r="A147" s="47"/>
      <c r="B147" s="102" t="s">
        <v>60</v>
      </c>
      <c r="C147" s="52">
        <v>4</v>
      </c>
      <c r="D147" s="46">
        <v>4</v>
      </c>
      <c r="E147" s="52"/>
      <c r="F147" s="46"/>
      <c r="G147" s="52"/>
      <c r="H147" s="46"/>
      <c r="I147" s="52">
        <v>17</v>
      </c>
      <c r="J147" s="46">
        <v>17</v>
      </c>
      <c r="K147" s="52">
        <v>18</v>
      </c>
      <c r="L147" s="46">
        <v>18</v>
      </c>
      <c r="M147" s="52">
        <v>235</v>
      </c>
      <c r="N147" s="46">
        <v>235</v>
      </c>
      <c r="O147" s="52">
        <v>70</v>
      </c>
      <c r="P147" s="46">
        <v>70</v>
      </c>
      <c r="Q147" s="52"/>
      <c r="R147" s="46"/>
      <c r="S147" s="52">
        <v>2</v>
      </c>
      <c r="T147" s="46">
        <v>1</v>
      </c>
      <c r="U147" s="52"/>
      <c r="V147" s="46"/>
    </row>
    <row r="148" spans="1:22" ht="12.75">
      <c r="A148" s="114" t="s">
        <v>127</v>
      </c>
      <c r="B148" s="115"/>
      <c r="C148" s="116">
        <f aca="true" t="shared" si="21" ref="C148:V148">+C149+C171+C193</f>
        <v>342207</v>
      </c>
      <c r="D148" s="116">
        <f t="shared" si="21"/>
        <v>110</v>
      </c>
      <c r="E148" s="116">
        <f t="shared" si="21"/>
        <v>364576</v>
      </c>
      <c r="F148" s="116">
        <f t="shared" si="21"/>
        <v>75</v>
      </c>
      <c r="G148" s="116">
        <f t="shared" si="21"/>
        <v>395118</v>
      </c>
      <c r="H148" s="116">
        <f t="shared" si="21"/>
        <v>81</v>
      </c>
      <c r="I148" s="116">
        <f t="shared" si="21"/>
        <v>390696</v>
      </c>
      <c r="J148" s="116">
        <f t="shared" si="21"/>
        <v>80</v>
      </c>
      <c r="K148" s="116">
        <f t="shared" si="21"/>
        <v>395326</v>
      </c>
      <c r="L148" s="116">
        <f t="shared" si="21"/>
        <v>158</v>
      </c>
      <c r="M148" s="116">
        <f t="shared" si="21"/>
        <v>384129</v>
      </c>
      <c r="N148" s="116">
        <f t="shared" si="21"/>
        <v>161</v>
      </c>
      <c r="O148" s="116">
        <f t="shared" si="21"/>
        <v>403862</v>
      </c>
      <c r="P148" s="116">
        <f t="shared" si="21"/>
        <v>107</v>
      </c>
      <c r="Q148" s="116">
        <f t="shared" si="21"/>
        <v>413401</v>
      </c>
      <c r="R148" s="116">
        <f t="shared" si="21"/>
        <v>3393</v>
      </c>
      <c r="S148" s="116">
        <f t="shared" si="21"/>
        <v>411538</v>
      </c>
      <c r="T148" s="116">
        <f t="shared" si="21"/>
        <v>42</v>
      </c>
      <c r="U148" s="116">
        <f t="shared" si="21"/>
        <v>418996</v>
      </c>
      <c r="V148" s="116">
        <f t="shared" si="21"/>
        <v>557</v>
      </c>
    </row>
    <row r="149" spans="1:22" ht="12.75">
      <c r="A149" s="24" t="s">
        <v>128</v>
      </c>
      <c r="B149" s="111"/>
      <c r="C149" s="25">
        <f aca="true" t="shared" si="22" ref="C149:T149">SUM(C150:C170)</f>
        <v>123166</v>
      </c>
      <c r="D149" s="25">
        <f t="shared" si="22"/>
        <v>26</v>
      </c>
      <c r="E149" s="25">
        <f t="shared" si="22"/>
        <v>130203</v>
      </c>
      <c r="F149" s="25">
        <f t="shared" si="22"/>
        <v>10</v>
      </c>
      <c r="G149" s="25">
        <f t="shared" si="22"/>
        <v>143371</v>
      </c>
      <c r="H149" s="25">
        <f t="shared" si="22"/>
        <v>24</v>
      </c>
      <c r="I149" s="25">
        <f t="shared" si="22"/>
        <v>130928</v>
      </c>
      <c r="J149" s="25">
        <f t="shared" si="22"/>
        <v>2</v>
      </c>
      <c r="K149" s="25">
        <f t="shared" si="22"/>
        <v>134114</v>
      </c>
      <c r="L149" s="25">
        <f t="shared" si="22"/>
        <v>2</v>
      </c>
      <c r="M149" s="25">
        <f t="shared" si="22"/>
        <v>123921</v>
      </c>
      <c r="N149" s="25">
        <f t="shared" si="22"/>
        <v>1</v>
      </c>
      <c r="O149" s="25">
        <f t="shared" si="22"/>
        <v>121764</v>
      </c>
      <c r="P149" s="25">
        <f t="shared" si="22"/>
        <v>1</v>
      </c>
      <c r="Q149" s="25">
        <f t="shared" si="22"/>
        <v>168912</v>
      </c>
      <c r="R149" s="25">
        <f t="shared" si="22"/>
        <v>31</v>
      </c>
      <c r="S149" s="25">
        <f t="shared" si="22"/>
        <v>167688</v>
      </c>
      <c r="T149" s="25">
        <f t="shared" si="22"/>
        <v>30</v>
      </c>
      <c r="U149" s="25">
        <f>SUM(U150:U170)</f>
        <v>173702</v>
      </c>
      <c r="V149" s="25">
        <f>SUM(V150:V170)</f>
        <v>16</v>
      </c>
    </row>
    <row r="150" spans="1:22" ht="12.75">
      <c r="A150" s="71"/>
      <c r="B150" s="103" t="s">
        <v>23</v>
      </c>
      <c r="C150" s="60">
        <v>69381</v>
      </c>
      <c r="D150" s="60"/>
      <c r="E150" s="60">
        <v>5982</v>
      </c>
      <c r="F150" s="60"/>
      <c r="G150" s="60"/>
      <c r="H150" s="60"/>
      <c r="I150" s="60">
        <v>463</v>
      </c>
      <c r="J150" s="60"/>
      <c r="K150" s="60">
        <v>8152</v>
      </c>
      <c r="L150" s="60"/>
      <c r="M150" s="60">
        <v>10212</v>
      </c>
      <c r="N150" s="60"/>
      <c r="O150" s="60">
        <v>61126</v>
      </c>
      <c r="P150" s="60"/>
      <c r="Q150" s="60">
        <v>61229</v>
      </c>
      <c r="R150" s="60"/>
      <c r="S150" s="60">
        <v>61691</v>
      </c>
      <c r="T150" s="60"/>
      <c r="U150" s="60">
        <v>60143</v>
      </c>
      <c r="V150" s="60"/>
    </row>
    <row r="151" spans="1:22" ht="12.75">
      <c r="A151" s="71"/>
      <c r="B151" s="103" t="s">
        <v>77</v>
      </c>
      <c r="C151" s="60"/>
      <c r="D151" s="55"/>
      <c r="E151" s="60">
        <v>64952</v>
      </c>
      <c r="F151" s="55"/>
      <c r="G151" s="60">
        <v>91870</v>
      </c>
      <c r="H151" s="55"/>
      <c r="I151" s="60">
        <v>93361</v>
      </c>
      <c r="J151" s="55"/>
      <c r="K151" s="60">
        <v>92691</v>
      </c>
      <c r="L151" s="55"/>
      <c r="M151" s="60">
        <v>91684</v>
      </c>
      <c r="N151" s="55"/>
      <c r="O151" s="60">
        <v>8433</v>
      </c>
      <c r="P151" s="55"/>
      <c r="Q151" s="60">
        <v>8465</v>
      </c>
      <c r="R151" s="55"/>
      <c r="S151" s="60">
        <v>8433</v>
      </c>
      <c r="T151" s="55"/>
      <c r="U151" s="60">
        <v>8719</v>
      </c>
      <c r="V151" s="55"/>
    </row>
    <row r="152" spans="1:22" ht="12.75">
      <c r="A152" s="71"/>
      <c r="B152" s="103" t="s">
        <v>103</v>
      </c>
      <c r="C152" s="60"/>
      <c r="D152" s="55"/>
      <c r="E152" s="60"/>
      <c r="F152" s="55"/>
      <c r="G152" s="60"/>
      <c r="H152" s="55"/>
      <c r="I152" s="60"/>
      <c r="J152" s="55"/>
      <c r="K152" s="60"/>
      <c r="L152" s="55"/>
      <c r="M152" s="60">
        <v>234</v>
      </c>
      <c r="N152" s="55"/>
      <c r="O152" s="60">
        <v>268</v>
      </c>
      <c r="P152" s="55"/>
      <c r="Q152" s="60">
        <v>287</v>
      </c>
      <c r="R152" s="55"/>
      <c r="S152" s="60">
        <v>237</v>
      </c>
      <c r="T152" s="55"/>
      <c r="U152" s="60">
        <v>187</v>
      </c>
      <c r="V152" s="55"/>
    </row>
    <row r="153" spans="1:22" ht="12.75">
      <c r="A153" s="71"/>
      <c r="B153" s="103" t="s">
        <v>24</v>
      </c>
      <c r="C153" s="60">
        <v>14691</v>
      </c>
      <c r="D153" s="55"/>
      <c r="E153" s="60">
        <v>13496</v>
      </c>
      <c r="F153" s="55"/>
      <c r="G153" s="60">
        <v>11156</v>
      </c>
      <c r="H153" s="55"/>
      <c r="I153" s="60">
        <v>2111</v>
      </c>
      <c r="J153" s="55"/>
      <c r="K153" s="60">
        <v>1494</v>
      </c>
      <c r="L153" s="55"/>
      <c r="M153" s="60">
        <v>1494</v>
      </c>
      <c r="N153" s="55"/>
      <c r="O153" s="60">
        <v>6775</v>
      </c>
      <c r="P153" s="55"/>
      <c r="Q153" s="60">
        <v>5286</v>
      </c>
      <c r="R153" s="55"/>
      <c r="S153" s="60">
        <v>4715</v>
      </c>
      <c r="T153" s="55"/>
      <c r="U153" s="60">
        <v>2432</v>
      </c>
      <c r="V153" s="55"/>
    </row>
    <row r="154" spans="1:22" ht="12.75">
      <c r="A154" s="71"/>
      <c r="B154" s="103" t="s">
        <v>113</v>
      </c>
      <c r="C154" s="60"/>
      <c r="D154" s="55"/>
      <c r="E154" s="60"/>
      <c r="F154" s="55"/>
      <c r="G154" s="60"/>
      <c r="H154" s="55"/>
      <c r="I154" s="60"/>
      <c r="J154" s="55"/>
      <c r="K154" s="60"/>
      <c r="L154" s="55"/>
      <c r="M154" s="60"/>
      <c r="N154" s="55"/>
      <c r="O154" s="60"/>
      <c r="P154" s="55"/>
      <c r="Q154" s="60">
        <v>50268</v>
      </c>
      <c r="R154" s="55"/>
      <c r="S154" s="60">
        <v>52858</v>
      </c>
      <c r="T154" s="55"/>
      <c r="U154" s="60">
        <v>64739</v>
      </c>
      <c r="V154" s="55"/>
    </row>
    <row r="155" spans="1:22" ht="12.75">
      <c r="A155" s="71"/>
      <c r="B155" s="103" t="s">
        <v>114</v>
      </c>
      <c r="C155" s="60"/>
      <c r="D155" s="55"/>
      <c r="E155" s="60"/>
      <c r="F155" s="55"/>
      <c r="G155" s="60"/>
      <c r="H155" s="55"/>
      <c r="I155" s="60"/>
      <c r="J155" s="55"/>
      <c r="K155" s="60"/>
      <c r="L155" s="55"/>
      <c r="M155" s="60"/>
      <c r="N155" s="55"/>
      <c r="O155" s="60"/>
      <c r="P155" s="55"/>
      <c r="Q155" s="60"/>
      <c r="R155" s="55"/>
      <c r="S155" s="60">
        <v>6025</v>
      </c>
      <c r="T155" s="55"/>
      <c r="U155" s="60"/>
      <c r="V155" s="55"/>
    </row>
    <row r="156" spans="1:22" ht="12.75">
      <c r="A156" s="71"/>
      <c r="B156" s="101" t="s">
        <v>16</v>
      </c>
      <c r="C156" s="60">
        <v>6</v>
      </c>
      <c r="D156" s="55"/>
      <c r="E156" s="60">
        <v>10</v>
      </c>
      <c r="F156" s="55"/>
      <c r="G156" s="60"/>
      <c r="H156" s="55"/>
      <c r="I156" s="60">
        <v>5</v>
      </c>
      <c r="J156" s="55"/>
      <c r="K156" s="60"/>
      <c r="L156" s="55"/>
      <c r="M156" s="60"/>
      <c r="N156" s="55"/>
      <c r="O156" s="60"/>
      <c r="P156" s="55"/>
      <c r="Q156" s="60"/>
      <c r="R156" s="55"/>
      <c r="S156" s="60"/>
      <c r="T156" s="55"/>
      <c r="U156" s="60"/>
      <c r="V156" s="55"/>
    </row>
    <row r="157" spans="1:22" s="80" customFormat="1" ht="12.75">
      <c r="A157" s="71"/>
      <c r="B157" s="103" t="s">
        <v>25</v>
      </c>
      <c r="C157" s="60">
        <v>14</v>
      </c>
      <c r="D157" s="55">
        <v>14</v>
      </c>
      <c r="E157" s="60">
        <v>10</v>
      </c>
      <c r="F157" s="55">
        <v>10</v>
      </c>
      <c r="G157" s="60">
        <v>6</v>
      </c>
      <c r="H157" s="55">
        <v>6</v>
      </c>
      <c r="I157" s="60">
        <v>2</v>
      </c>
      <c r="J157" s="55">
        <v>2</v>
      </c>
      <c r="K157" s="60">
        <v>2</v>
      </c>
      <c r="L157" s="55">
        <v>2</v>
      </c>
      <c r="M157" s="60">
        <v>1</v>
      </c>
      <c r="N157" s="55">
        <v>1</v>
      </c>
      <c r="O157" s="60">
        <v>1</v>
      </c>
      <c r="P157" s="55">
        <v>1</v>
      </c>
      <c r="Q157" s="60">
        <v>1</v>
      </c>
      <c r="R157" s="55">
        <v>1</v>
      </c>
      <c r="S157" s="60"/>
      <c r="T157" s="55"/>
      <c r="U157" s="60"/>
      <c r="V157" s="55"/>
    </row>
    <row r="158" spans="1:22" ht="12.75">
      <c r="A158" s="71"/>
      <c r="B158" s="103" t="s">
        <v>26</v>
      </c>
      <c r="C158" s="60">
        <v>3672</v>
      </c>
      <c r="D158" s="55">
        <v>12</v>
      </c>
      <c r="E158" s="60">
        <v>2946</v>
      </c>
      <c r="F158" s="55"/>
      <c r="G158" s="60">
        <v>2280</v>
      </c>
      <c r="H158" s="55"/>
      <c r="I158" s="60">
        <v>3381</v>
      </c>
      <c r="J158" s="55"/>
      <c r="K158" s="60">
        <v>2663</v>
      </c>
      <c r="L158" s="55"/>
      <c r="M158" s="60">
        <v>2829</v>
      </c>
      <c r="N158" s="55"/>
      <c r="O158" s="60">
        <v>3777</v>
      </c>
      <c r="P158" s="55"/>
      <c r="Q158" s="60">
        <v>4758</v>
      </c>
      <c r="R158" s="55"/>
      <c r="S158" s="60">
        <v>4719</v>
      </c>
      <c r="T158" s="55"/>
      <c r="U158" s="60">
        <v>3089</v>
      </c>
      <c r="V158" s="55"/>
    </row>
    <row r="159" spans="1:22" s="45" customFormat="1" ht="12.75">
      <c r="A159" s="71"/>
      <c r="B159" s="103" t="s">
        <v>27</v>
      </c>
      <c r="C159" s="60">
        <v>1639</v>
      </c>
      <c r="D159" s="55"/>
      <c r="E159" s="60">
        <v>1353</v>
      </c>
      <c r="F159" s="55"/>
      <c r="G159" s="60">
        <v>2117</v>
      </c>
      <c r="H159" s="55"/>
      <c r="I159" s="60">
        <v>150</v>
      </c>
      <c r="J159" s="55"/>
      <c r="K159" s="60">
        <v>35</v>
      </c>
      <c r="L159" s="55"/>
      <c r="M159" s="60">
        <v>27</v>
      </c>
      <c r="N159" s="55"/>
      <c r="O159" s="60">
        <v>2844</v>
      </c>
      <c r="P159" s="55"/>
      <c r="Q159" s="60">
        <v>3698</v>
      </c>
      <c r="R159" s="55"/>
      <c r="S159" s="60">
        <v>2572</v>
      </c>
      <c r="T159" s="55"/>
      <c r="U159" s="60">
        <v>450</v>
      </c>
      <c r="V159" s="55"/>
    </row>
    <row r="160" spans="1:22" s="45" customFormat="1" ht="12.75">
      <c r="A160" s="71"/>
      <c r="B160" s="103" t="s">
        <v>32</v>
      </c>
      <c r="C160" s="60">
        <v>6126</v>
      </c>
      <c r="D160" s="55"/>
      <c r="E160" s="60">
        <v>6266</v>
      </c>
      <c r="F160" s="55"/>
      <c r="G160" s="60">
        <v>8382</v>
      </c>
      <c r="H160" s="55"/>
      <c r="I160" s="60">
        <v>8325</v>
      </c>
      <c r="J160" s="55"/>
      <c r="K160" s="60">
        <v>12218</v>
      </c>
      <c r="L160" s="55"/>
      <c r="M160" s="60">
        <v>3487</v>
      </c>
      <c r="N160" s="55"/>
      <c r="O160" s="60">
        <v>10626</v>
      </c>
      <c r="P160" s="55"/>
      <c r="Q160" s="60">
        <v>433</v>
      </c>
      <c r="R160" s="55"/>
      <c r="S160" s="60">
        <v>925</v>
      </c>
      <c r="T160" s="55"/>
      <c r="U160" s="60">
        <v>6685</v>
      </c>
      <c r="V160" s="55"/>
    </row>
    <row r="161" spans="1:22" ht="12.75">
      <c r="A161" s="71"/>
      <c r="B161" s="103" t="s">
        <v>28</v>
      </c>
      <c r="C161" s="60">
        <v>15530</v>
      </c>
      <c r="D161" s="55"/>
      <c r="E161" s="60">
        <v>15375</v>
      </c>
      <c r="F161" s="55"/>
      <c r="G161" s="60"/>
      <c r="H161" s="55"/>
      <c r="I161" s="60"/>
      <c r="J161" s="55"/>
      <c r="K161" s="60"/>
      <c r="L161" s="55"/>
      <c r="M161" s="60"/>
      <c r="N161" s="55"/>
      <c r="O161" s="60">
        <v>15064</v>
      </c>
      <c r="P161" s="55"/>
      <c r="Q161" s="60">
        <v>15064</v>
      </c>
      <c r="R161" s="55"/>
      <c r="S161" s="60">
        <v>15064</v>
      </c>
      <c r="T161" s="55"/>
      <c r="U161" s="60">
        <v>15064</v>
      </c>
      <c r="V161" s="55"/>
    </row>
    <row r="162" spans="1:22" ht="12.75">
      <c r="A162" s="71"/>
      <c r="B162" s="103" t="s">
        <v>29</v>
      </c>
      <c r="C162" s="60">
        <v>722</v>
      </c>
      <c r="D162" s="55"/>
      <c r="E162" s="60">
        <v>714</v>
      </c>
      <c r="F162" s="55"/>
      <c r="G162" s="60"/>
      <c r="H162" s="55"/>
      <c r="I162" s="60"/>
      <c r="J162" s="55"/>
      <c r="K162" s="60"/>
      <c r="L162" s="55"/>
      <c r="M162" s="60"/>
      <c r="N162" s="55"/>
      <c r="O162" s="60">
        <v>700</v>
      </c>
      <c r="P162" s="55"/>
      <c r="Q162" s="60">
        <v>700</v>
      </c>
      <c r="R162" s="55"/>
      <c r="S162" s="60">
        <v>700</v>
      </c>
      <c r="T162" s="55"/>
      <c r="U162" s="60">
        <v>700</v>
      </c>
      <c r="V162" s="55"/>
    </row>
    <row r="163" spans="1:22" ht="12.75">
      <c r="A163" s="71"/>
      <c r="B163" s="103" t="s">
        <v>34</v>
      </c>
      <c r="C163" s="60">
        <v>2</v>
      </c>
      <c r="D163" s="55"/>
      <c r="E163" s="60">
        <v>2</v>
      </c>
      <c r="F163" s="55"/>
      <c r="G163" s="60">
        <v>18</v>
      </c>
      <c r="H163" s="55">
        <v>18</v>
      </c>
      <c r="I163" s="60">
        <v>50</v>
      </c>
      <c r="J163" s="55"/>
      <c r="K163" s="60">
        <v>27</v>
      </c>
      <c r="L163" s="55"/>
      <c r="M163" s="60"/>
      <c r="N163" s="55"/>
      <c r="O163" s="60"/>
      <c r="P163" s="55"/>
      <c r="Q163" s="60"/>
      <c r="R163" s="55"/>
      <c r="S163" s="60">
        <v>499</v>
      </c>
      <c r="T163" s="55"/>
      <c r="U163" s="60"/>
      <c r="V163" s="55"/>
    </row>
    <row r="164" spans="1:22" ht="12.75">
      <c r="A164" s="71"/>
      <c r="B164" s="103" t="s">
        <v>19</v>
      </c>
      <c r="C164" s="60">
        <v>235</v>
      </c>
      <c r="D164" s="55"/>
      <c r="E164" s="60">
        <v>261</v>
      </c>
      <c r="F164" s="55"/>
      <c r="G164" s="60">
        <v>551</v>
      </c>
      <c r="H164" s="55"/>
      <c r="I164" s="60">
        <v>559</v>
      </c>
      <c r="J164" s="55"/>
      <c r="K164" s="60">
        <v>321</v>
      </c>
      <c r="L164" s="55"/>
      <c r="M164" s="60">
        <v>330</v>
      </c>
      <c r="N164" s="55"/>
      <c r="O164" s="60">
        <v>240</v>
      </c>
      <c r="P164" s="55"/>
      <c r="Q164" s="60">
        <v>408</v>
      </c>
      <c r="R164" s="55"/>
      <c r="S164" s="60">
        <v>243</v>
      </c>
      <c r="T164" s="55"/>
      <c r="U164" s="60">
        <v>128</v>
      </c>
      <c r="V164" s="55"/>
    </row>
    <row r="165" spans="1:22" ht="12.75">
      <c r="A165" s="71"/>
      <c r="B165" s="103" t="s">
        <v>53</v>
      </c>
      <c r="C165" s="60"/>
      <c r="D165" s="55"/>
      <c r="E165" s="60"/>
      <c r="F165" s="55"/>
      <c r="G165" s="60"/>
      <c r="H165" s="55"/>
      <c r="I165" s="60">
        <v>54</v>
      </c>
      <c r="J165" s="55"/>
      <c r="K165" s="60">
        <v>11</v>
      </c>
      <c r="L165" s="55"/>
      <c r="M165" s="60">
        <v>10</v>
      </c>
      <c r="N165" s="55"/>
      <c r="O165" s="60">
        <v>3</v>
      </c>
      <c r="P165" s="55"/>
      <c r="Q165" s="60">
        <v>4</v>
      </c>
      <c r="R165" s="55"/>
      <c r="S165" s="60">
        <v>2</v>
      </c>
      <c r="T165" s="55"/>
      <c r="U165" s="60">
        <v>1</v>
      </c>
      <c r="V165" s="55"/>
    </row>
    <row r="166" spans="1:22" ht="12.75">
      <c r="A166" s="71"/>
      <c r="B166" s="101" t="s">
        <v>30</v>
      </c>
      <c r="C166" s="60">
        <v>1291</v>
      </c>
      <c r="D166" s="55"/>
      <c r="E166" s="60">
        <v>430</v>
      </c>
      <c r="F166" s="55"/>
      <c r="G166" s="60"/>
      <c r="H166" s="55"/>
      <c r="I166" s="60"/>
      <c r="J166" s="55"/>
      <c r="K166" s="60"/>
      <c r="L166" s="55"/>
      <c r="M166" s="60"/>
      <c r="N166" s="55"/>
      <c r="O166" s="60"/>
      <c r="P166" s="55"/>
      <c r="Q166" s="60"/>
      <c r="R166" s="55"/>
      <c r="S166" s="60"/>
      <c r="T166" s="55"/>
      <c r="U166" s="60"/>
      <c r="V166" s="55"/>
    </row>
    <row r="167" spans="1:22" ht="12.75">
      <c r="A167" s="71"/>
      <c r="B167" s="103" t="s">
        <v>31</v>
      </c>
      <c r="C167" s="60">
        <v>5371</v>
      </c>
      <c r="D167" s="55"/>
      <c r="E167" s="60">
        <v>2853</v>
      </c>
      <c r="F167" s="55"/>
      <c r="G167" s="60">
        <v>4532</v>
      </c>
      <c r="H167" s="55"/>
      <c r="I167" s="60">
        <v>3832</v>
      </c>
      <c r="J167" s="55"/>
      <c r="K167" s="60">
        <v>4617</v>
      </c>
      <c r="L167" s="55"/>
      <c r="M167" s="60">
        <v>2499</v>
      </c>
      <c r="N167" s="55"/>
      <c r="O167" s="60">
        <v>5445</v>
      </c>
      <c r="P167" s="55"/>
      <c r="Q167" s="60">
        <f>13944+30</f>
        <v>13974</v>
      </c>
      <c r="R167" s="55">
        <v>30</v>
      </c>
      <c r="S167" s="60">
        <f>5122+30</f>
        <v>5152</v>
      </c>
      <c r="T167" s="55">
        <v>30</v>
      </c>
      <c r="U167" s="60">
        <f>6237+16</f>
        <v>6253</v>
      </c>
      <c r="V167" s="55">
        <v>16</v>
      </c>
    </row>
    <row r="168" spans="1:22" ht="12.75">
      <c r="A168" s="71"/>
      <c r="B168" s="101" t="s">
        <v>33</v>
      </c>
      <c r="C168" s="60">
        <v>1036</v>
      </c>
      <c r="D168" s="55"/>
      <c r="E168" s="60">
        <v>12247</v>
      </c>
      <c r="F168" s="55"/>
      <c r="G168" s="60">
        <v>19199</v>
      </c>
      <c r="H168" s="55"/>
      <c r="I168" s="60">
        <v>14238</v>
      </c>
      <c r="J168" s="55"/>
      <c r="K168" s="60">
        <v>9270</v>
      </c>
      <c r="L168" s="55"/>
      <c r="M168" s="60">
        <v>9676</v>
      </c>
      <c r="N168" s="55"/>
      <c r="O168" s="60">
        <v>5043</v>
      </c>
      <c r="P168" s="55"/>
      <c r="Q168" s="60">
        <v>3326</v>
      </c>
      <c r="R168" s="55"/>
      <c r="S168" s="60">
        <v>3598</v>
      </c>
      <c r="T168" s="55"/>
      <c r="U168" s="60">
        <v>4857</v>
      </c>
      <c r="V168" s="55"/>
    </row>
    <row r="169" spans="1:22" s="80" customFormat="1" ht="12.75">
      <c r="A169" s="71"/>
      <c r="B169" s="101" t="s">
        <v>47</v>
      </c>
      <c r="C169" s="60">
        <v>3450</v>
      </c>
      <c r="D169" s="55"/>
      <c r="E169" s="60">
        <v>3306</v>
      </c>
      <c r="F169" s="55"/>
      <c r="G169" s="60">
        <v>3260</v>
      </c>
      <c r="H169" s="55"/>
      <c r="I169" s="60">
        <v>1585</v>
      </c>
      <c r="J169" s="55"/>
      <c r="K169" s="60">
        <v>1500</v>
      </c>
      <c r="L169" s="55"/>
      <c r="M169" s="60">
        <v>1438</v>
      </c>
      <c r="N169" s="55"/>
      <c r="O169" s="60">
        <v>1419</v>
      </c>
      <c r="P169" s="55"/>
      <c r="Q169" s="60">
        <v>1011</v>
      </c>
      <c r="R169" s="55"/>
      <c r="S169" s="60">
        <v>255</v>
      </c>
      <c r="T169" s="55"/>
      <c r="U169" s="60">
        <v>255</v>
      </c>
      <c r="V169" s="55"/>
    </row>
    <row r="170" spans="1:22" ht="12.75">
      <c r="A170" s="86"/>
      <c r="B170" s="102" t="s">
        <v>87</v>
      </c>
      <c r="C170" s="73"/>
      <c r="D170" s="62"/>
      <c r="E170" s="73"/>
      <c r="F170" s="62"/>
      <c r="G170" s="73"/>
      <c r="H170" s="62"/>
      <c r="I170" s="73">
        <v>2812</v>
      </c>
      <c r="J170" s="62"/>
      <c r="K170" s="73">
        <v>1113</v>
      </c>
      <c r="L170" s="62"/>
      <c r="M170" s="73"/>
      <c r="N170" s="62"/>
      <c r="O170" s="73"/>
      <c r="P170" s="62"/>
      <c r="Q170" s="73"/>
      <c r="R170" s="62"/>
      <c r="S170" s="73"/>
      <c r="T170" s="62"/>
      <c r="U170" s="73"/>
      <c r="V170" s="62"/>
    </row>
    <row r="171" spans="1:22" ht="12.75">
      <c r="A171" s="64" t="s">
        <v>10</v>
      </c>
      <c r="B171" s="112"/>
      <c r="C171" s="28">
        <f aca="true" t="shared" si="23" ref="C171:R171">SUM(C172:C192)</f>
        <v>212885</v>
      </c>
      <c r="D171" s="28">
        <f t="shared" si="23"/>
        <v>0</v>
      </c>
      <c r="E171" s="28">
        <f t="shared" si="23"/>
        <v>230379</v>
      </c>
      <c r="F171" s="28">
        <f t="shared" si="23"/>
        <v>2</v>
      </c>
      <c r="G171" s="28">
        <f t="shared" si="23"/>
        <v>243739</v>
      </c>
      <c r="H171" s="28">
        <f t="shared" si="23"/>
        <v>1</v>
      </c>
      <c r="I171" s="28">
        <f t="shared" si="23"/>
        <v>251898</v>
      </c>
      <c r="J171" s="28">
        <f t="shared" si="23"/>
        <v>0</v>
      </c>
      <c r="K171" s="28">
        <f t="shared" si="23"/>
        <v>253571</v>
      </c>
      <c r="L171" s="28">
        <f t="shared" si="23"/>
        <v>7</v>
      </c>
      <c r="M171" s="28">
        <f t="shared" si="23"/>
        <v>252788</v>
      </c>
      <c r="N171" s="28">
        <f t="shared" si="23"/>
        <v>5</v>
      </c>
      <c r="O171" s="28">
        <f t="shared" si="23"/>
        <v>276804</v>
      </c>
      <c r="P171" s="28">
        <f t="shared" si="23"/>
        <v>13</v>
      </c>
      <c r="Q171" s="28">
        <f t="shared" si="23"/>
        <v>238111</v>
      </c>
      <c r="R171" s="28">
        <f t="shared" si="23"/>
        <v>3320</v>
      </c>
      <c r="S171" s="28">
        <f>SUM(S172:S192)</f>
        <v>233733</v>
      </c>
      <c r="T171" s="28">
        <f>SUM(T172:T192)</f>
        <v>7</v>
      </c>
      <c r="U171" s="28">
        <f>SUM(U172:U192)</f>
        <v>231884</v>
      </c>
      <c r="V171" s="28">
        <f>SUM(V172:V192)</f>
        <v>530</v>
      </c>
    </row>
    <row r="172" spans="1:22" ht="12.75">
      <c r="A172" s="71"/>
      <c r="B172" s="101" t="s">
        <v>35</v>
      </c>
      <c r="C172" s="60">
        <v>142</v>
      </c>
      <c r="D172" s="55"/>
      <c r="E172" s="60">
        <v>48</v>
      </c>
      <c r="F172" s="55"/>
      <c r="G172" s="60">
        <v>39</v>
      </c>
      <c r="H172" s="55"/>
      <c r="I172" s="60">
        <v>29</v>
      </c>
      <c r="J172" s="55"/>
      <c r="K172" s="60">
        <v>32</v>
      </c>
      <c r="L172" s="55"/>
      <c r="M172" s="60">
        <v>45</v>
      </c>
      <c r="N172" s="55"/>
      <c r="O172" s="60">
        <v>13</v>
      </c>
      <c r="P172" s="55"/>
      <c r="Q172" s="60">
        <v>12</v>
      </c>
      <c r="R172" s="55"/>
      <c r="S172" s="60">
        <v>7</v>
      </c>
      <c r="T172" s="55"/>
      <c r="U172" s="60">
        <v>4</v>
      </c>
      <c r="V172" s="55"/>
    </row>
    <row r="173" spans="1:22" ht="12.75">
      <c r="A173" s="71"/>
      <c r="B173" s="101" t="s">
        <v>36</v>
      </c>
      <c r="C173" s="60">
        <v>130819</v>
      </c>
      <c r="D173" s="55"/>
      <c r="E173" s="60">
        <v>130982</v>
      </c>
      <c r="F173" s="55"/>
      <c r="G173" s="60">
        <v>131250</v>
      </c>
      <c r="H173" s="55"/>
      <c r="I173" s="60">
        <v>131700</v>
      </c>
      <c r="J173" s="55"/>
      <c r="K173" s="60">
        <v>131519</v>
      </c>
      <c r="L173" s="55"/>
      <c r="M173" s="60">
        <v>132773</v>
      </c>
      <c r="N173" s="55"/>
      <c r="O173" s="60">
        <v>138601</v>
      </c>
      <c r="P173" s="55"/>
      <c r="Q173" s="60">
        <v>87789</v>
      </c>
      <c r="R173" s="55"/>
      <c r="S173" s="60">
        <v>83219</v>
      </c>
      <c r="T173" s="55"/>
      <c r="U173" s="60">
        <v>84631</v>
      </c>
      <c r="V173" s="55"/>
    </row>
    <row r="174" spans="1:22" ht="12.75">
      <c r="A174" s="71"/>
      <c r="B174" s="101" t="s">
        <v>79</v>
      </c>
      <c r="C174" s="60"/>
      <c r="D174" s="55"/>
      <c r="E174" s="60"/>
      <c r="F174" s="55"/>
      <c r="G174" s="60">
        <v>4350</v>
      </c>
      <c r="H174" s="55"/>
      <c r="I174" s="60">
        <v>3299</v>
      </c>
      <c r="J174" s="55"/>
      <c r="K174" s="60">
        <v>3968</v>
      </c>
      <c r="L174" s="55"/>
      <c r="M174" s="60">
        <v>2575</v>
      </c>
      <c r="N174" s="55"/>
      <c r="O174" s="60">
        <v>2279</v>
      </c>
      <c r="P174" s="55"/>
      <c r="Q174" s="60">
        <v>2350</v>
      </c>
      <c r="R174" s="55"/>
      <c r="S174" s="60">
        <v>2630</v>
      </c>
      <c r="T174" s="55"/>
      <c r="U174" s="60">
        <v>2230</v>
      </c>
      <c r="V174" s="55"/>
    </row>
    <row r="175" spans="1:22" ht="12.75">
      <c r="A175" s="71"/>
      <c r="B175" s="101" t="s">
        <v>37</v>
      </c>
      <c r="C175" s="60">
        <v>4544</v>
      </c>
      <c r="D175" s="55"/>
      <c r="E175" s="60">
        <v>4596</v>
      </c>
      <c r="F175" s="55"/>
      <c r="G175" s="60">
        <v>4882</v>
      </c>
      <c r="H175" s="55"/>
      <c r="I175" s="60">
        <v>4949</v>
      </c>
      <c r="J175" s="55"/>
      <c r="K175" s="60">
        <v>4597</v>
      </c>
      <c r="L175" s="55"/>
      <c r="M175" s="60">
        <v>5743</v>
      </c>
      <c r="N175" s="55"/>
      <c r="O175" s="60">
        <v>5996</v>
      </c>
      <c r="P175" s="55"/>
      <c r="Q175" s="60">
        <v>6679</v>
      </c>
      <c r="R175" s="55"/>
      <c r="S175" s="60">
        <v>6600</v>
      </c>
      <c r="T175" s="55"/>
      <c r="U175" s="60">
        <v>6270</v>
      </c>
      <c r="V175" s="55"/>
    </row>
    <row r="176" spans="1:22" ht="12.75">
      <c r="A176" s="71"/>
      <c r="B176" s="101" t="s">
        <v>38</v>
      </c>
      <c r="C176" s="60">
        <v>3523</v>
      </c>
      <c r="D176" s="55"/>
      <c r="E176" s="60">
        <v>3615</v>
      </c>
      <c r="F176" s="55"/>
      <c r="G176" s="60">
        <v>3615</v>
      </c>
      <c r="H176" s="55"/>
      <c r="I176" s="60">
        <v>4196</v>
      </c>
      <c r="J176" s="55"/>
      <c r="K176" s="60">
        <v>3989</v>
      </c>
      <c r="L176" s="55"/>
      <c r="M176" s="60">
        <v>3819</v>
      </c>
      <c r="N176" s="55"/>
      <c r="O176" s="60">
        <v>4047</v>
      </c>
      <c r="P176" s="55"/>
      <c r="Q176" s="60">
        <v>3906</v>
      </c>
      <c r="R176" s="55"/>
      <c r="S176" s="60">
        <v>3903</v>
      </c>
      <c r="T176" s="55"/>
      <c r="U176" s="60">
        <v>3952</v>
      </c>
      <c r="V176" s="55"/>
    </row>
    <row r="177" spans="1:22" ht="12.75">
      <c r="A177" s="71"/>
      <c r="B177" s="101" t="s">
        <v>39</v>
      </c>
      <c r="C177" s="60">
        <v>50305</v>
      </c>
      <c r="D177" s="55"/>
      <c r="E177" s="60">
        <v>50004</v>
      </c>
      <c r="F177" s="55"/>
      <c r="G177" s="60">
        <v>54233</v>
      </c>
      <c r="H177" s="55"/>
      <c r="I177" s="60">
        <v>57223</v>
      </c>
      <c r="J177" s="55"/>
      <c r="K177" s="60">
        <v>58080</v>
      </c>
      <c r="L177" s="55"/>
      <c r="M177" s="60">
        <v>59579</v>
      </c>
      <c r="N177" s="55"/>
      <c r="O177" s="60">
        <v>61367</v>
      </c>
      <c r="P177" s="55"/>
      <c r="Q177" s="60">
        <v>63208</v>
      </c>
      <c r="R177" s="55"/>
      <c r="S177" s="60">
        <v>64647</v>
      </c>
      <c r="T177" s="55"/>
      <c r="U177" s="60">
        <v>66142</v>
      </c>
      <c r="V177" s="55"/>
    </row>
    <row r="178" spans="1:22" ht="12.75">
      <c r="A178" s="71"/>
      <c r="B178" s="101" t="s">
        <v>81</v>
      </c>
      <c r="C178" s="60"/>
      <c r="D178" s="55"/>
      <c r="E178" s="60">
        <v>5760</v>
      </c>
      <c r="F178" s="55"/>
      <c r="G178" s="60">
        <v>8344</v>
      </c>
      <c r="H178" s="55"/>
      <c r="I178" s="60">
        <v>13523</v>
      </c>
      <c r="J178" s="55"/>
      <c r="K178" s="60">
        <v>10948</v>
      </c>
      <c r="L178" s="55"/>
      <c r="M178" s="60">
        <v>6328</v>
      </c>
      <c r="N178" s="55"/>
      <c r="O178" s="60">
        <v>3465</v>
      </c>
      <c r="P178" s="55"/>
      <c r="Q178" s="60">
        <v>6450</v>
      </c>
      <c r="R178" s="55"/>
      <c r="S178" s="60">
        <v>8432</v>
      </c>
      <c r="T178" s="55"/>
      <c r="U178" s="60">
        <v>8612</v>
      </c>
      <c r="V178" s="55"/>
    </row>
    <row r="179" spans="1:22" ht="12.75">
      <c r="A179" s="71"/>
      <c r="B179" s="101" t="s">
        <v>40</v>
      </c>
      <c r="C179" s="60">
        <v>56</v>
      </c>
      <c r="D179" s="55"/>
      <c r="E179" s="60">
        <v>23</v>
      </c>
      <c r="F179" s="55"/>
      <c r="G179" s="60">
        <v>1</v>
      </c>
      <c r="H179" s="55"/>
      <c r="I179" s="60">
        <v>40</v>
      </c>
      <c r="J179" s="55"/>
      <c r="K179" s="60">
        <v>43</v>
      </c>
      <c r="L179" s="55"/>
      <c r="M179" s="60">
        <v>21</v>
      </c>
      <c r="N179" s="55"/>
      <c r="O179" s="60">
        <v>32</v>
      </c>
      <c r="P179" s="55"/>
      <c r="Q179" s="60">
        <v>7</v>
      </c>
      <c r="R179" s="55"/>
      <c r="S179" s="60">
        <v>10</v>
      </c>
      <c r="T179" s="55"/>
      <c r="U179" s="60">
        <v>18</v>
      </c>
      <c r="V179" s="55"/>
    </row>
    <row r="180" spans="1:22" ht="12.75">
      <c r="A180" s="71"/>
      <c r="B180" s="101" t="s">
        <v>41</v>
      </c>
      <c r="C180" s="60">
        <v>958</v>
      </c>
      <c r="D180" s="55"/>
      <c r="E180" s="60">
        <v>962</v>
      </c>
      <c r="F180" s="55"/>
      <c r="G180" s="60">
        <v>829</v>
      </c>
      <c r="H180" s="55"/>
      <c r="I180" s="60">
        <v>682</v>
      </c>
      <c r="J180" s="55"/>
      <c r="K180" s="60">
        <v>809</v>
      </c>
      <c r="L180" s="55"/>
      <c r="M180" s="60">
        <v>790</v>
      </c>
      <c r="N180" s="55"/>
      <c r="O180" s="60">
        <v>791</v>
      </c>
      <c r="P180" s="55"/>
      <c r="Q180" s="60">
        <v>800</v>
      </c>
      <c r="R180" s="55"/>
      <c r="S180" s="60">
        <v>750</v>
      </c>
      <c r="T180" s="55"/>
      <c r="U180" s="60">
        <v>626</v>
      </c>
      <c r="V180" s="55"/>
    </row>
    <row r="181" spans="1:22" ht="12.75">
      <c r="A181" s="71"/>
      <c r="B181" s="101" t="s">
        <v>16</v>
      </c>
      <c r="C181" s="60">
        <v>237</v>
      </c>
      <c r="D181" s="55"/>
      <c r="E181" s="60">
        <f>367+2</f>
        <v>369</v>
      </c>
      <c r="F181" s="55">
        <v>2</v>
      </c>
      <c r="G181" s="60">
        <f>306+1</f>
        <v>307</v>
      </c>
      <c r="H181" s="55">
        <v>1</v>
      </c>
      <c r="I181" s="60">
        <f>443</f>
        <v>443</v>
      </c>
      <c r="J181" s="55"/>
      <c r="K181" s="60">
        <f>343+7</f>
        <v>350</v>
      </c>
      <c r="L181" s="55">
        <v>7</v>
      </c>
      <c r="M181" s="60">
        <f>433+5</f>
        <v>438</v>
      </c>
      <c r="N181" s="55">
        <v>5</v>
      </c>
      <c r="O181" s="60">
        <f>391+10+3</f>
        <v>404</v>
      </c>
      <c r="P181" s="55">
        <f>10+3</f>
        <v>13</v>
      </c>
      <c r="Q181" s="60">
        <f>356+8+3</f>
        <v>367</v>
      </c>
      <c r="R181" s="55">
        <f>8+3</f>
        <v>11</v>
      </c>
      <c r="S181" s="60">
        <f>1076+17+7</f>
        <v>1100</v>
      </c>
      <c r="T181" s="55">
        <v>7</v>
      </c>
      <c r="U181" s="60">
        <f>438+2</f>
        <v>440</v>
      </c>
      <c r="V181" s="55">
        <v>2</v>
      </c>
    </row>
    <row r="182" spans="1:22" ht="12.75">
      <c r="A182" s="71"/>
      <c r="B182" s="101" t="s">
        <v>42</v>
      </c>
      <c r="C182" s="60">
        <v>5841</v>
      </c>
      <c r="D182" s="55"/>
      <c r="E182" s="60">
        <v>6900</v>
      </c>
      <c r="F182" s="55"/>
      <c r="G182" s="60">
        <v>7525</v>
      </c>
      <c r="H182" s="55"/>
      <c r="I182" s="60">
        <v>7790</v>
      </c>
      <c r="J182" s="55"/>
      <c r="K182" s="60">
        <v>9242</v>
      </c>
      <c r="L182" s="55"/>
      <c r="M182" s="60">
        <v>10983</v>
      </c>
      <c r="N182" s="55"/>
      <c r="O182" s="60">
        <v>10916</v>
      </c>
      <c r="P182" s="55"/>
      <c r="Q182" s="60">
        <v>10958</v>
      </c>
      <c r="R182" s="55"/>
      <c r="S182" s="60">
        <v>7764</v>
      </c>
      <c r="T182" s="55"/>
      <c r="U182" s="60">
        <v>3143</v>
      </c>
      <c r="V182" s="55"/>
    </row>
    <row r="183" spans="1:22" ht="12.75">
      <c r="A183" s="71"/>
      <c r="B183" s="103" t="s">
        <v>31</v>
      </c>
      <c r="C183" s="60">
        <v>6</v>
      </c>
      <c r="D183" s="55"/>
      <c r="E183" s="60">
        <v>1</v>
      </c>
      <c r="F183" s="55"/>
      <c r="G183" s="60"/>
      <c r="H183" s="55"/>
      <c r="I183" s="60"/>
      <c r="J183" s="55"/>
      <c r="K183" s="60"/>
      <c r="L183" s="55"/>
      <c r="M183" s="60"/>
      <c r="N183" s="55"/>
      <c r="O183" s="60">
        <v>3</v>
      </c>
      <c r="P183" s="55"/>
      <c r="Q183" s="60">
        <v>10</v>
      </c>
      <c r="R183" s="55"/>
      <c r="S183" s="60">
        <v>4</v>
      </c>
      <c r="T183" s="55"/>
      <c r="U183" s="60">
        <v>3</v>
      </c>
      <c r="V183" s="55"/>
    </row>
    <row r="184" spans="1:22" ht="12.75">
      <c r="A184" s="71"/>
      <c r="B184" s="101" t="s">
        <v>12</v>
      </c>
      <c r="C184" s="60">
        <v>105</v>
      </c>
      <c r="D184" s="55"/>
      <c r="E184" s="60"/>
      <c r="F184" s="55"/>
      <c r="G184" s="60">
        <v>37</v>
      </c>
      <c r="H184" s="55"/>
      <c r="I184" s="60">
        <v>2</v>
      </c>
      <c r="J184" s="55"/>
      <c r="K184" s="60">
        <v>304</v>
      </c>
      <c r="L184" s="55"/>
      <c r="M184" s="60"/>
      <c r="N184" s="55"/>
      <c r="O184" s="60">
        <v>5</v>
      </c>
      <c r="P184" s="55"/>
      <c r="Q184" s="60">
        <v>1</v>
      </c>
      <c r="R184" s="55"/>
      <c r="S184" s="60">
        <v>80</v>
      </c>
      <c r="T184" s="55"/>
      <c r="U184" s="60">
        <v>204</v>
      </c>
      <c r="V184" s="55"/>
    </row>
    <row r="185" spans="1:22" ht="12.75">
      <c r="A185" s="71"/>
      <c r="B185" s="101" t="s">
        <v>43</v>
      </c>
      <c r="C185" s="60">
        <v>11362</v>
      </c>
      <c r="D185" s="55"/>
      <c r="E185" s="60">
        <v>23422</v>
      </c>
      <c r="F185" s="55"/>
      <c r="G185" s="60">
        <v>23422</v>
      </c>
      <c r="H185" s="55"/>
      <c r="I185" s="60">
        <v>23601</v>
      </c>
      <c r="J185" s="55"/>
      <c r="K185" s="60">
        <v>24632</v>
      </c>
      <c r="L185" s="55"/>
      <c r="M185" s="60">
        <v>25537</v>
      </c>
      <c r="N185" s="55"/>
      <c r="O185" s="60">
        <v>41890</v>
      </c>
      <c r="P185" s="55"/>
      <c r="Q185" s="60">
        <v>44390</v>
      </c>
      <c r="R185" s="55"/>
      <c r="S185" s="60">
        <v>47390</v>
      </c>
      <c r="T185" s="55"/>
      <c r="U185" s="60">
        <v>46553</v>
      </c>
      <c r="V185" s="55"/>
    </row>
    <row r="186" spans="1:22" ht="12.75">
      <c r="A186" s="71"/>
      <c r="B186" s="101" t="s">
        <v>80</v>
      </c>
      <c r="C186" s="60"/>
      <c r="D186" s="55"/>
      <c r="E186" s="60"/>
      <c r="F186" s="55"/>
      <c r="G186" s="60">
        <v>846</v>
      </c>
      <c r="H186" s="55"/>
      <c r="I186" s="60">
        <v>475</v>
      </c>
      <c r="J186" s="55"/>
      <c r="K186" s="60">
        <v>870</v>
      </c>
      <c r="L186" s="55"/>
      <c r="M186" s="60"/>
      <c r="N186" s="55"/>
      <c r="O186" s="60"/>
      <c r="P186" s="55"/>
      <c r="Q186" s="60">
        <v>975</v>
      </c>
      <c r="R186" s="55"/>
      <c r="S186" s="60"/>
      <c r="T186" s="55"/>
      <c r="U186" s="60"/>
      <c r="V186" s="55"/>
    </row>
    <row r="187" spans="1:22" ht="12.75">
      <c r="A187" s="71"/>
      <c r="B187" s="101" t="s">
        <v>44</v>
      </c>
      <c r="C187" s="60">
        <v>4024</v>
      </c>
      <c r="D187" s="55"/>
      <c r="E187" s="60">
        <v>3697</v>
      </c>
      <c r="F187" s="55"/>
      <c r="G187" s="60">
        <v>4043</v>
      </c>
      <c r="H187" s="55"/>
      <c r="I187" s="60">
        <v>3697</v>
      </c>
      <c r="J187" s="55"/>
      <c r="K187" s="60">
        <v>3738</v>
      </c>
      <c r="L187" s="55"/>
      <c r="M187" s="60">
        <v>3809</v>
      </c>
      <c r="N187" s="55"/>
      <c r="O187" s="60">
        <v>6674</v>
      </c>
      <c r="P187" s="55"/>
      <c r="Q187" s="60">
        <v>6449</v>
      </c>
      <c r="R187" s="55"/>
      <c r="S187" s="60">
        <v>6837</v>
      </c>
      <c r="T187" s="55"/>
      <c r="U187" s="60">
        <v>8016</v>
      </c>
      <c r="V187" s="55"/>
    </row>
    <row r="188" spans="1:22" ht="12.75">
      <c r="A188" s="71"/>
      <c r="B188" s="101" t="s">
        <v>45</v>
      </c>
      <c r="C188" s="60">
        <v>395</v>
      </c>
      <c r="D188" s="55"/>
      <c r="E188" s="60"/>
      <c r="F188" s="55"/>
      <c r="G188" s="60"/>
      <c r="H188" s="55"/>
      <c r="I188" s="60"/>
      <c r="J188" s="55"/>
      <c r="K188" s="60"/>
      <c r="L188" s="55"/>
      <c r="M188" s="60"/>
      <c r="N188" s="55"/>
      <c r="O188" s="60"/>
      <c r="P188" s="55"/>
      <c r="Q188" s="60"/>
      <c r="R188" s="55"/>
      <c r="S188" s="60"/>
      <c r="T188" s="55"/>
      <c r="U188" s="60"/>
      <c r="V188" s="55"/>
    </row>
    <row r="189" spans="1:22" ht="12.75">
      <c r="A189" s="71"/>
      <c r="B189" s="101" t="s">
        <v>88</v>
      </c>
      <c r="C189" s="60"/>
      <c r="D189" s="55"/>
      <c r="E189" s="60"/>
      <c r="F189" s="55"/>
      <c r="G189" s="60"/>
      <c r="H189" s="55"/>
      <c r="I189" s="60">
        <f>171+49+29</f>
        <v>249</v>
      </c>
      <c r="J189" s="55"/>
      <c r="K189" s="60">
        <f>329+57+48</f>
        <v>434</v>
      </c>
      <c r="L189" s="55"/>
      <c r="M189" s="60">
        <f>203+57+58</f>
        <v>318</v>
      </c>
      <c r="N189" s="55"/>
      <c r="O189" s="60">
        <f>225+33+37+8+3+5</f>
        <v>311</v>
      </c>
      <c r="P189" s="55"/>
      <c r="Q189" s="60">
        <f>283+28+29+9+20+19</f>
        <v>388</v>
      </c>
      <c r="R189" s="55"/>
      <c r="S189" s="60">
        <f>281+21+43+3+2</f>
        <v>350</v>
      </c>
      <c r="T189" s="55"/>
      <c r="U189" s="60">
        <f>315+94+66+32+3+2</f>
        <v>512</v>
      </c>
      <c r="V189" s="55"/>
    </row>
    <row r="190" spans="1:22" ht="12.75">
      <c r="A190" s="71"/>
      <c r="B190" s="101" t="s">
        <v>33</v>
      </c>
      <c r="C190" s="60"/>
      <c r="D190" s="55"/>
      <c r="E190" s="60"/>
      <c r="F190" s="55"/>
      <c r="G190" s="60"/>
      <c r="H190" s="55"/>
      <c r="I190" s="60"/>
      <c r="J190" s="55"/>
      <c r="K190" s="60"/>
      <c r="L190" s="55"/>
      <c r="M190" s="60"/>
      <c r="N190" s="55"/>
      <c r="O190" s="60"/>
      <c r="P190" s="55"/>
      <c r="Q190" s="60">
        <v>2800</v>
      </c>
      <c r="R190" s="55">
        <v>2800</v>
      </c>
      <c r="S190" s="60"/>
      <c r="T190" s="55"/>
      <c r="U190" s="60"/>
      <c r="V190" s="55"/>
    </row>
    <row r="191" spans="1:22" ht="12.75">
      <c r="A191" s="71"/>
      <c r="B191" s="101" t="s">
        <v>65</v>
      </c>
      <c r="C191" s="60"/>
      <c r="D191" s="55"/>
      <c r="E191" s="60"/>
      <c r="F191" s="55"/>
      <c r="G191" s="60"/>
      <c r="H191" s="55"/>
      <c r="I191" s="60"/>
      <c r="J191" s="55"/>
      <c r="K191" s="60"/>
      <c r="L191" s="55"/>
      <c r="M191" s="60"/>
      <c r="N191" s="55"/>
      <c r="O191" s="60"/>
      <c r="P191" s="55"/>
      <c r="Q191" s="60">
        <v>509</v>
      </c>
      <c r="R191" s="55">
        <v>509</v>
      </c>
      <c r="S191" s="60"/>
      <c r="T191" s="55"/>
      <c r="U191" s="60">
        <v>528</v>
      </c>
      <c r="V191" s="55">
        <v>528</v>
      </c>
    </row>
    <row r="192" spans="1:22" ht="12.75">
      <c r="A192" s="86"/>
      <c r="B192" s="102" t="s">
        <v>30</v>
      </c>
      <c r="C192" s="73">
        <v>568</v>
      </c>
      <c r="D192" s="62"/>
      <c r="E192" s="73"/>
      <c r="F192" s="62"/>
      <c r="G192" s="73">
        <v>16</v>
      </c>
      <c r="H192" s="62"/>
      <c r="I192" s="73"/>
      <c r="J192" s="62"/>
      <c r="K192" s="73">
        <v>16</v>
      </c>
      <c r="L192" s="62"/>
      <c r="M192" s="73">
        <v>30</v>
      </c>
      <c r="N192" s="62"/>
      <c r="O192" s="73">
        <v>10</v>
      </c>
      <c r="P192" s="62"/>
      <c r="Q192" s="73">
        <v>63</v>
      </c>
      <c r="R192" s="62"/>
      <c r="S192" s="73">
        <v>10</v>
      </c>
      <c r="T192" s="62"/>
      <c r="U192" s="73"/>
      <c r="V192" s="62"/>
    </row>
    <row r="193" spans="1:22" ht="12.75">
      <c r="A193" s="64" t="s">
        <v>129</v>
      </c>
      <c r="B193" s="108"/>
      <c r="C193" s="27">
        <f aca="true" t="shared" si="24" ref="C193:R193">SUM(C194:C199)</f>
        <v>6156</v>
      </c>
      <c r="D193" s="27">
        <f t="shared" si="24"/>
        <v>84</v>
      </c>
      <c r="E193" s="27">
        <f t="shared" si="24"/>
        <v>3994</v>
      </c>
      <c r="F193" s="27">
        <f t="shared" si="24"/>
        <v>63</v>
      </c>
      <c r="G193" s="27">
        <f t="shared" si="24"/>
        <v>8008</v>
      </c>
      <c r="H193" s="27">
        <f t="shared" si="24"/>
        <v>56</v>
      </c>
      <c r="I193" s="27">
        <f t="shared" si="24"/>
        <v>7870</v>
      </c>
      <c r="J193" s="27">
        <f t="shared" si="24"/>
        <v>78</v>
      </c>
      <c r="K193" s="27">
        <f t="shared" si="24"/>
        <v>7641</v>
      </c>
      <c r="L193" s="27">
        <f t="shared" si="24"/>
        <v>149</v>
      </c>
      <c r="M193" s="27">
        <f t="shared" si="24"/>
        <v>7420</v>
      </c>
      <c r="N193" s="27">
        <f t="shared" si="24"/>
        <v>155</v>
      </c>
      <c r="O193" s="27">
        <f t="shared" si="24"/>
        <v>5294</v>
      </c>
      <c r="P193" s="27">
        <f t="shared" si="24"/>
        <v>93</v>
      </c>
      <c r="Q193" s="27">
        <f t="shared" si="24"/>
        <v>6378</v>
      </c>
      <c r="R193" s="27">
        <f t="shared" si="24"/>
        <v>42</v>
      </c>
      <c r="S193" s="27">
        <f>SUM(S194:S199)</f>
        <v>10117</v>
      </c>
      <c r="T193" s="27">
        <f>SUM(T194:T199)</f>
        <v>5</v>
      </c>
      <c r="U193" s="27">
        <f>SUM(U194:U199)</f>
        <v>13410</v>
      </c>
      <c r="V193" s="27">
        <f>SUM(V194:V199)</f>
        <v>11</v>
      </c>
    </row>
    <row r="194" spans="1:22" ht="12.75">
      <c r="A194" s="41"/>
      <c r="B194" s="101" t="s">
        <v>17</v>
      </c>
      <c r="C194" s="31">
        <v>719</v>
      </c>
      <c r="D194" s="42"/>
      <c r="E194" s="31">
        <v>23</v>
      </c>
      <c r="F194" s="42"/>
      <c r="G194" s="31">
        <v>14</v>
      </c>
      <c r="H194" s="42"/>
      <c r="I194" s="31">
        <v>14</v>
      </c>
      <c r="J194" s="42"/>
      <c r="K194" s="31">
        <v>23</v>
      </c>
      <c r="L194" s="42"/>
      <c r="M194" s="31">
        <v>27</v>
      </c>
      <c r="N194" s="42"/>
      <c r="O194" s="31">
        <v>24</v>
      </c>
      <c r="P194" s="42"/>
      <c r="Q194" s="31">
        <v>21</v>
      </c>
      <c r="R194" s="42"/>
      <c r="S194" s="31">
        <v>22</v>
      </c>
      <c r="T194" s="42"/>
      <c r="U194" s="31">
        <v>28</v>
      </c>
      <c r="V194" s="42"/>
    </row>
    <row r="195" spans="1:22" ht="12.75">
      <c r="A195" s="14"/>
      <c r="B195" s="103" t="s">
        <v>22</v>
      </c>
      <c r="C195" s="19">
        <f>2089-58+84</f>
        <v>2115</v>
      </c>
      <c r="D195" s="61">
        <v>84</v>
      </c>
      <c r="E195" s="19">
        <f>593+63</f>
        <v>656</v>
      </c>
      <c r="F195" s="61">
        <v>63</v>
      </c>
      <c r="G195" s="19">
        <f>749+56</f>
        <v>805</v>
      </c>
      <c r="H195" s="61">
        <v>56</v>
      </c>
      <c r="I195" s="19">
        <f>874+78</f>
        <v>952</v>
      </c>
      <c r="J195" s="61">
        <v>78</v>
      </c>
      <c r="K195" s="19">
        <f>1332+149</f>
        <v>1481</v>
      </c>
      <c r="L195" s="61">
        <v>149</v>
      </c>
      <c r="M195" s="19">
        <f>1168+155</f>
        <v>1323</v>
      </c>
      <c r="N195" s="61">
        <v>155</v>
      </c>
      <c r="O195" s="19">
        <f>4060+1117+93</f>
        <v>5270</v>
      </c>
      <c r="P195" s="61">
        <v>93</v>
      </c>
      <c r="Q195" s="19">
        <f>1255+5060+42</f>
        <v>6357</v>
      </c>
      <c r="R195" s="61">
        <v>42</v>
      </c>
      <c r="S195" s="19">
        <f>1896+8194+5</f>
        <v>10095</v>
      </c>
      <c r="T195" s="61">
        <v>5</v>
      </c>
      <c r="U195" s="19">
        <f>1175+12196+11</f>
        <v>13382</v>
      </c>
      <c r="V195" s="61">
        <v>11</v>
      </c>
    </row>
    <row r="196" spans="1:22" ht="12.75">
      <c r="A196" s="14"/>
      <c r="B196" s="101" t="s">
        <v>30</v>
      </c>
      <c r="C196" s="19">
        <v>130</v>
      </c>
      <c r="D196" s="17"/>
      <c r="E196" s="19">
        <v>123</v>
      </c>
      <c r="F196" s="17"/>
      <c r="G196" s="19">
        <v>120</v>
      </c>
      <c r="H196" s="17"/>
      <c r="I196" s="19"/>
      <c r="J196" s="17"/>
      <c r="K196" s="19"/>
      <c r="L196" s="17"/>
      <c r="M196" s="19"/>
      <c r="N196" s="17"/>
      <c r="O196" s="19"/>
      <c r="P196" s="17"/>
      <c r="Q196" s="19"/>
      <c r="R196" s="17"/>
      <c r="S196" s="19"/>
      <c r="T196" s="17"/>
      <c r="U196" s="19"/>
      <c r="V196" s="17"/>
    </row>
    <row r="197" spans="1:22" ht="12.75">
      <c r="A197" s="14"/>
      <c r="B197" s="101" t="s">
        <v>65</v>
      </c>
      <c r="C197" s="19"/>
      <c r="D197" s="17"/>
      <c r="E197" s="19"/>
      <c r="F197" s="17"/>
      <c r="G197" s="19"/>
      <c r="H197" s="17"/>
      <c r="I197" s="19">
        <v>382</v>
      </c>
      <c r="J197" s="17"/>
      <c r="K197" s="19"/>
      <c r="L197" s="17"/>
      <c r="M197" s="19"/>
      <c r="N197" s="17"/>
      <c r="O197" s="19"/>
      <c r="P197" s="17"/>
      <c r="Q197" s="19"/>
      <c r="R197" s="17"/>
      <c r="S197" s="19"/>
      <c r="T197" s="17"/>
      <c r="U197" s="19"/>
      <c r="V197" s="17"/>
    </row>
    <row r="198" spans="1:22" ht="12.75">
      <c r="A198" s="14"/>
      <c r="B198" s="103" t="s">
        <v>34</v>
      </c>
      <c r="C198" s="19"/>
      <c r="D198" s="17"/>
      <c r="E198" s="19"/>
      <c r="F198" s="17"/>
      <c r="G198" s="19"/>
      <c r="H198" s="17"/>
      <c r="I198" s="19"/>
      <c r="J198" s="17"/>
      <c r="K198" s="19">
        <v>1004</v>
      </c>
      <c r="L198" s="17"/>
      <c r="M198" s="19"/>
      <c r="N198" s="17"/>
      <c r="O198" s="19"/>
      <c r="P198" s="17"/>
      <c r="Q198" s="19"/>
      <c r="R198" s="17"/>
      <c r="S198" s="19"/>
      <c r="T198" s="17"/>
      <c r="U198" s="19"/>
      <c r="V198" s="17"/>
    </row>
    <row r="199" spans="1:22" ht="12.75">
      <c r="A199" s="123"/>
      <c r="B199" s="102" t="s">
        <v>59</v>
      </c>
      <c r="C199" s="20">
        <v>3192</v>
      </c>
      <c r="D199" s="18"/>
      <c r="E199" s="20">
        <v>3192</v>
      </c>
      <c r="F199" s="18"/>
      <c r="G199" s="20">
        <f>6190+879</f>
        <v>7069</v>
      </c>
      <c r="H199" s="18"/>
      <c r="I199" s="20">
        <f>434+6088</f>
        <v>6522</v>
      </c>
      <c r="J199" s="18"/>
      <c r="K199" s="20">
        <f>1073+4060</f>
        <v>5133</v>
      </c>
      <c r="L199" s="18"/>
      <c r="M199" s="20">
        <f>2010+4060</f>
        <v>6070</v>
      </c>
      <c r="N199" s="18"/>
      <c r="O199" s="20"/>
      <c r="P199" s="18"/>
      <c r="Q199" s="20"/>
      <c r="R199" s="18"/>
      <c r="S199" s="20"/>
      <c r="T199" s="18"/>
      <c r="U199" s="20"/>
      <c r="V199" s="18"/>
    </row>
    <row r="200" spans="1:22" ht="12.75">
      <c r="A200" s="114" t="s">
        <v>130</v>
      </c>
      <c r="B200" s="115"/>
      <c r="C200" s="116">
        <f aca="true" t="shared" si="25" ref="C200:V200">+C201</f>
        <v>0</v>
      </c>
      <c r="D200" s="116">
        <f t="shared" si="25"/>
        <v>0</v>
      </c>
      <c r="E200" s="116">
        <f t="shared" si="25"/>
        <v>0</v>
      </c>
      <c r="F200" s="116">
        <f t="shared" si="25"/>
        <v>0</v>
      </c>
      <c r="G200" s="116">
        <f t="shared" si="25"/>
        <v>0</v>
      </c>
      <c r="H200" s="116">
        <f t="shared" si="25"/>
        <v>0</v>
      </c>
      <c r="I200" s="116">
        <f t="shared" si="25"/>
        <v>0</v>
      </c>
      <c r="J200" s="116">
        <f t="shared" si="25"/>
        <v>0</v>
      </c>
      <c r="K200" s="116">
        <f t="shared" si="25"/>
        <v>0</v>
      </c>
      <c r="L200" s="116">
        <f t="shared" si="25"/>
        <v>0</v>
      </c>
      <c r="M200" s="116">
        <f t="shared" si="25"/>
        <v>0</v>
      </c>
      <c r="N200" s="116">
        <f t="shared" si="25"/>
        <v>0</v>
      </c>
      <c r="O200" s="116">
        <f t="shared" si="25"/>
        <v>9</v>
      </c>
      <c r="P200" s="116">
        <f t="shared" si="25"/>
        <v>9</v>
      </c>
      <c r="Q200" s="116">
        <f t="shared" si="25"/>
        <v>30</v>
      </c>
      <c r="R200" s="116">
        <f t="shared" si="25"/>
        <v>30</v>
      </c>
      <c r="S200" s="116">
        <f t="shared" si="25"/>
        <v>22</v>
      </c>
      <c r="T200" s="116">
        <f t="shared" si="25"/>
        <v>22</v>
      </c>
      <c r="U200" s="116">
        <f t="shared" si="25"/>
        <v>205</v>
      </c>
      <c r="V200" s="116">
        <f t="shared" si="25"/>
        <v>205</v>
      </c>
    </row>
    <row r="201" spans="1:22" ht="12.75">
      <c r="A201" s="23" t="s">
        <v>131</v>
      </c>
      <c r="B201" s="109"/>
      <c r="C201" s="28">
        <f aca="true" t="shared" si="26" ref="C201:L201">+C203</f>
        <v>0</v>
      </c>
      <c r="D201" s="28">
        <f t="shared" si="26"/>
        <v>0</v>
      </c>
      <c r="E201" s="28">
        <f t="shared" si="26"/>
        <v>0</v>
      </c>
      <c r="F201" s="28">
        <f t="shared" si="26"/>
        <v>0</v>
      </c>
      <c r="G201" s="28">
        <f t="shared" si="26"/>
        <v>0</v>
      </c>
      <c r="H201" s="28">
        <f t="shared" si="26"/>
        <v>0</v>
      </c>
      <c r="I201" s="28">
        <f t="shared" si="26"/>
        <v>0</v>
      </c>
      <c r="J201" s="28">
        <f t="shared" si="26"/>
        <v>0</v>
      </c>
      <c r="K201" s="28">
        <f t="shared" si="26"/>
        <v>0</v>
      </c>
      <c r="L201" s="28">
        <f t="shared" si="26"/>
        <v>0</v>
      </c>
      <c r="M201" s="28">
        <f>SUM(M202:M203)</f>
        <v>0</v>
      </c>
      <c r="N201" s="28">
        <f aca="true" t="shared" si="27" ref="N201:V201">SUM(N202:N203)</f>
        <v>0</v>
      </c>
      <c r="O201" s="28">
        <f t="shared" si="27"/>
        <v>9</v>
      </c>
      <c r="P201" s="28">
        <f t="shared" si="27"/>
        <v>9</v>
      </c>
      <c r="Q201" s="28">
        <f t="shared" si="27"/>
        <v>30</v>
      </c>
      <c r="R201" s="28">
        <f t="shared" si="27"/>
        <v>30</v>
      </c>
      <c r="S201" s="28">
        <f t="shared" si="27"/>
        <v>22</v>
      </c>
      <c r="T201" s="28">
        <f t="shared" si="27"/>
        <v>22</v>
      </c>
      <c r="U201" s="28">
        <f t="shared" si="27"/>
        <v>205</v>
      </c>
      <c r="V201" s="28">
        <f t="shared" si="27"/>
        <v>205</v>
      </c>
    </row>
    <row r="202" spans="1:22" ht="12.75">
      <c r="A202" s="43"/>
      <c r="B202" s="103" t="s">
        <v>34</v>
      </c>
      <c r="C202" s="30"/>
      <c r="D202" s="42"/>
      <c r="E202" s="30"/>
      <c r="F202" s="42"/>
      <c r="G202" s="30"/>
      <c r="H202" s="42"/>
      <c r="I202" s="30"/>
      <c r="J202" s="42"/>
      <c r="K202" s="30"/>
      <c r="L202" s="42"/>
      <c r="M202" s="30"/>
      <c r="N202" s="42"/>
      <c r="O202" s="30"/>
      <c r="P202" s="42"/>
      <c r="Q202" s="30"/>
      <c r="R202" s="42"/>
      <c r="S202" s="30"/>
      <c r="T202" s="42"/>
      <c r="U202" s="30">
        <v>74</v>
      </c>
      <c r="V202" s="42">
        <v>74</v>
      </c>
    </row>
    <row r="203" spans="1:22" ht="12.75">
      <c r="A203" s="47"/>
      <c r="B203" s="102" t="s">
        <v>14</v>
      </c>
      <c r="C203" s="31"/>
      <c r="D203" s="42"/>
      <c r="E203" s="31"/>
      <c r="F203" s="42"/>
      <c r="G203" s="31"/>
      <c r="H203" s="42"/>
      <c r="I203" s="31"/>
      <c r="J203" s="42"/>
      <c r="K203" s="31"/>
      <c r="L203" s="42"/>
      <c r="M203" s="31"/>
      <c r="N203" s="42"/>
      <c r="O203" s="31">
        <v>9</v>
      </c>
      <c r="P203" s="42">
        <v>9</v>
      </c>
      <c r="Q203" s="31">
        <v>30</v>
      </c>
      <c r="R203" s="42">
        <v>30</v>
      </c>
      <c r="S203" s="31">
        <v>22</v>
      </c>
      <c r="T203" s="42">
        <v>22</v>
      </c>
      <c r="U203" s="31">
        <v>131</v>
      </c>
      <c r="V203" s="42">
        <v>131</v>
      </c>
    </row>
    <row r="204" spans="1:22" ht="12.75">
      <c r="A204" s="114" t="s">
        <v>132</v>
      </c>
      <c r="B204" s="115"/>
      <c r="C204" s="116">
        <f aca="true" t="shared" si="28" ref="C204:T204">+C205+C215+C220</f>
        <v>2250</v>
      </c>
      <c r="D204" s="116">
        <f t="shared" si="28"/>
        <v>315</v>
      </c>
      <c r="E204" s="116">
        <f t="shared" si="28"/>
        <v>3981</v>
      </c>
      <c r="F204" s="116">
        <f t="shared" si="28"/>
        <v>1487</v>
      </c>
      <c r="G204" s="116">
        <f t="shared" si="28"/>
        <v>3247</v>
      </c>
      <c r="H204" s="116">
        <f t="shared" si="28"/>
        <v>1199</v>
      </c>
      <c r="I204" s="116">
        <f t="shared" si="28"/>
        <v>3346</v>
      </c>
      <c r="J204" s="116">
        <f t="shared" si="28"/>
        <v>816</v>
      </c>
      <c r="K204" s="116">
        <f t="shared" si="28"/>
        <v>3440</v>
      </c>
      <c r="L204" s="116">
        <f t="shared" si="28"/>
        <v>838</v>
      </c>
      <c r="M204" s="116">
        <f t="shared" si="28"/>
        <v>2766</v>
      </c>
      <c r="N204" s="116">
        <f t="shared" si="28"/>
        <v>756</v>
      </c>
      <c r="O204" s="116">
        <f t="shared" si="28"/>
        <v>3115</v>
      </c>
      <c r="P204" s="116">
        <f t="shared" si="28"/>
        <v>1045</v>
      </c>
      <c r="Q204" s="116">
        <f t="shared" si="28"/>
        <v>3455</v>
      </c>
      <c r="R204" s="116">
        <f t="shared" si="28"/>
        <v>1100</v>
      </c>
      <c r="S204" s="116">
        <f t="shared" si="28"/>
        <v>3346</v>
      </c>
      <c r="T204" s="116">
        <f t="shared" si="28"/>
        <v>757</v>
      </c>
      <c r="U204" s="116">
        <f>+U205+U215+U220</f>
        <v>3531</v>
      </c>
      <c r="V204" s="116">
        <f>+V205+V215+V220</f>
        <v>936</v>
      </c>
    </row>
    <row r="205" spans="1:22" ht="12.75">
      <c r="A205" s="23" t="s">
        <v>133</v>
      </c>
      <c r="B205" s="109"/>
      <c r="C205" s="25">
        <f aca="true" t="shared" si="29" ref="C205:T205">SUM(C206:C214)</f>
        <v>254</v>
      </c>
      <c r="D205" s="25">
        <f t="shared" si="29"/>
        <v>113</v>
      </c>
      <c r="E205" s="25">
        <f t="shared" si="29"/>
        <v>714</v>
      </c>
      <c r="F205" s="25">
        <f t="shared" si="29"/>
        <v>620</v>
      </c>
      <c r="G205" s="25">
        <f t="shared" si="29"/>
        <v>518</v>
      </c>
      <c r="H205" s="25">
        <f t="shared" si="29"/>
        <v>404</v>
      </c>
      <c r="I205" s="25">
        <f t="shared" si="29"/>
        <v>179</v>
      </c>
      <c r="J205" s="25">
        <f t="shared" si="29"/>
        <v>78</v>
      </c>
      <c r="K205" s="25">
        <f t="shared" si="29"/>
        <v>101</v>
      </c>
      <c r="L205" s="25">
        <f t="shared" si="29"/>
        <v>20</v>
      </c>
      <c r="M205" s="25">
        <f t="shared" si="29"/>
        <v>63</v>
      </c>
      <c r="N205" s="25">
        <f t="shared" si="29"/>
        <v>0</v>
      </c>
      <c r="O205" s="25">
        <f t="shared" si="29"/>
        <v>256</v>
      </c>
      <c r="P205" s="25">
        <f t="shared" si="29"/>
        <v>150</v>
      </c>
      <c r="Q205" s="25">
        <f t="shared" si="29"/>
        <v>260</v>
      </c>
      <c r="R205" s="25">
        <f t="shared" si="29"/>
        <v>192</v>
      </c>
      <c r="S205" s="25">
        <f t="shared" si="29"/>
        <v>78</v>
      </c>
      <c r="T205" s="25">
        <f t="shared" si="29"/>
        <v>7</v>
      </c>
      <c r="U205" s="25">
        <f>SUM(U206:U214)</f>
        <v>336</v>
      </c>
      <c r="V205" s="25">
        <f>SUM(V206:V214)</f>
        <v>237</v>
      </c>
    </row>
    <row r="206" spans="1:22" ht="12.75">
      <c r="A206" s="43"/>
      <c r="B206" s="101" t="s">
        <v>46</v>
      </c>
      <c r="C206" s="30">
        <v>38</v>
      </c>
      <c r="D206" s="42"/>
      <c r="E206" s="30">
        <v>8</v>
      </c>
      <c r="F206" s="42"/>
      <c r="G206" s="30">
        <v>2</v>
      </c>
      <c r="H206" s="42"/>
      <c r="I206" s="30">
        <v>7</v>
      </c>
      <c r="J206" s="42"/>
      <c r="K206" s="30">
        <v>3</v>
      </c>
      <c r="L206" s="42"/>
      <c r="M206" s="30">
        <v>4</v>
      </c>
      <c r="N206" s="42"/>
      <c r="O206" s="30">
        <v>1</v>
      </c>
      <c r="P206" s="42"/>
      <c r="Q206" s="30">
        <v>3</v>
      </c>
      <c r="R206" s="42"/>
      <c r="S206" s="30">
        <v>2</v>
      </c>
      <c r="T206" s="42"/>
      <c r="U206" s="30">
        <v>1</v>
      </c>
      <c r="V206" s="42"/>
    </row>
    <row r="207" spans="1:22" ht="12.75">
      <c r="A207" s="43"/>
      <c r="B207" s="101" t="s">
        <v>47</v>
      </c>
      <c r="C207" s="30">
        <v>103</v>
      </c>
      <c r="D207" s="42"/>
      <c r="E207" s="30">
        <v>86</v>
      </c>
      <c r="F207" s="42"/>
      <c r="G207" s="30">
        <v>112</v>
      </c>
      <c r="H207" s="42"/>
      <c r="I207" s="30">
        <v>94</v>
      </c>
      <c r="J207" s="42"/>
      <c r="K207" s="30">
        <v>78</v>
      </c>
      <c r="L207" s="42"/>
      <c r="M207" s="30">
        <v>59</v>
      </c>
      <c r="N207" s="42"/>
      <c r="O207" s="30">
        <v>65</v>
      </c>
      <c r="P207" s="42"/>
      <c r="Q207" s="30">
        <v>65</v>
      </c>
      <c r="R207" s="42"/>
      <c r="S207" s="30">
        <v>64</v>
      </c>
      <c r="T207" s="42"/>
      <c r="U207" s="30">
        <v>68</v>
      </c>
      <c r="V207" s="42"/>
    </row>
    <row r="208" spans="1:22" ht="12.75">
      <c r="A208" s="43"/>
      <c r="B208" s="101" t="s">
        <v>12</v>
      </c>
      <c r="C208" s="30"/>
      <c r="D208" s="42"/>
      <c r="E208" s="30"/>
      <c r="F208" s="42"/>
      <c r="G208" s="30"/>
      <c r="H208" s="42"/>
      <c r="I208" s="30"/>
      <c r="J208" s="42"/>
      <c r="K208" s="30"/>
      <c r="L208" s="42"/>
      <c r="M208" s="30"/>
      <c r="N208" s="42"/>
      <c r="O208" s="30"/>
      <c r="P208" s="42"/>
      <c r="Q208" s="30"/>
      <c r="R208" s="42"/>
      <c r="S208" s="30"/>
      <c r="T208" s="42"/>
      <c r="U208" s="30">
        <v>15</v>
      </c>
      <c r="V208" s="42"/>
    </row>
    <row r="209" spans="1:22" ht="12.75">
      <c r="A209" s="43"/>
      <c r="B209" s="103" t="s">
        <v>58</v>
      </c>
      <c r="C209" s="30"/>
      <c r="D209" s="42"/>
      <c r="E209" s="30"/>
      <c r="F209" s="42"/>
      <c r="G209" s="30"/>
      <c r="H209" s="42"/>
      <c r="I209" s="30">
        <v>78</v>
      </c>
      <c r="J209" s="42">
        <v>78</v>
      </c>
      <c r="K209" s="30"/>
      <c r="L209" s="42"/>
      <c r="M209" s="30"/>
      <c r="N209" s="42"/>
      <c r="O209" s="30"/>
      <c r="P209" s="42"/>
      <c r="Q209" s="30"/>
      <c r="R209" s="42"/>
      <c r="S209" s="30"/>
      <c r="T209" s="42"/>
      <c r="U209" s="30"/>
      <c r="V209" s="42"/>
    </row>
    <row r="210" spans="1:22" ht="12.75">
      <c r="A210" s="43"/>
      <c r="B210" s="101" t="s">
        <v>30</v>
      </c>
      <c r="C210" s="30"/>
      <c r="D210" s="42"/>
      <c r="E210" s="30"/>
      <c r="F210" s="42"/>
      <c r="G210" s="30"/>
      <c r="H210" s="42"/>
      <c r="I210" s="30"/>
      <c r="J210" s="42"/>
      <c r="K210" s="30"/>
      <c r="L210" s="42"/>
      <c r="M210" s="30"/>
      <c r="N210" s="42"/>
      <c r="O210" s="30">
        <f>40+150</f>
        <v>190</v>
      </c>
      <c r="P210" s="42">
        <v>150</v>
      </c>
      <c r="Q210" s="30">
        <v>87</v>
      </c>
      <c r="R210" s="42">
        <v>87</v>
      </c>
      <c r="S210" s="30">
        <v>5</v>
      </c>
      <c r="T210" s="42"/>
      <c r="U210" s="30">
        <f>15+15</f>
        <v>30</v>
      </c>
      <c r="V210" s="42">
        <v>15</v>
      </c>
    </row>
    <row r="211" spans="1:22" ht="12.75">
      <c r="A211" s="43"/>
      <c r="B211" s="42" t="s">
        <v>15</v>
      </c>
      <c r="C211" s="30"/>
      <c r="D211" s="42"/>
      <c r="E211" s="30"/>
      <c r="F211" s="42"/>
      <c r="G211" s="30"/>
      <c r="H211" s="42"/>
      <c r="I211" s="30"/>
      <c r="J211" s="42"/>
      <c r="K211" s="30"/>
      <c r="L211" s="42"/>
      <c r="M211" s="30"/>
      <c r="N211" s="42"/>
      <c r="O211" s="30"/>
      <c r="P211" s="42"/>
      <c r="Q211" s="30"/>
      <c r="R211" s="42"/>
      <c r="S211" s="30"/>
      <c r="T211" s="42"/>
      <c r="U211" s="30">
        <v>179</v>
      </c>
      <c r="V211" s="42">
        <v>179</v>
      </c>
    </row>
    <row r="212" spans="1:22" ht="12.75">
      <c r="A212" s="43"/>
      <c r="B212" s="101" t="s">
        <v>14</v>
      </c>
      <c r="C212" s="30"/>
      <c r="D212" s="42"/>
      <c r="E212" s="30"/>
      <c r="F212" s="42"/>
      <c r="G212" s="30"/>
      <c r="H212" s="42"/>
      <c r="I212" s="30"/>
      <c r="J212" s="42"/>
      <c r="K212" s="30">
        <v>20</v>
      </c>
      <c r="L212" s="42">
        <v>20</v>
      </c>
      <c r="M212" s="30"/>
      <c r="N212" s="42"/>
      <c r="O212" s="30"/>
      <c r="P212" s="42"/>
      <c r="Q212" s="30"/>
      <c r="R212" s="42"/>
      <c r="S212" s="30"/>
      <c r="T212" s="42"/>
      <c r="U212" s="30">
        <v>16</v>
      </c>
      <c r="V212" s="42">
        <v>16</v>
      </c>
    </row>
    <row r="213" spans="1:22" ht="12.75">
      <c r="A213" s="43"/>
      <c r="B213" s="101" t="s">
        <v>59</v>
      </c>
      <c r="C213" s="30">
        <v>62</v>
      </c>
      <c r="D213" s="42">
        <v>62</v>
      </c>
      <c r="E213" s="30">
        <v>620</v>
      </c>
      <c r="F213" s="42">
        <v>620</v>
      </c>
      <c r="G213" s="30">
        <v>404</v>
      </c>
      <c r="H213" s="42">
        <v>404</v>
      </c>
      <c r="I213" s="30"/>
      <c r="J213" s="42"/>
      <c r="K213" s="30"/>
      <c r="L213" s="42"/>
      <c r="M213" s="30"/>
      <c r="N213" s="42"/>
      <c r="O213" s="30"/>
      <c r="P213" s="42"/>
      <c r="Q213" s="30">
        <v>105</v>
      </c>
      <c r="R213" s="42">
        <v>105</v>
      </c>
      <c r="S213" s="30"/>
      <c r="T213" s="42"/>
      <c r="U213" s="30">
        <v>27</v>
      </c>
      <c r="V213" s="42">
        <v>27</v>
      </c>
    </row>
    <row r="214" spans="1:22" ht="12.75">
      <c r="A214" s="47"/>
      <c r="B214" s="110" t="s">
        <v>95</v>
      </c>
      <c r="C214" s="52">
        <v>51</v>
      </c>
      <c r="D214" s="62">
        <v>51</v>
      </c>
      <c r="E214" s="52"/>
      <c r="F214" s="62"/>
      <c r="G214" s="52"/>
      <c r="H214" s="62"/>
      <c r="I214" s="52"/>
      <c r="J214" s="62"/>
      <c r="K214" s="52"/>
      <c r="L214" s="62"/>
      <c r="M214" s="52"/>
      <c r="N214" s="62"/>
      <c r="O214" s="52"/>
      <c r="P214" s="62"/>
      <c r="Q214" s="52"/>
      <c r="R214" s="62"/>
      <c r="S214" s="52">
        <v>7</v>
      </c>
      <c r="T214" s="62">
        <v>7</v>
      </c>
      <c r="U214" s="52"/>
      <c r="V214" s="62"/>
    </row>
    <row r="215" spans="1:22" ht="12.75">
      <c r="A215" s="23" t="s">
        <v>136</v>
      </c>
      <c r="B215" s="109"/>
      <c r="C215" s="25">
        <f aca="true" t="shared" si="30" ref="C215:T215">SUM(C216:C219)</f>
        <v>1211</v>
      </c>
      <c r="D215" s="25">
        <f t="shared" si="30"/>
        <v>0</v>
      </c>
      <c r="E215" s="25">
        <f t="shared" si="30"/>
        <v>1466</v>
      </c>
      <c r="F215" s="25">
        <f t="shared" si="30"/>
        <v>38</v>
      </c>
      <c r="G215" s="25">
        <f t="shared" si="30"/>
        <v>1133</v>
      </c>
      <c r="H215" s="25">
        <f t="shared" si="30"/>
        <v>0</v>
      </c>
      <c r="I215" s="25">
        <f t="shared" si="30"/>
        <v>1750</v>
      </c>
      <c r="J215" s="25">
        <f t="shared" si="30"/>
        <v>0</v>
      </c>
      <c r="K215" s="25">
        <f t="shared" si="30"/>
        <v>2017</v>
      </c>
      <c r="L215" s="25">
        <f t="shared" si="30"/>
        <v>0</v>
      </c>
      <c r="M215" s="25">
        <f t="shared" si="30"/>
        <v>1520</v>
      </c>
      <c r="N215" s="25">
        <f t="shared" si="30"/>
        <v>0</v>
      </c>
      <c r="O215" s="25">
        <f t="shared" si="30"/>
        <v>1635</v>
      </c>
      <c r="P215" s="25">
        <f t="shared" si="30"/>
        <v>100</v>
      </c>
      <c r="Q215" s="25">
        <f t="shared" si="30"/>
        <v>1903</v>
      </c>
      <c r="R215" s="25">
        <f t="shared" si="30"/>
        <v>0</v>
      </c>
      <c r="S215" s="25">
        <f t="shared" si="30"/>
        <v>2287</v>
      </c>
      <c r="T215" s="25">
        <f t="shared" si="30"/>
        <v>0</v>
      </c>
      <c r="U215" s="25">
        <f>SUM(U216:U219)</f>
        <v>2259</v>
      </c>
      <c r="V215" s="25">
        <f>SUM(V216:V219)</f>
        <v>0</v>
      </c>
    </row>
    <row r="216" spans="1:22" ht="12.75">
      <c r="A216" s="43"/>
      <c r="B216" s="103" t="s">
        <v>22</v>
      </c>
      <c r="C216" s="30">
        <v>1206</v>
      </c>
      <c r="D216" s="42"/>
      <c r="E216" s="30">
        <v>1421</v>
      </c>
      <c r="F216" s="42"/>
      <c r="G216" s="30">
        <v>1114</v>
      </c>
      <c r="H216" s="42"/>
      <c r="I216" s="30">
        <v>1750</v>
      </c>
      <c r="J216" s="42"/>
      <c r="K216" s="30">
        <v>2017</v>
      </c>
      <c r="L216" s="42"/>
      <c r="M216" s="30">
        <v>1520</v>
      </c>
      <c r="N216" s="42"/>
      <c r="O216" s="30">
        <v>1535</v>
      </c>
      <c r="P216" s="42"/>
      <c r="Q216" s="30">
        <v>1903</v>
      </c>
      <c r="R216" s="42"/>
      <c r="S216" s="30">
        <v>2287</v>
      </c>
      <c r="T216" s="42"/>
      <c r="U216" s="30">
        <v>2259</v>
      </c>
      <c r="V216" s="42"/>
    </row>
    <row r="217" spans="1:22" ht="12.75">
      <c r="A217" s="43"/>
      <c r="B217" s="101" t="s">
        <v>17</v>
      </c>
      <c r="C217" s="30">
        <v>5</v>
      </c>
      <c r="D217" s="42"/>
      <c r="E217" s="30">
        <v>7</v>
      </c>
      <c r="F217" s="42"/>
      <c r="G217" s="30">
        <v>19</v>
      </c>
      <c r="H217" s="42"/>
      <c r="I217" s="30"/>
      <c r="J217" s="42"/>
      <c r="K217" s="30"/>
      <c r="L217" s="42"/>
      <c r="M217" s="30"/>
      <c r="N217" s="42"/>
      <c r="O217" s="30"/>
      <c r="P217" s="42"/>
      <c r="Q217" s="30"/>
      <c r="R217" s="42"/>
      <c r="S217" s="30"/>
      <c r="T217" s="42"/>
      <c r="U217" s="30"/>
      <c r="V217" s="42"/>
    </row>
    <row r="218" spans="1:22" ht="12.75">
      <c r="A218" s="43"/>
      <c r="B218" s="101" t="s">
        <v>30</v>
      </c>
      <c r="C218" s="30"/>
      <c r="D218" s="42"/>
      <c r="E218" s="30"/>
      <c r="F218" s="42"/>
      <c r="G218" s="30"/>
      <c r="H218" s="42"/>
      <c r="I218" s="30"/>
      <c r="J218" s="42"/>
      <c r="K218" s="30"/>
      <c r="L218" s="42"/>
      <c r="M218" s="30"/>
      <c r="N218" s="42"/>
      <c r="O218" s="30">
        <v>100</v>
      </c>
      <c r="P218" s="42">
        <v>100</v>
      </c>
      <c r="Q218" s="30"/>
      <c r="R218" s="42"/>
      <c r="S218" s="30"/>
      <c r="T218" s="42"/>
      <c r="U218" s="30"/>
      <c r="V218" s="42"/>
    </row>
    <row r="219" spans="1:22" ht="12.75">
      <c r="A219" s="43"/>
      <c r="B219" s="101" t="s">
        <v>65</v>
      </c>
      <c r="C219" s="30"/>
      <c r="D219" s="42"/>
      <c r="E219" s="30">
        <v>38</v>
      </c>
      <c r="F219" s="42">
        <v>38</v>
      </c>
      <c r="G219" s="30"/>
      <c r="H219" s="42"/>
      <c r="I219" s="30"/>
      <c r="J219" s="42"/>
      <c r="K219" s="30"/>
      <c r="L219" s="42"/>
      <c r="M219" s="30"/>
      <c r="N219" s="42"/>
      <c r="O219" s="30"/>
      <c r="P219" s="42"/>
      <c r="Q219" s="30"/>
      <c r="R219" s="42"/>
      <c r="S219" s="30"/>
      <c r="T219" s="42"/>
      <c r="U219" s="30"/>
      <c r="V219" s="42"/>
    </row>
    <row r="220" spans="1:22" ht="12.75">
      <c r="A220" s="23" t="s">
        <v>134</v>
      </c>
      <c r="B220" s="109"/>
      <c r="C220" s="25">
        <f aca="true" t="shared" si="31" ref="C220:V220">SUM(C221:C228)</f>
        <v>785</v>
      </c>
      <c r="D220" s="25">
        <f t="shared" si="31"/>
        <v>202</v>
      </c>
      <c r="E220" s="25">
        <f t="shared" si="31"/>
        <v>1801</v>
      </c>
      <c r="F220" s="25">
        <f t="shared" si="31"/>
        <v>829</v>
      </c>
      <c r="G220" s="25">
        <f t="shared" si="31"/>
        <v>1596</v>
      </c>
      <c r="H220" s="25">
        <f t="shared" si="31"/>
        <v>795</v>
      </c>
      <c r="I220" s="25">
        <f t="shared" si="31"/>
        <v>1417</v>
      </c>
      <c r="J220" s="25">
        <f t="shared" si="31"/>
        <v>738</v>
      </c>
      <c r="K220" s="25">
        <f t="shared" si="31"/>
        <v>1322</v>
      </c>
      <c r="L220" s="25">
        <f t="shared" si="31"/>
        <v>818</v>
      </c>
      <c r="M220" s="25">
        <f t="shared" si="31"/>
        <v>1183</v>
      </c>
      <c r="N220" s="25">
        <f t="shared" si="31"/>
        <v>756</v>
      </c>
      <c r="O220" s="25">
        <f t="shared" si="31"/>
        <v>1224</v>
      </c>
      <c r="P220" s="25">
        <f t="shared" si="31"/>
        <v>795</v>
      </c>
      <c r="Q220" s="25">
        <f t="shared" si="31"/>
        <v>1292</v>
      </c>
      <c r="R220" s="25">
        <f t="shared" si="31"/>
        <v>908</v>
      </c>
      <c r="S220" s="25">
        <f t="shared" si="31"/>
        <v>981</v>
      </c>
      <c r="T220" s="25">
        <f t="shared" si="31"/>
        <v>750</v>
      </c>
      <c r="U220" s="25">
        <f t="shared" si="31"/>
        <v>936</v>
      </c>
      <c r="V220" s="25">
        <f t="shared" si="31"/>
        <v>699</v>
      </c>
    </row>
    <row r="221" spans="1:22" ht="12.75">
      <c r="A221" s="9"/>
      <c r="B221" s="42" t="s">
        <v>15</v>
      </c>
      <c r="C221" s="21">
        <v>195</v>
      </c>
      <c r="D221" s="61">
        <v>195</v>
      </c>
      <c r="E221" s="21">
        <v>20</v>
      </c>
      <c r="F221" s="61">
        <v>20</v>
      </c>
      <c r="G221" s="21">
        <v>20</v>
      </c>
      <c r="H221" s="61">
        <v>20</v>
      </c>
      <c r="I221" s="21">
        <v>20</v>
      </c>
      <c r="J221" s="61">
        <v>20</v>
      </c>
      <c r="K221" s="21"/>
      <c r="L221" s="61"/>
      <c r="M221" s="21">
        <v>1</v>
      </c>
      <c r="N221" s="61">
        <v>1</v>
      </c>
      <c r="O221" s="21"/>
      <c r="P221" s="61"/>
      <c r="Q221" s="21">
        <v>101</v>
      </c>
      <c r="R221" s="61">
        <v>101</v>
      </c>
      <c r="S221" s="21"/>
      <c r="T221" s="61"/>
      <c r="U221" s="21"/>
      <c r="V221" s="61"/>
    </row>
    <row r="222" spans="1:22" ht="12.75">
      <c r="A222" s="9"/>
      <c r="B222" s="103" t="s">
        <v>34</v>
      </c>
      <c r="C222" s="21"/>
      <c r="D222" s="61"/>
      <c r="E222" s="21"/>
      <c r="F222" s="61"/>
      <c r="G222" s="21"/>
      <c r="H222" s="61"/>
      <c r="I222" s="21"/>
      <c r="J222" s="61"/>
      <c r="K222" s="21"/>
      <c r="L222" s="61"/>
      <c r="M222" s="21"/>
      <c r="N222" s="61"/>
      <c r="O222" s="21">
        <v>10</v>
      </c>
      <c r="P222" s="61">
        <v>10</v>
      </c>
      <c r="Q222" s="21">
        <v>60</v>
      </c>
      <c r="R222" s="61">
        <v>60</v>
      </c>
      <c r="S222" s="21"/>
      <c r="T222" s="61"/>
      <c r="U222" s="21"/>
      <c r="V222" s="61"/>
    </row>
    <row r="223" spans="1:22" ht="12.75">
      <c r="A223" s="9"/>
      <c r="B223" s="101" t="s">
        <v>59</v>
      </c>
      <c r="C223" s="21">
        <f>7+148</f>
        <v>155</v>
      </c>
      <c r="D223" s="19">
        <v>7</v>
      </c>
      <c r="E223" s="21">
        <f>1+120</f>
        <v>121</v>
      </c>
      <c r="F223" s="19">
        <v>1</v>
      </c>
      <c r="G223" s="21">
        <v>91</v>
      </c>
      <c r="H223" s="19"/>
      <c r="I223" s="21">
        <f>3+83</f>
        <v>86</v>
      </c>
      <c r="J223" s="19">
        <v>3</v>
      </c>
      <c r="K223" s="21">
        <f>1+58</f>
        <v>59</v>
      </c>
      <c r="L223" s="19">
        <v>1</v>
      </c>
      <c r="M223" s="21"/>
      <c r="N223" s="19"/>
      <c r="O223" s="21"/>
      <c r="P223" s="19"/>
      <c r="Q223" s="21">
        <v>34</v>
      </c>
      <c r="R223" s="19">
        <v>34</v>
      </c>
      <c r="S223" s="21">
        <v>60</v>
      </c>
      <c r="T223" s="19">
        <v>60</v>
      </c>
      <c r="U223" s="21"/>
      <c r="V223" s="19"/>
    </row>
    <row r="224" spans="1:22" ht="12.75">
      <c r="A224" s="9"/>
      <c r="B224" s="101" t="s">
        <v>65</v>
      </c>
      <c r="C224" s="21"/>
      <c r="D224" s="19"/>
      <c r="E224" s="21"/>
      <c r="F224" s="19"/>
      <c r="G224" s="21"/>
      <c r="H224" s="19"/>
      <c r="I224" s="21"/>
      <c r="J224" s="19"/>
      <c r="K224" s="21">
        <v>52</v>
      </c>
      <c r="L224" s="19">
        <v>52</v>
      </c>
      <c r="M224" s="21"/>
      <c r="N224" s="19"/>
      <c r="O224" s="21"/>
      <c r="P224" s="19"/>
      <c r="Q224" s="21"/>
      <c r="R224" s="19"/>
      <c r="S224" s="21"/>
      <c r="T224" s="19"/>
      <c r="U224" s="21"/>
      <c r="V224" s="19"/>
    </row>
    <row r="225" spans="1:22" ht="12.75">
      <c r="A225" s="9"/>
      <c r="B225" s="101" t="s">
        <v>53</v>
      </c>
      <c r="C225" s="31"/>
      <c r="D225" s="42"/>
      <c r="E225" s="31">
        <v>132</v>
      </c>
      <c r="F225" s="42"/>
      <c r="G225" s="31"/>
      <c r="H225" s="42"/>
      <c r="I225" s="31"/>
      <c r="J225" s="42"/>
      <c r="K225" s="31"/>
      <c r="L225" s="42"/>
      <c r="M225" s="31"/>
      <c r="N225" s="42"/>
      <c r="O225" s="31"/>
      <c r="P225" s="42"/>
      <c r="Q225" s="31"/>
      <c r="R225" s="42"/>
      <c r="S225" s="31"/>
      <c r="T225" s="42"/>
      <c r="U225" s="31"/>
      <c r="V225" s="42"/>
    </row>
    <row r="226" spans="1:22" ht="12.75">
      <c r="A226" s="9"/>
      <c r="B226" s="101" t="s">
        <v>107</v>
      </c>
      <c r="C226" s="31"/>
      <c r="D226" s="42"/>
      <c r="E226" s="31">
        <f>296+808</f>
        <v>1104</v>
      </c>
      <c r="F226" s="42">
        <v>808</v>
      </c>
      <c r="G226" s="31">
        <f>252+775</f>
        <v>1027</v>
      </c>
      <c r="H226" s="42">
        <v>775</v>
      </c>
      <c r="I226" s="31">
        <f>107+715</f>
        <v>822</v>
      </c>
      <c r="J226" s="42">
        <v>715</v>
      </c>
      <c r="K226" s="31">
        <v>765</v>
      </c>
      <c r="L226" s="42">
        <v>765</v>
      </c>
      <c r="M226" s="31">
        <v>755</v>
      </c>
      <c r="N226" s="42">
        <v>755</v>
      </c>
      <c r="O226" s="31">
        <v>785</v>
      </c>
      <c r="P226" s="42">
        <v>785</v>
      </c>
      <c r="Q226" s="31">
        <v>713</v>
      </c>
      <c r="R226" s="42">
        <v>713</v>
      </c>
      <c r="S226" s="31">
        <v>690</v>
      </c>
      <c r="T226" s="42">
        <v>690</v>
      </c>
      <c r="U226" s="31">
        <v>699</v>
      </c>
      <c r="V226" s="42">
        <v>699</v>
      </c>
    </row>
    <row r="227" spans="1:22" ht="12.75">
      <c r="A227" s="9"/>
      <c r="B227" s="17" t="s">
        <v>71</v>
      </c>
      <c r="C227" s="21">
        <v>435</v>
      </c>
      <c r="D227" s="19"/>
      <c r="E227" s="21">
        <v>424</v>
      </c>
      <c r="F227" s="19"/>
      <c r="G227" s="21">
        <v>454</v>
      </c>
      <c r="H227" s="19"/>
      <c r="I227" s="21">
        <v>489</v>
      </c>
      <c r="J227" s="19"/>
      <c r="K227" s="21">
        <v>446</v>
      </c>
      <c r="L227" s="19"/>
      <c r="M227" s="21">
        <v>427</v>
      </c>
      <c r="N227" s="19"/>
      <c r="O227" s="21">
        <v>429</v>
      </c>
      <c r="P227" s="19"/>
      <c r="Q227" s="21">
        <v>384</v>
      </c>
      <c r="R227" s="19"/>
      <c r="S227" s="21">
        <v>231</v>
      </c>
      <c r="T227" s="19"/>
      <c r="U227" s="21">
        <v>237</v>
      </c>
      <c r="V227" s="19"/>
    </row>
    <row r="228" spans="1:22" ht="12.75">
      <c r="A228" s="47"/>
      <c r="B228" s="102" t="s">
        <v>60</v>
      </c>
      <c r="C228" s="32"/>
      <c r="D228" s="32"/>
      <c r="E228" s="32"/>
      <c r="F228" s="32"/>
      <c r="G228" s="32">
        <v>4</v>
      </c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ht="12.75">
      <c r="A229" s="65" t="s">
        <v>135</v>
      </c>
      <c r="B229" s="107"/>
      <c r="C229" s="89">
        <f aca="true" t="shared" si="32" ref="C229:T229">SUM(C230:C231)</f>
        <v>20321</v>
      </c>
      <c r="D229" s="89">
        <f t="shared" si="32"/>
        <v>0</v>
      </c>
      <c r="E229" s="89">
        <f t="shared" si="32"/>
        <v>15225</v>
      </c>
      <c r="F229" s="89">
        <f t="shared" si="32"/>
        <v>0</v>
      </c>
      <c r="G229" s="89">
        <f t="shared" si="32"/>
        <v>10875</v>
      </c>
      <c r="H229" s="89">
        <f t="shared" si="32"/>
        <v>0</v>
      </c>
      <c r="I229" s="89">
        <f t="shared" si="32"/>
        <v>8689</v>
      </c>
      <c r="J229" s="89">
        <f t="shared" si="32"/>
        <v>0</v>
      </c>
      <c r="K229" s="89">
        <f t="shared" si="32"/>
        <v>9916</v>
      </c>
      <c r="L229" s="89">
        <f t="shared" si="32"/>
        <v>140</v>
      </c>
      <c r="M229" s="89">
        <f t="shared" si="32"/>
        <v>11177</v>
      </c>
      <c r="N229" s="89">
        <f t="shared" si="32"/>
        <v>140</v>
      </c>
      <c r="O229" s="89">
        <f t="shared" si="32"/>
        <v>12699</v>
      </c>
      <c r="P229" s="89">
        <f t="shared" si="32"/>
        <v>140</v>
      </c>
      <c r="Q229" s="89">
        <f t="shared" si="32"/>
        <v>12454</v>
      </c>
      <c r="R229" s="89">
        <f t="shared" si="32"/>
        <v>140</v>
      </c>
      <c r="S229" s="89">
        <f t="shared" si="32"/>
        <v>12436</v>
      </c>
      <c r="T229" s="89">
        <f t="shared" si="32"/>
        <v>0</v>
      </c>
      <c r="U229" s="89">
        <f>SUM(U230:U231)</f>
        <v>12673</v>
      </c>
      <c r="V229" s="89">
        <f>SUM(V230:V231)</f>
        <v>0</v>
      </c>
    </row>
    <row r="230" spans="1:22" ht="12.75">
      <c r="A230" s="43"/>
      <c r="B230" s="101" t="s">
        <v>13</v>
      </c>
      <c r="C230" s="19">
        <v>20021</v>
      </c>
      <c r="D230" s="17"/>
      <c r="E230" s="19">
        <v>15225</v>
      </c>
      <c r="F230" s="17"/>
      <c r="G230" s="19">
        <v>10875</v>
      </c>
      <c r="H230" s="17"/>
      <c r="I230" s="19">
        <v>8689</v>
      </c>
      <c r="J230" s="17"/>
      <c r="K230" s="19">
        <v>9776</v>
      </c>
      <c r="L230" s="17"/>
      <c r="M230" s="19">
        <v>11037</v>
      </c>
      <c r="N230" s="17"/>
      <c r="O230" s="19">
        <v>12559</v>
      </c>
      <c r="P230" s="17"/>
      <c r="Q230" s="19">
        <v>12281</v>
      </c>
      <c r="R230" s="17"/>
      <c r="S230" s="19">
        <v>12436</v>
      </c>
      <c r="T230" s="17"/>
      <c r="U230" s="19">
        <v>12673</v>
      </c>
      <c r="V230" s="17"/>
    </row>
    <row r="231" spans="1:22" ht="12.75">
      <c r="A231" s="47"/>
      <c r="B231" s="102" t="s">
        <v>14</v>
      </c>
      <c r="C231" s="31">
        <v>300</v>
      </c>
      <c r="D231" s="42"/>
      <c r="E231" s="31"/>
      <c r="F231" s="42"/>
      <c r="G231" s="31"/>
      <c r="H231" s="42"/>
      <c r="I231" s="31"/>
      <c r="J231" s="42"/>
      <c r="K231" s="31">
        <v>140</v>
      </c>
      <c r="L231" s="42">
        <v>140</v>
      </c>
      <c r="M231" s="31">
        <v>140</v>
      </c>
      <c r="N231" s="42">
        <v>140</v>
      </c>
      <c r="O231" s="31">
        <v>140</v>
      </c>
      <c r="P231" s="42">
        <v>140</v>
      </c>
      <c r="Q231" s="31">
        <f>140+33</f>
        <v>173</v>
      </c>
      <c r="R231" s="42">
        <v>140</v>
      </c>
      <c r="S231" s="31"/>
      <c r="T231" s="42"/>
      <c r="U231" s="31"/>
      <c r="V231" s="42"/>
    </row>
    <row r="232" spans="1:22" ht="12.75">
      <c r="A232" s="65" t="s">
        <v>11</v>
      </c>
      <c r="B232" s="107"/>
      <c r="C232" s="89">
        <f aca="true" t="shared" si="33" ref="C232:V232">+C253+C257+C260+C272+C265+C251+C263+C269+C233</f>
        <v>18317</v>
      </c>
      <c r="D232" s="89">
        <f t="shared" si="33"/>
        <v>4</v>
      </c>
      <c r="E232" s="89">
        <f t="shared" si="33"/>
        <v>18957</v>
      </c>
      <c r="F232" s="89">
        <f t="shared" si="33"/>
        <v>38</v>
      </c>
      <c r="G232" s="89">
        <f t="shared" si="33"/>
        <v>19947</v>
      </c>
      <c r="H232" s="89">
        <f t="shared" si="33"/>
        <v>24</v>
      </c>
      <c r="I232" s="89">
        <f t="shared" si="33"/>
        <v>34992</v>
      </c>
      <c r="J232" s="89">
        <f t="shared" si="33"/>
        <v>9042</v>
      </c>
      <c r="K232" s="89">
        <f t="shared" si="33"/>
        <v>33194</v>
      </c>
      <c r="L232" s="89">
        <f t="shared" si="33"/>
        <v>8142</v>
      </c>
      <c r="M232" s="89">
        <f t="shared" si="33"/>
        <v>19450</v>
      </c>
      <c r="N232" s="89">
        <f t="shared" si="33"/>
        <v>5523</v>
      </c>
      <c r="O232" s="89">
        <f t="shared" si="33"/>
        <v>20655</v>
      </c>
      <c r="P232" s="89">
        <f t="shared" si="33"/>
        <v>6560</v>
      </c>
      <c r="Q232" s="89">
        <f t="shared" si="33"/>
        <v>25765</v>
      </c>
      <c r="R232" s="89">
        <f t="shared" si="33"/>
        <v>7709</v>
      </c>
      <c r="S232" s="89">
        <f t="shared" si="33"/>
        <v>27645</v>
      </c>
      <c r="T232" s="89">
        <f t="shared" si="33"/>
        <v>10450</v>
      </c>
      <c r="U232" s="89">
        <f t="shared" si="33"/>
        <v>31311</v>
      </c>
      <c r="V232" s="89">
        <f t="shared" si="33"/>
        <v>16140</v>
      </c>
    </row>
    <row r="233" spans="1:22" ht="12.75">
      <c r="A233" s="64" t="s">
        <v>139</v>
      </c>
      <c r="B233" s="112"/>
      <c r="C233" s="28">
        <f aca="true" t="shared" si="34" ref="C233:T233">SUM(C234:C250)</f>
        <v>18313</v>
      </c>
      <c r="D233" s="28">
        <f t="shared" si="34"/>
        <v>0</v>
      </c>
      <c r="E233" s="28">
        <f t="shared" si="34"/>
        <v>18926</v>
      </c>
      <c r="F233" s="28">
        <f t="shared" si="34"/>
        <v>7</v>
      </c>
      <c r="G233" s="28">
        <f t="shared" si="34"/>
        <v>19929</v>
      </c>
      <c r="H233" s="28">
        <f t="shared" si="34"/>
        <v>7</v>
      </c>
      <c r="I233" s="28">
        <f t="shared" si="34"/>
        <v>34970</v>
      </c>
      <c r="J233" s="28">
        <f t="shared" si="34"/>
        <v>9020</v>
      </c>
      <c r="K233" s="28">
        <f t="shared" si="34"/>
        <v>33096</v>
      </c>
      <c r="L233" s="28">
        <f t="shared" si="34"/>
        <v>8044</v>
      </c>
      <c r="M233" s="28">
        <f t="shared" si="34"/>
        <v>19155</v>
      </c>
      <c r="N233" s="28">
        <f t="shared" si="34"/>
        <v>5228</v>
      </c>
      <c r="O233" s="28">
        <f t="shared" si="34"/>
        <v>20636</v>
      </c>
      <c r="P233" s="28">
        <f t="shared" si="34"/>
        <v>6551</v>
      </c>
      <c r="Q233" s="28">
        <f t="shared" si="34"/>
        <v>25687</v>
      </c>
      <c r="R233" s="28">
        <f t="shared" si="34"/>
        <v>7643</v>
      </c>
      <c r="S233" s="28">
        <f t="shared" si="34"/>
        <v>27616</v>
      </c>
      <c r="T233" s="28">
        <f t="shared" si="34"/>
        <v>10423</v>
      </c>
      <c r="U233" s="28">
        <f>SUM(U234:U250)</f>
        <v>31297</v>
      </c>
      <c r="V233" s="28">
        <f>SUM(V234:V250)</f>
        <v>16133</v>
      </c>
    </row>
    <row r="234" spans="1:22" ht="12.75">
      <c r="A234" s="43"/>
      <c r="B234" s="42" t="s">
        <v>60</v>
      </c>
      <c r="C234" s="30"/>
      <c r="D234" s="31"/>
      <c r="E234" s="30"/>
      <c r="F234" s="30"/>
      <c r="G234" s="30"/>
      <c r="H234" s="30"/>
      <c r="I234" s="30">
        <f>1400+36</f>
        <v>1436</v>
      </c>
      <c r="J234" s="30">
        <f>1400+36</f>
        <v>1436</v>
      </c>
      <c r="K234" s="30">
        <f>52+3140</f>
        <v>3192</v>
      </c>
      <c r="L234" s="30">
        <f>52+3140</f>
        <v>3192</v>
      </c>
      <c r="M234" s="30">
        <f>32+1325</f>
        <v>1357</v>
      </c>
      <c r="N234" s="30">
        <f>32+1325</f>
        <v>1357</v>
      </c>
      <c r="O234" s="30">
        <v>875</v>
      </c>
      <c r="P234" s="30">
        <v>875</v>
      </c>
      <c r="Q234" s="30">
        <f>1000+1145</f>
        <v>2145</v>
      </c>
      <c r="R234" s="30">
        <v>1145</v>
      </c>
      <c r="S234" s="30">
        <f>11+1067</f>
        <v>1078</v>
      </c>
      <c r="T234" s="30">
        <f>11+1067</f>
        <v>1078</v>
      </c>
      <c r="U234" s="30">
        <v>1077</v>
      </c>
      <c r="V234" s="30">
        <v>1077</v>
      </c>
    </row>
    <row r="235" spans="1:22" ht="12.75">
      <c r="A235" s="43"/>
      <c r="B235" s="101" t="s">
        <v>21</v>
      </c>
      <c r="C235" s="30">
        <v>2083</v>
      </c>
      <c r="D235" s="39"/>
      <c r="E235" s="30">
        <v>2066</v>
      </c>
      <c r="F235" s="39"/>
      <c r="G235" s="30">
        <v>2212</v>
      </c>
      <c r="H235" s="39"/>
      <c r="I235" s="30">
        <v>2521</v>
      </c>
      <c r="J235" s="39"/>
      <c r="K235" s="30">
        <v>1685</v>
      </c>
      <c r="L235" s="39"/>
      <c r="M235" s="30">
        <v>2525</v>
      </c>
      <c r="N235" s="39"/>
      <c r="O235" s="30">
        <v>2326</v>
      </c>
      <c r="P235" s="39"/>
      <c r="Q235" s="30">
        <v>2495</v>
      </c>
      <c r="R235" s="39"/>
      <c r="S235" s="30">
        <v>1397</v>
      </c>
      <c r="T235" s="39"/>
      <c r="U235" s="30">
        <v>1397</v>
      </c>
      <c r="V235" s="39"/>
    </row>
    <row r="236" spans="1:22" ht="12.75">
      <c r="A236" s="43"/>
      <c r="B236" s="101" t="s">
        <v>95</v>
      </c>
      <c r="C236" s="30"/>
      <c r="D236" s="31"/>
      <c r="E236" s="30"/>
      <c r="F236" s="31"/>
      <c r="G236" s="30"/>
      <c r="H236" s="31"/>
      <c r="I236" s="30">
        <v>3139</v>
      </c>
      <c r="J236" s="30">
        <v>3139</v>
      </c>
      <c r="K236" s="30">
        <v>3865</v>
      </c>
      <c r="L236" s="30">
        <v>3865</v>
      </c>
      <c r="M236" s="30">
        <v>2577</v>
      </c>
      <c r="N236" s="30">
        <v>2577</v>
      </c>
      <c r="O236" s="30">
        <v>3906</v>
      </c>
      <c r="P236" s="30">
        <v>3906</v>
      </c>
      <c r="Q236" s="30">
        <v>3255</v>
      </c>
      <c r="R236" s="30">
        <v>3255</v>
      </c>
      <c r="S236" s="30">
        <v>5632</v>
      </c>
      <c r="T236" s="30">
        <v>5632</v>
      </c>
      <c r="U236" s="30">
        <v>10890</v>
      </c>
      <c r="V236" s="30">
        <v>10890</v>
      </c>
    </row>
    <row r="237" spans="1:22" ht="12.75">
      <c r="A237" s="43"/>
      <c r="B237" s="101" t="s">
        <v>59</v>
      </c>
      <c r="C237" s="30"/>
      <c r="D237" s="31"/>
      <c r="E237" s="30"/>
      <c r="F237" s="31"/>
      <c r="G237" s="30"/>
      <c r="H237" s="31"/>
      <c r="I237" s="30">
        <f>516+5115</f>
        <v>5631</v>
      </c>
      <c r="J237" s="31">
        <v>516</v>
      </c>
      <c r="K237" s="30">
        <f>239+3409</f>
        <v>3648</v>
      </c>
      <c r="L237" s="31">
        <v>239</v>
      </c>
      <c r="M237" s="30">
        <f>389+2692</f>
        <v>3081</v>
      </c>
      <c r="N237" s="31">
        <v>389</v>
      </c>
      <c r="O237" s="30">
        <f>447+2700</f>
        <v>3147</v>
      </c>
      <c r="P237" s="31">
        <v>447</v>
      </c>
      <c r="Q237" s="30">
        <f>1549+2700</f>
        <v>4249</v>
      </c>
      <c r="R237" s="31">
        <v>1549</v>
      </c>
      <c r="S237" s="30">
        <f>1369+3004</f>
        <v>4373</v>
      </c>
      <c r="T237" s="31">
        <v>1369</v>
      </c>
      <c r="U237" s="30">
        <f>1281+2143</f>
        <v>3424</v>
      </c>
      <c r="V237" s="31">
        <v>1281</v>
      </c>
    </row>
    <row r="238" spans="1:22" ht="12.75">
      <c r="A238" s="43"/>
      <c r="B238" s="42" t="s">
        <v>20</v>
      </c>
      <c r="C238" s="60">
        <f>2841+8</f>
        <v>2849</v>
      </c>
      <c r="D238" s="31"/>
      <c r="E238" s="60">
        <v>2993</v>
      </c>
      <c r="F238" s="31"/>
      <c r="G238" s="60">
        <v>2900</v>
      </c>
      <c r="H238" s="31"/>
      <c r="I238" s="60">
        <v>3100</v>
      </c>
      <c r="J238" s="31"/>
      <c r="K238" s="60">
        <v>3450</v>
      </c>
      <c r="L238" s="31"/>
      <c r="M238" s="60">
        <v>3600</v>
      </c>
      <c r="N238" s="31"/>
      <c r="O238" s="60">
        <v>3650</v>
      </c>
      <c r="P238" s="31"/>
      <c r="Q238" s="60">
        <v>3900</v>
      </c>
      <c r="R238" s="31"/>
      <c r="S238" s="60">
        <v>3900</v>
      </c>
      <c r="T238" s="31"/>
      <c r="U238" s="60">
        <v>4050</v>
      </c>
      <c r="V238" s="31"/>
    </row>
    <row r="239" spans="1:22" ht="12.75">
      <c r="A239" s="43"/>
      <c r="B239" s="42" t="s">
        <v>92</v>
      </c>
      <c r="C239" s="30">
        <v>1773</v>
      </c>
      <c r="D239" s="30">
        <v>0</v>
      </c>
      <c r="E239" s="30">
        <v>2155</v>
      </c>
      <c r="F239" s="30"/>
      <c r="G239" s="30">
        <v>2327</v>
      </c>
      <c r="H239" s="30"/>
      <c r="I239" s="30">
        <v>2302</v>
      </c>
      <c r="J239" s="30"/>
      <c r="K239" s="30">
        <v>2746</v>
      </c>
      <c r="L239" s="30"/>
      <c r="M239" s="30">
        <v>2485</v>
      </c>
      <c r="N239" s="30"/>
      <c r="O239" s="30">
        <v>2723</v>
      </c>
      <c r="P239" s="30"/>
      <c r="Q239" s="30">
        <v>2778</v>
      </c>
      <c r="R239" s="30"/>
      <c r="S239" s="30">
        <v>3082</v>
      </c>
      <c r="T239" s="30"/>
      <c r="U239" s="30">
        <v>3133</v>
      </c>
      <c r="V239" s="30"/>
    </row>
    <row r="240" spans="1:22" ht="12.75">
      <c r="A240" s="43"/>
      <c r="B240" s="42" t="s">
        <v>61</v>
      </c>
      <c r="C240" s="60">
        <v>864</v>
      </c>
      <c r="D240" s="31"/>
      <c r="E240" s="60">
        <v>897</v>
      </c>
      <c r="F240" s="31"/>
      <c r="G240" s="60">
        <v>949</v>
      </c>
      <c r="H240" s="31"/>
      <c r="I240" s="60">
        <v>885</v>
      </c>
      <c r="J240" s="31"/>
      <c r="K240" s="60">
        <v>960</v>
      </c>
      <c r="L240" s="31"/>
      <c r="M240" s="60">
        <v>863</v>
      </c>
      <c r="N240" s="31"/>
      <c r="O240" s="60">
        <v>894</v>
      </c>
      <c r="P240" s="31"/>
      <c r="Q240" s="50">
        <v>800</v>
      </c>
      <c r="R240" s="31"/>
      <c r="S240" s="50">
        <v>719</v>
      </c>
      <c r="T240" s="31"/>
      <c r="U240" s="50">
        <v>877</v>
      </c>
      <c r="V240" s="31"/>
    </row>
    <row r="241" spans="1:22" s="2" customFormat="1" ht="12.75">
      <c r="A241" s="43"/>
      <c r="B241" s="101" t="s">
        <v>62</v>
      </c>
      <c r="C241" s="60"/>
      <c r="D241" s="31"/>
      <c r="E241" s="60"/>
      <c r="F241" s="31"/>
      <c r="G241" s="60"/>
      <c r="H241" s="31"/>
      <c r="I241" s="60"/>
      <c r="J241" s="31"/>
      <c r="K241" s="60"/>
      <c r="L241" s="31"/>
      <c r="M241" s="60"/>
      <c r="N241" s="31"/>
      <c r="O241" s="60"/>
      <c r="P241" s="31"/>
      <c r="Q241" s="60"/>
      <c r="R241" s="31"/>
      <c r="S241" s="60"/>
      <c r="T241" s="31"/>
      <c r="U241" s="60"/>
      <c r="V241" s="31"/>
    </row>
    <row r="242" spans="1:22" s="2" customFormat="1" ht="12" customHeight="1">
      <c r="A242" s="43"/>
      <c r="B242" s="42" t="s">
        <v>63</v>
      </c>
      <c r="C242" s="60">
        <v>9296</v>
      </c>
      <c r="D242" s="31"/>
      <c r="E242" s="60">
        <v>9640</v>
      </c>
      <c r="F242" s="31"/>
      <c r="G242" s="60">
        <v>10270</v>
      </c>
      <c r="H242" s="31"/>
      <c r="I242" s="60">
        <v>10270</v>
      </c>
      <c r="J242" s="31"/>
      <c r="K242" s="60">
        <v>11150</v>
      </c>
      <c r="L242" s="31"/>
      <c r="M242" s="60"/>
      <c r="N242" s="31"/>
      <c r="O242" s="60"/>
      <c r="P242" s="31"/>
      <c r="Q242" s="60">
        <v>4</v>
      </c>
      <c r="R242" s="31"/>
      <c r="S242" s="60"/>
      <c r="T242" s="31"/>
      <c r="U242" s="60"/>
      <c r="V242" s="31"/>
    </row>
    <row r="243" spans="1:22" s="2" customFormat="1" ht="12.75">
      <c r="A243" s="43"/>
      <c r="B243" s="42" t="s">
        <v>82</v>
      </c>
      <c r="C243" s="30"/>
      <c r="D243" s="39"/>
      <c r="E243" s="30"/>
      <c r="F243" s="39"/>
      <c r="G243" s="30">
        <v>380</v>
      </c>
      <c r="H243" s="39"/>
      <c r="I243" s="30">
        <v>361</v>
      </c>
      <c r="J243" s="39"/>
      <c r="K243" s="30">
        <v>300</v>
      </c>
      <c r="L243" s="39"/>
      <c r="M243" s="30">
        <v>317</v>
      </c>
      <c r="N243" s="39"/>
      <c r="O243" s="30">
        <v>330</v>
      </c>
      <c r="P243" s="39"/>
      <c r="Q243" s="30">
        <v>330</v>
      </c>
      <c r="R243" s="39"/>
      <c r="S243" s="30">
        <v>81</v>
      </c>
      <c r="T243" s="39"/>
      <c r="U243" s="30">
        <v>150</v>
      </c>
      <c r="V243" s="39"/>
    </row>
    <row r="244" spans="1:22" s="2" customFormat="1" ht="12.75">
      <c r="A244" s="43"/>
      <c r="B244" s="42" t="s">
        <v>14</v>
      </c>
      <c r="C244" s="30"/>
      <c r="D244" s="39"/>
      <c r="E244" s="30">
        <v>7</v>
      </c>
      <c r="F244" s="39">
        <v>7</v>
      </c>
      <c r="G244" s="30">
        <v>7</v>
      </c>
      <c r="H244" s="39">
        <v>7</v>
      </c>
      <c r="I244" s="30">
        <f>3926+550</f>
        <v>4476</v>
      </c>
      <c r="J244" s="30">
        <v>3926</v>
      </c>
      <c r="K244" s="30">
        <f>723+425</f>
        <v>1148</v>
      </c>
      <c r="L244" s="30">
        <v>723</v>
      </c>
      <c r="M244" s="30">
        <f>588+480</f>
        <v>1068</v>
      </c>
      <c r="N244" s="30">
        <v>588</v>
      </c>
      <c r="O244" s="30">
        <f>902+430</f>
        <v>1332</v>
      </c>
      <c r="P244" s="30">
        <v>902</v>
      </c>
      <c r="Q244" s="30">
        <f>1590+530</f>
        <v>2120</v>
      </c>
      <c r="R244" s="30">
        <v>1590</v>
      </c>
      <c r="S244" s="30">
        <f>1636+1005</f>
        <v>2641</v>
      </c>
      <c r="T244" s="30">
        <v>1636</v>
      </c>
      <c r="U244" s="30">
        <v>2551</v>
      </c>
      <c r="V244" s="30">
        <v>2551</v>
      </c>
    </row>
    <row r="245" spans="1:22" s="2" customFormat="1" ht="12.75">
      <c r="A245" s="43"/>
      <c r="B245" s="42" t="s">
        <v>15</v>
      </c>
      <c r="C245" s="30"/>
      <c r="D245" s="39"/>
      <c r="E245" s="30"/>
      <c r="F245" s="39"/>
      <c r="G245" s="30"/>
      <c r="H245" s="39"/>
      <c r="I245" s="30">
        <v>3</v>
      </c>
      <c r="J245" s="39">
        <v>3</v>
      </c>
      <c r="K245" s="30">
        <v>25</v>
      </c>
      <c r="L245" s="39">
        <v>25</v>
      </c>
      <c r="M245" s="30"/>
      <c r="N245" s="39"/>
      <c r="O245" s="30"/>
      <c r="P245" s="39"/>
      <c r="Q245" s="30"/>
      <c r="R245" s="39"/>
      <c r="S245" s="30"/>
      <c r="T245" s="39"/>
      <c r="U245" s="30"/>
      <c r="V245" s="39"/>
    </row>
    <row r="246" spans="1:22" s="2" customFormat="1" ht="12.75">
      <c r="A246" s="43"/>
      <c r="B246" s="101" t="s">
        <v>12</v>
      </c>
      <c r="C246" s="30"/>
      <c r="D246" s="39"/>
      <c r="E246" s="30"/>
      <c r="F246" s="39"/>
      <c r="G246" s="30"/>
      <c r="H246" s="39"/>
      <c r="I246" s="30"/>
      <c r="J246" s="39"/>
      <c r="K246" s="30"/>
      <c r="L246" s="39"/>
      <c r="M246" s="30">
        <v>245</v>
      </c>
      <c r="N246" s="39">
        <v>245</v>
      </c>
      <c r="O246" s="30">
        <v>255</v>
      </c>
      <c r="P246" s="39">
        <v>255</v>
      </c>
      <c r="Q246" s="30"/>
      <c r="R246" s="39"/>
      <c r="S246" s="30">
        <v>270</v>
      </c>
      <c r="T246" s="39">
        <v>270</v>
      </c>
      <c r="U246" s="30">
        <v>200</v>
      </c>
      <c r="V246" s="39">
        <v>200</v>
      </c>
    </row>
    <row r="247" spans="1:30" s="16" customFormat="1" ht="12.75">
      <c r="A247" s="43"/>
      <c r="B247" s="103" t="s">
        <v>58</v>
      </c>
      <c r="C247" s="30">
        <v>467</v>
      </c>
      <c r="D247" s="39"/>
      <c r="E247" s="30">
        <v>470</v>
      </c>
      <c r="F247" s="39"/>
      <c r="G247" s="30">
        <v>794</v>
      </c>
      <c r="H247" s="39"/>
      <c r="I247" s="30">
        <v>770</v>
      </c>
      <c r="J247" s="39"/>
      <c r="K247" s="30">
        <v>871</v>
      </c>
      <c r="L247" s="39"/>
      <c r="M247" s="30">
        <f>906+72</f>
        <v>978</v>
      </c>
      <c r="N247" s="39">
        <v>72</v>
      </c>
      <c r="O247" s="30">
        <f>959+166</f>
        <v>1125</v>
      </c>
      <c r="P247" s="39">
        <v>166</v>
      </c>
      <c r="Q247" s="30">
        <f>3427+104</f>
        <v>3531</v>
      </c>
      <c r="R247" s="39">
        <v>104</v>
      </c>
      <c r="S247" s="30">
        <f>3916+438</f>
        <v>4354</v>
      </c>
      <c r="T247" s="39">
        <v>438</v>
      </c>
      <c r="U247" s="30">
        <f>3324+134</f>
        <v>3458</v>
      </c>
      <c r="V247" s="39">
        <v>134</v>
      </c>
      <c r="W247" s="45"/>
      <c r="X247" s="45"/>
      <c r="Y247" s="45"/>
      <c r="Z247" s="45"/>
      <c r="AA247" s="45"/>
      <c r="AB247" s="45"/>
      <c r="AC247" s="45"/>
      <c r="AD247" s="45"/>
    </row>
    <row r="248" spans="1:22" s="45" customFormat="1" ht="12.75">
      <c r="A248" s="43"/>
      <c r="B248" s="101" t="s">
        <v>57</v>
      </c>
      <c r="C248" s="30"/>
      <c r="D248" s="39"/>
      <c r="E248" s="30"/>
      <c r="F248" s="39"/>
      <c r="G248" s="30"/>
      <c r="H248" s="39"/>
      <c r="I248" s="30"/>
      <c r="J248" s="39"/>
      <c r="K248" s="30"/>
      <c r="L248" s="39"/>
      <c r="M248" s="30"/>
      <c r="N248" s="39"/>
      <c r="O248" s="30"/>
      <c r="P248" s="39"/>
      <c r="Q248" s="30"/>
      <c r="R248" s="39"/>
      <c r="S248" s="30"/>
      <c r="T248" s="39"/>
      <c r="U248" s="30"/>
      <c r="V248" s="39"/>
    </row>
    <row r="249" spans="1:22" s="2" customFormat="1" ht="12.75">
      <c r="A249" s="13"/>
      <c r="B249" s="101" t="s">
        <v>108</v>
      </c>
      <c r="C249" s="22"/>
      <c r="D249" s="15"/>
      <c r="E249" s="22">
        <v>51</v>
      </c>
      <c r="F249" s="15"/>
      <c r="G249" s="22">
        <v>54</v>
      </c>
      <c r="H249" s="15"/>
      <c r="I249" s="22">
        <v>76</v>
      </c>
      <c r="J249" s="15"/>
      <c r="K249" s="22">
        <v>56</v>
      </c>
      <c r="L249" s="15"/>
      <c r="M249" s="22">
        <v>59</v>
      </c>
      <c r="N249" s="15"/>
      <c r="O249" s="22">
        <v>73</v>
      </c>
      <c r="P249" s="15"/>
      <c r="Q249" s="22">
        <v>80</v>
      </c>
      <c r="R249" s="15"/>
      <c r="S249" s="22">
        <v>89</v>
      </c>
      <c r="T249" s="15"/>
      <c r="U249" s="22">
        <v>90</v>
      </c>
      <c r="V249" s="15"/>
    </row>
    <row r="250" spans="1:22" s="2" customFormat="1" ht="12.75">
      <c r="A250" s="13"/>
      <c r="B250" s="103" t="s">
        <v>58</v>
      </c>
      <c r="C250" s="22">
        <f>575+406</f>
        <v>981</v>
      </c>
      <c r="D250" s="15"/>
      <c r="E250" s="22">
        <v>647</v>
      </c>
      <c r="F250" s="15"/>
      <c r="G250" s="22">
        <v>36</v>
      </c>
      <c r="H250" s="15"/>
      <c r="I250" s="22"/>
      <c r="J250" s="15"/>
      <c r="K250" s="22"/>
      <c r="L250" s="15"/>
      <c r="M250" s="22"/>
      <c r="N250" s="15"/>
      <c r="O250" s="22"/>
      <c r="P250" s="15"/>
      <c r="Q250" s="22"/>
      <c r="R250" s="15"/>
      <c r="S250" s="22"/>
      <c r="T250" s="15"/>
      <c r="U250" s="22"/>
      <c r="V250" s="15"/>
    </row>
    <row r="251" spans="1:22" s="2" customFormat="1" ht="12.75">
      <c r="A251" s="23" t="s">
        <v>100</v>
      </c>
      <c r="B251" s="109"/>
      <c r="C251" s="25">
        <f aca="true" t="shared" si="35" ref="C251:L251">+C252</f>
        <v>0</v>
      </c>
      <c r="D251" s="25">
        <f t="shared" si="35"/>
        <v>0</v>
      </c>
      <c r="E251" s="25">
        <f t="shared" si="35"/>
        <v>0</v>
      </c>
      <c r="F251" s="25">
        <f t="shared" si="35"/>
        <v>0</v>
      </c>
      <c r="G251" s="25">
        <f t="shared" si="35"/>
        <v>0</v>
      </c>
      <c r="H251" s="25">
        <f t="shared" si="35"/>
        <v>0</v>
      </c>
      <c r="I251" s="25">
        <f t="shared" si="35"/>
        <v>0</v>
      </c>
      <c r="J251" s="25">
        <f t="shared" si="35"/>
        <v>0</v>
      </c>
      <c r="K251" s="25">
        <f t="shared" si="35"/>
        <v>0</v>
      </c>
      <c r="L251" s="25">
        <f t="shared" si="35"/>
        <v>0</v>
      </c>
      <c r="M251" s="25">
        <f aca="true" t="shared" si="36" ref="M251:V251">+M252</f>
        <v>30</v>
      </c>
      <c r="N251" s="25">
        <f t="shared" si="36"/>
        <v>30</v>
      </c>
      <c r="O251" s="25">
        <f t="shared" si="36"/>
        <v>0</v>
      </c>
      <c r="P251" s="25">
        <f t="shared" si="36"/>
        <v>0</v>
      </c>
      <c r="Q251" s="25">
        <f t="shared" si="36"/>
        <v>2</v>
      </c>
      <c r="R251" s="25">
        <f t="shared" si="36"/>
        <v>0</v>
      </c>
      <c r="S251" s="25">
        <f t="shared" si="36"/>
        <v>2</v>
      </c>
      <c r="T251" s="25">
        <f t="shared" si="36"/>
        <v>0</v>
      </c>
      <c r="U251" s="25">
        <f t="shared" si="36"/>
        <v>7</v>
      </c>
      <c r="V251" s="25">
        <f t="shared" si="36"/>
        <v>0</v>
      </c>
    </row>
    <row r="252" spans="1:30" s="16" customFormat="1" ht="12.75">
      <c r="A252" s="47"/>
      <c r="B252" s="102" t="s">
        <v>60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>
        <v>30</v>
      </c>
      <c r="N252" s="32">
        <v>30</v>
      </c>
      <c r="O252" s="32"/>
      <c r="P252" s="32"/>
      <c r="Q252" s="32">
        <v>2</v>
      </c>
      <c r="R252" s="32"/>
      <c r="S252" s="32">
        <v>2</v>
      </c>
      <c r="T252" s="32"/>
      <c r="U252" s="32">
        <v>7</v>
      </c>
      <c r="V252" s="32"/>
      <c r="W252" s="45"/>
      <c r="X252" s="45"/>
      <c r="Y252" s="45"/>
      <c r="Z252" s="45"/>
      <c r="AA252" s="45"/>
      <c r="AB252" s="45"/>
      <c r="AC252" s="45"/>
      <c r="AD252" s="45"/>
    </row>
    <row r="253" spans="1:22" s="2" customFormat="1" ht="12.75">
      <c r="A253" s="23" t="s">
        <v>0</v>
      </c>
      <c r="B253" s="100"/>
      <c r="C253" s="28">
        <f aca="true" t="shared" si="37" ref="C253:R253">SUM(C254:C256)</f>
        <v>4</v>
      </c>
      <c r="D253" s="28">
        <f t="shared" si="37"/>
        <v>4</v>
      </c>
      <c r="E253" s="28">
        <f t="shared" si="37"/>
        <v>0</v>
      </c>
      <c r="F253" s="28">
        <f t="shared" si="37"/>
        <v>0</v>
      </c>
      <c r="G253" s="28">
        <f t="shared" si="37"/>
        <v>4</v>
      </c>
      <c r="H253" s="28">
        <f t="shared" si="37"/>
        <v>4</v>
      </c>
      <c r="I253" s="28">
        <f t="shared" si="37"/>
        <v>2</v>
      </c>
      <c r="J253" s="28">
        <f t="shared" si="37"/>
        <v>2</v>
      </c>
      <c r="K253" s="28">
        <f t="shared" si="37"/>
        <v>4</v>
      </c>
      <c r="L253" s="28">
        <f t="shared" si="37"/>
        <v>4</v>
      </c>
      <c r="M253" s="28">
        <f t="shared" si="37"/>
        <v>100</v>
      </c>
      <c r="N253" s="28">
        <f t="shared" si="37"/>
        <v>100</v>
      </c>
      <c r="O253" s="28">
        <f t="shared" si="37"/>
        <v>8</v>
      </c>
      <c r="P253" s="28">
        <f t="shared" si="37"/>
        <v>8</v>
      </c>
      <c r="Q253" s="28">
        <f t="shared" si="37"/>
        <v>50</v>
      </c>
      <c r="R253" s="28">
        <f t="shared" si="37"/>
        <v>50</v>
      </c>
      <c r="S253" s="28">
        <f>SUM(S254:S256)</f>
        <v>0</v>
      </c>
      <c r="T253" s="28">
        <f>SUM(T254:T256)</f>
        <v>0</v>
      </c>
      <c r="U253" s="28">
        <f>SUM(U254:U256)</f>
        <v>6</v>
      </c>
      <c r="V253" s="28">
        <f>SUM(V254:V256)</f>
        <v>6</v>
      </c>
    </row>
    <row r="254" spans="1:22" s="2" customFormat="1" ht="12.75">
      <c r="A254" s="13"/>
      <c r="B254" s="101" t="s">
        <v>95</v>
      </c>
      <c r="C254" s="22">
        <v>3</v>
      </c>
      <c r="D254" s="15">
        <v>3</v>
      </c>
      <c r="E254" s="22"/>
      <c r="F254" s="15"/>
      <c r="G254" s="22"/>
      <c r="H254" s="15"/>
      <c r="I254" s="22">
        <v>2</v>
      </c>
      <c r="J254" s="15">
        <v>2</v>
      </c>
      <c r="K254" s="22">
        <v>2</v>
      </c>
      <c r="L254" s="15">
        <v>2</v>
      </c>
      <c r="M254" s="22"/>
      <c r="N254" s="15"/>
      <c r="O254" s="22">
        <v>6</v>
      </c>
      <c r="P254" s="15">
        <v>6</v>
      </c>
      <c r="Q254" s="22"/>
      <c r="R254" s="15"/>
      <c r="S254" s="22"/>
      <c r="T254" s="15"/>
      <c r="U254" s="22"/>
      <c r="V254" s="15"/>
    </row>
    <row r="255" spans="1:30" s="16" customFormat="1" ht="12.75">
      <c r="A255" s="13"/>
      <c r="B255" s="17" t="s">
        <v>60</v>
      </c>
      <c r="C255" s="22"/>
      <c r="D255" s="15"/>
      <c r="E255" s="22"/>
      <c r="F255" s="15"/>
      <c r="G255" s="22">
        <v>1</v>
      </c>
      <c r="H255" s="15">
        <v>1</v>
      </c>
      <c r="I255" s="22"/>
      <c r="J255" s="15"/>
      <c r="K255" s="22">
        <v>1</v>
      </c>
      <c r="L255" s="15">
        <v>1</v>
      </c>
      <c r="M255" s="22">
        <v>100</v>
      </c>
      <c r="N255" s="15">
        <v>100</v>
      </c>
      <c r="O255" s="22">
        <v>1</v>
      </c>
      <c r="P255" s="15">
        <v>1</v>
      </c>
      <c r="Q255" s="22">
        <v>50</v>
      </c>
      <c r="R255" s="15">
        <v>50</v>
      </c>
      <c r="S255" s="22"/>
      <c r="T255" s="15"/>
      <c r="U255" s="22">
        <v>6</v>
      </c>
      <c r="V255" s="15">
        <v>6</v>
      </c>
      <c r="W255" s="45"/>
      <c r="X255" s="45"/>
      <c r="Y255" s="45"/>
      <c r="Z255" s="45"/>
      <c r="AA255" s="45"/>
      <c r="AB255" s="45"/>
      <c r="AC255" s="45"/>
      <c r="AD255" s="45"/>
    </row>
    <row r="256" spans="1:22" s="2" customFormat="1" ht="12.75">
      <c r="A256" s="47"/>
      <c r="B256" s="102" t="s">
        <v>98</v>
      </c>
      <c r="C256" s="32">
        <v>1</v>
      </c>
      <c r="D256" s="32">
        <v>1</v>
      </c>
      <c r="E256" s="32"/>
      <c r="F256" s="32"/>
      <c r="G256" s="32">
        <v>3</v>
      </c>
      <c r="H256" s="32">
        <v>3</v>
      </c>
      <c r="I256" s="32"/>
      <c r="J256" s="32"/>
      <c r="K256" s="32">
        <v>1</v>
      </c>
      <c r="L256" s="32">
        <v>1</v>
      </c>
      <c r="M256" s="32"/>
      <c r="N256" s="32"/>
      <c r="O256" s="32">
        <v>1</v>
      </c>
      <c r="P256" s="32">
        <v>1</v>
      </c>
      <c r="Q256" s="32"/>
      <c r="R256" s="32"/>
      <c r="S256" s="32"/>
      <c r="T256" s="32"/>
      <c r="U256" s="32"/>
      <c r="V256" s="32"/>
    </row>
    <row r="257" spans="1:22" s="2" customFormat="1" ht="12.75">
      <c r="A257" s="64" t="s">
        <v>1</v>
      </c>
      <c r="B257" s="112"/>
      <c r="C257" s="28">
        <f aca="true" t="shared" si="38" ref="C257:V257">SUM(C258:C259)</f>
        <v>0</v>
      </c>
      <c r="D257" s="28">
        <f t="shared" si="38"/>
        <v>0</v>
      </c>
      <c r="E257" s="28">
        <f t="shared" si="38"/>
        <v>26</v>
      </c>
      <c r="F257" s="28">
        <f t="shared" si="38"/>
        <v>26</v>
      </c>
      <c r="G257" s="28">
        <f t="shared" si="38"/>
        <v>10</v>
      </c>
      <c r="H257" s="28">
        <f t="shared" si="38"/>
        <v>10</v>
      </c>
      <c r="I257" s="28">
        <f t="shared" si="38"/>
        <v>0</v>
      </c>
      <c r="J257" s="28">
        <f t="shared" si="38"/>
        <v>0</v>
      </c>
      <c r="K257" s="28">
        <f t="shared" si="38"/>
        <v>90</v>
      </c>
      <c r="L257" s="28">
        <f t="shared" si="38"/>
        <v>90</v>
      </c>
      <c r="M257" s="28">
        <f t="shared" si="38"/>
        <v>80</v>
      </c>
      <c r="N257" s="28">
        <f t="shared" si="38"/>
        <v>80</v>
      </c>
      <c r="O257" s="28">
        <f t="shared" si="38"/>
        <v>0</v>
      </c>
      <c r="P257" s="28">
        <f t="shared" si="38"/>
        <v>0</v>
      </c>
      <c r="Q257" s="28">
        <f t="shared" si="38"/>
        <v>0</v>
      </c>
      <c r="R257" s="28">
        <f t="shared" si="38"/>
        <v>0</v>
      </c>
      <c r="S257" s="28">
        <f t="shared" si="38"/>
        <v>0</v>
      </c>
      <c r="T257" s="28">
        <f t="shared" si="38"/>
        <v>0</v>
      </c>
      <c r="U257" s="28">
        <f t="shared" si="38"/>
        <v>1</v>
      </c>
      <c r="V257" s="28">
        <f t="shared" si="38"/>
        <v>1</v>
      </c>
    </row>
    <row r="258" spans="1:30" s="16" customFormat="1" ht="12.75">
      <c r="A258" s="76"/>
      <c r="B258" s="17" t="s">
        <v>60</v>
      </c>
      <c r="C258" s="77"/>
      <c r="D258" s="77"/>
      <c r="E258" s="21">
        <v>26</v>
      </c>
      <c r="F258" s="21">
        <v>26</v>
      </c>
      <c r="G258" s="21">
        <v>10</v>
      </c>
      <c r="H258" s="21">
        <v>10</v>
      </c>
      <c r="I258" s="21"/>
      <c r="J258" s="21"/>
      <c r="K258" s="21">
        <v>90</v>
      </c>
      <c r="L258" s="21">
        <v>90</v>
      </c>
      <c r="M258" s="21">
        <v>80</v>
      </c>
      <c r="N258" s="21">
        <v>80</v>
      </c>
      <c r="O258" s="21"/>
      <c r="P258" s="21"/>
      <c r="Q258" s="21"/>
      <c r="R258" s="21"/>
      <c r="S258" s="21"/>
      <c r="T258" s="21"/>
      <c r="U258" s="21"/>
      <c r="V258" s="21"/>
      <c r="W258" s="45"/>
      <c r="X258" s="45"/>
      <c r="Y258" s="45"/>
      <c r="Z258" s="45"/>
      <c r="AA258" s="45"/>
      <c r="AB258" s="45"/>
      <c r="AC258" s="45"/>
      <c r="AD258" s="45"/>
    </row>
    <row r="259" spans="1:22" s="2" customFormat="1" ht="12.75">
      <c r="A259" s="47"/>
      <c r="B259" s="102" t="s">
        <v>59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>
        <v>1</v>
      </c>
      <c r="V259" s="32">
        <v>1</v>
      </c>
    </row>
    <row r="260" spans="1:22" ht="12.75">
      <c r="A260" s="64" t="s">
        <v>2</v>
      </c>
      <c r="B260" s="112"/>
      <c r="C260" s="28">
        <f aca="true" t="shared" si="39" ref="C260:V260">SUM(C261:C262)</f>
        <v>0</v>
      </c>
      <c r="D260" s="28">
        <f t="shared" si="39"/>
        <v>0</v>
      </c>
      <c r="E260" s="28">
        <f t="shared" si="39"/>
        <v>0</v>
      </c>
      <c r="F260" s="28">
        <f t="shared" si="39"/>
        <v>0</v>
      </c>
      <c r="G260" s="28">
        <f t="shared" si="39"/>
        <v>3</v>
      </c>
      <c r="H260" s="28">
        <f t="shared" si="39"/>
        <v>3</v>
      </c>
      <c r="I260" s="28">
        <f t="shared" si="39"/>
        <v>5</v>
      </c>
      <c r="J260" s="28">
        <f t="shared" si="39"/>
        <v>5</v>
      </c>
      <c r="K260" s="28">
        <f t="shared" si="39"/>
        <v>2</v>
      </c>
      <c r="L260" s="28">
        <f t="shared" si="39"/>
        <v>2</v>
      </c>
      <c r="M260" s="28">
        <f t="shared" si="39"/>
        <v>4</v>
      </c>
      <c r="N260" s="28">
        <f t="shared" si="39"/>
        <v>4</v>
      </c>
      <c r="O260" s="28">
        <f t="shared" si="39"/>
        <v>10</v>
      </c>
      <c r="P260" s="28">
        <f t="shared" si="39"/>
        <v>0</v>
      </c>
      <c r="Q260" s="28">
        <f t="shared" si="39"/>
        <v>20</v>
      </c>
      <c r="R260" s="28">
        <f t="shared" si="39"/>
        <v>10</v>
      </c>
      <c r="S260" s="28">
        <f t="shared" si="39"/>
        <v>6</v>
      </c>
      <c r="T260" s="28">
        <f t="shared" si="39"/>
        <v>6</v>
      </c>
      <c r="U260" s="28">
        <f t="shared" si="39"/>
        <v>0</v>
      </c>
      <c r="V260" s="28">
        <f t="shared" si="39"/>
        <v>0</v>
      </c>
    </row>
    <row r="261" spans="1:22" s="2" customFormat="1" ht="11.25" customHeight="1">
      <c r="A261" s="76"/>
      <c r="B261" s="42" t="s">
        <v>60</v>
      </c>
      <c r="C261" s="77"/>
      <c r="D261" s="77"/>
      <c r="E261" s="77"/>
      <c r="F261" s="77"/>
      <c r="G261" s="21"/>
      <c r="H261" s="21"/>
      <c r="I261" s="21"/>
      <c r="J261" s="21"/>
      <c r="K261" s="21"/>
      <c r="L261" s="21"/>
      <c r="M261" s="21">
        <v>2</v>
      </c>
      <c r="N261" s="21">
        <v>2</v>
      </c>
      <c r="O261" s="21">
        <v>10</v>
      </c>
      <c r="P261" s="21"/>
      <c r="Q261" s="21">
        <f>10+5</f>
        <v>15</v>
      </c>
      <c r="R261" s="21">
        <v>5</v>
      </c>
      <c r="S261" s="21">
        <v>6</v>
      </c>
      <c r="T261" s="21">
        <v>6</v>
      </c>
      <c r="U261" s="21"/>
      <c r="V261" s="21"/>
    </row>
    <row r="262" spans="1:24" ht="12.75">
      <c r="A262" s="47"/>
      <c r="B262" s="102" t="s">
        <v>98</v>
      </c>
      <c r="C262" s="32"/>
      <c r="D262" s="32"/>
      <c r="E262" s="32"/>
      <c r="F262" s="32"/>
      <c r="G262" s="32">
        <v>3</v>
      </c>
      <c r="H262" s="32">
        <v>3</v>
      </c>
      <c r="I262" s="32">
        <v>5</v>
      </c>
      <c r="J262" s="32">
        <v>5</v>
      </c>
      <c r="K262" s="32">
        <v>2</v>
      </c>
      <c r="L262" s="32">
        <v>2</v>
      </c>
      <c r="M262" s="32">
        <v>2</v>
      </c>
      <c r="N262" s="32">
        <v>2</v>
      </c>
      <c r="O262" s="32"/>
      <c r="P262" s="32"/>
      <c r="Q262" s="32">
        <v>5</v>
      </c>
      <c r="R262" s="32">
        <v>5</v>
      </c>
      <c r="S262" s="32"/>
      <c r="T262" s="32"/>
      <c r="U262" s="32"/>
      <c r="V262" s="32"/>
      <c r="X262" s="118"/>
    </row>
    <row r="263" spans="1:22" ht="12.75">
      <c r="A263" s="64" t="s">
        <v>101</v>
      </c>
      <c r="B263" s="112"/>
      <c r="C263" s="28">
        <f aca="true" t="shared" si="40" ref="C263:L263">+C264</f>
        <v>0</v>
      </c>
      <c r="D263" s="28">
        <f t="shared" si="40"/>
        <v>0</v>
      </c>
      <c r="E263" s="28">
        <f t="shared" si="40"/>
        <v>0</v>
      </c>
      <c r="F263" s="28">
        <f t="shared" si="40"/>
        <v>0</v>
      </c>
      <c r="G263" s="28">
        <f t="shared" si="40"/>
        <v>0</v>
      </c>
      <c r="H263" s="28">
        <f t="shared" si="40"/>
        <v>0</v>
      </c>
      <c r="I263" s="28">
        <f t="shared" si="40"/>
        <v>0</v>
      </c>
      <c r="J263" s="28">
        <f t="shared" si="40"/>
        <v>0</v>
      </c>
      <c r="K263" s="28">
        <f t="shared" si="40"/>
        <v>0</v>
      </c>
      <c r="L263" s="28">
        <f t="shared" si="40"/>
        <v>0</v>
      </c>
      <c r="M263" s="28">
        <f aca="true" t="shared" si="41" ref="M263:V263">+M264</f>
        <v>12</v>
      </c>
      <c r="N263" s="28">
        <f t="shared" si="41"/>
        <v>12</v>
      </c>
      <c r="O263" s="28">
        <f t="shared" si="41"/>
        <v>0</v>
      </c>
      <c r="P263" s="28">
        <f t="shared" si="41"/>
        <v>0</v>
      </c>
      <c r="Q263" s="28">
        <f t="shared" si="41"/>
        <v>0</v>
      </c>
      <c r="R263" s="28">
        <f t="shared" si="41"/>
        <v>0</v>
      </c>
      <c r="S263" s="28">
        <f t="shared" si="41"/>
        <v>0</v>
      </c>
      <c r="T263" s="28">
        <f t="shared" si="41"/>
        <v>0</v>
      </c>
      <c r="U263" s="28">
        <f t="shared" si="41"/>
        <v>0</v>
      </c>
      <c r="V263" s="28">
        <f t="shared" si="41"/>
        <v>0</v>
      </c>
    </row>
    <row r="264" spans="1:24" ht="12.75">
      <c r="A264" s="47"/>
      <c r="B264" s="102" t="s">
        <v>60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>
        <v>12</v>
      </c>
      <c r="N264" s="32">
        <v>12</v>
      </c>
      <c r="O264" s="32"/>
      <c r="P264" s="32"/>
      <c r="Q264" s="32"/>
      <c r="R264" s="32"/>
      <c r="S264" s="32"/>
      <c r="T264" s="32"/>
      <c r="U264" s="32"/>
      <c r="V264" s="32"/>
      <c r="X264" s="118"/>
    </row>
    <row r="265" spans="1:22" ht="12.75">
      <c r="A265" s="64" t="s">
        <v>94</v>
      </c>
      <c r="B265" s="112"/>
      <c r="C265" s="28">
        <f>+C268</f>
        <v>0</v>
      </c>
      <c r="D265" s="28">
        <f>+D268</f>
        <v>0</v>
      </c>
      <c r="E265" s="28">
        <f>SUM(E266:E268)</f>
        <v>0</v>
      </c>
      <c r="F265" s="28">
        <f aca="true" t="shared" si="42" ref="F265:T265">SUM(F266:F268)</f>
        <v>0</v>
      </c>
      <c r="G265" s="28">
        <f t="shared" si="42"/>
        <v>0</v>
      </c>
      <c r="H265" s="28">
        <f t="shared" si="42"/>
        <v>0</v>
      </c>
      <c r="I265" s="28">
        <f t="shared" si="42"/>
        <v>0</v>
      </c>
      <c r="J265" s="28">
        <f t="shared" si="42"/>
        <v>0</v>
      </c>
      <c r="K265" s="28">
        <f t="shared" si="42"/>
        <v>2</v>
      </c>
      <c r="L265" s="28">
        <f t="shared" si="42"/>
        <v>2</v>
      </c>
      <c r="M265" s="28">
        <f t="shared" si="42"/>
        <v>45</v>
      </c>
      <c r="N265" s="28">
        <f t="shared" si="42"/>
        <v>45</v>
      </c>
      <c r="O265" s="28">
        <f t="shared" si="42"/>
        <v>0</v>
      </c>
      <c r="P265" s="28">
        <f t="shared" si="42"/>
        <v>0</v>
      </c>
      <c r="Q265" s="28">
        <f t="shared" si="42"/>
        <v>6</v>
      </c>
      <c r="R265" s="28">
        <f t="shared" si="42"/>
        <v>6</v>
      </c>
      <c r="S265" s="28">
        <f t="shared" si="42"/>
        <v>21</v>
      </c>
      <c r="T265" s="28">
        <f t="shared" si="42"/>
        <v>21</v>
      </c>
      <c r="U265" s="28">
        <f>SUM(U266:U268)</f>
        <v>0</v>
      </c>
      <c r="V265" s="28">
        <f>SUM(V266:V268)</f>
        <v>0</v>
      </c>
    </row>
    <row r="266" spans="1:22" ht="12.75">
      <c r="A266" s="76"/>
      <c r="B266" s="42" t="s">
        <v>98</v>
      </c>
      <c r="C266" s="77"/>
      <c r="D266" s="77"/>
      <c r="E266" s="77"/>
      <c r="F266" s="77"/>
      <c r="G266" s="21"/>
      <c r="H266" s="21"/>
      <c r="I266" s="21"/>
      <c r="J266" s="21"/>
      <c r="K266" s="21">
        <v>2</v>
      </c>
      <c r="L266" s="21">
        <v>2</v>
      </c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12.75">
      <c r="A267" s="76"/>
      <c r="B267" s="101" t="s">
        <v>95</v>
      </c>
      <c r="C267" s="77"/>
      <c r="D267" s="77"/>
      <c r="E267" s="77"/>
      <c r="F267" s="77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>
        <v>6</v>
      </c>
      <c r="R267" s="21">
        <v>6</v>
      </c>
      <c r="S267" s="21">
        <v>21</v>
      </c>
      <c r="T267" s="21">
        <v>21</v>
      </c>
      <c r="U267" s="21"/>
      <c r="V267" s="21"/>
    </row>
    <row r="268" spans="1:22" ht="12.75">
      <c r="A268" s="47"/>
      <c r="B268" s="102" t="s">
        <v>60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>
        <v>45</v>
      </c>
      <c r="N268" s="32">
        <v>45</v>
      </c>
      <c r="O268" s="32"/>
      <c r="P268" s="32"/>
      <c r="Q268" s="32"/>
      <c r="R268" s="32"/>
      <c r="S268" s="32"/>
      <c r="T268" s="32"/>
      <c r="U268" s="32"/>
      <c r="V268" s="32"/>
    </row>
    <row r="269" spans="1:22" ht="12.75">
      <c r="A269" s="64" t="s">
        <v>102</v>
      </c>
      <c r="B269" s="112"/>
      <c r="C269" s="28">
        <f aca="true" t="shared" si="43" ref="C269:P269">SUM(C270:C271)</f>
        <v>0</v>
      </c>
      <c r="D269" s="28">
        <f t="shared" si="43"/>
        <v>0</v>
      </c>
      <c r="E269" s="28">
        <f t="shared" si="43"/>
        <v>0</v>
      </c>
      <c r="F269" s="28">
        <f t="shared" si="43"/>
        <v>0</v>
      </c>
      <c r="G269" s="28">
        <f t="shared" si="43"/>
        <v>0</v>
      </c>
      <c r="H269" s="28">
        <f t="shared" si="43"/>
        <v>0</v>
      </c>
      <c r="I269" s="28">
        <f t="shared" si="43"/>
        <v>0</v>
      </c>
      <c r="J269" s="28">
        <f t="shared" si="43"/>
        <v>0</v>
      </c>
      <c r="K269" s="28">
        <f t="shared" si="43"/>
        <v>0</v>
      </c>
      <c r="L269" s="28">
        <f t="shared" si="43"/>
        <v>0</v>
      </c>
      <c r="M269" s="28">
        <f t="shared" si="43"/>
        <v>18</v>
      </c>
      <c r="N269" s="28">
        <f t="shared" si="43"/>
        <v>18</v>
      </c>
      <c r="O269" s="28">
        <f t="shared" si="43"/>
        <v>1</v>
      </c>
      <c r="P269" s="28">
        <f t="shared" si="43"/>
        <v>1</v>
      </c>
      <c r="Q269" s="28">
        <f aca="true" t="shared" si="44" ref="Q269:V269">SUM(Q270:Q271)</f>
        <v>0</v>
      </c>
      <c r="R269" s="28">
        <f t="shared" si="44"/>
        <v>0</v>
      </c>
      <c r="S269" s="28">
        <f t="shared" si="44"/>
        <v>0</v>
      </c>
      <c r="T269" s="28">
        <f t="shared" si="44"/>
        <v>0</v>
      </c>
      <c r="U269" s="28">
        <f t="shared" si="44"/>
        <v>0</v>
      </c>
      <c r="V269" s="28">
        <f t="shared" si="44"/>
        <v>0</v>
      </c>
    </row>
    <row r="270" spans="1:22" ht="12.75">
      <c r="A270" s="76"/>
      <c r="B270" s="42" t="s">
        <v>98</v>
      </c>
      <c r="C270" s="77"/>
      <c r="D270" s="77"/>
      <c r="E270" s="77"/>
      <c r="F270" s="77"/>
      <c r="G270" s="21"/>
      <c r="H270" s="21"/>
      <c r="I270" s="21"/>
      <c r="J270" s="21"/>
      <c r="K270" s="21"/>
      <c r="L270" s="21"/>
      <c r="M270" s="21"/>
      <c r="N270" s="21"/>
      <c r="O270" s="21">
        <v>1</v>
      </c>
      <c r="P270" s="21">
        <v>1</v>
      </c>
      <c r="Q270" s="21"/>
      <c r="R270" s="21"/>
      <c r="S270" s="21"/>
      <c r="T270" s="21"/>
      <c r="U270" s="21"/>
      <c r="V270" s="21"/>
    </row>
    <row r="271" spans="1:22" ht="12.75">
      <c r="A271" s="47"/>
      <c r="B271" s="102" t="s">
        <v>60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>
        <v>18</v>
      </c>
      <c r="N271" s="32">
        <v>18</v>
      </c>
      <c r="O271" s="32"/>
      <c r="P271" s="32"/>
      <c r="Q271" s="32"/>
      <c r="R271" s="32"/>
      <c r="S271" s="32"/>
      <c r="T271" s="32"/>
      <c r="U271" s="32"/>
      <c r="V271" s="32"/>
    </row>
    <row r="272" spans="1:22" ht="12.75">
      <c r="A272" s="64" t="s">
        <v>3</v>
      </c>
      <c r="B272" s="112"/>
      <c r="C272" s="28">
        <f aca="true" t="shared" si="45" ref="C272:R272">SUM(C273:C274)</f>
        <v>0</v>
      </c>
      <c r="D272" s="28">
        <f t="shared" si="45"/>
        <v>0</v>
      </c>
      <c r="E272" s="28">
        <f t="shared" si="45"/>
        <v>5</v>
      </c>
      <c r="F272" s="28">
        <f t="shared" si="45"/>
        <v>5</v>
      </c>
      <c r="G272" s="28">
        <f t="shared" si="45"/>
        <v>1</v>
      </c>
      <c r="H272" s="28">
        <f t="shared" si="45"/>
        <v>0</v>
      </c>
      <c r="I272" s="28">
        <f t="shared" si="45"/>
        <v>15</v>
      </c>
      <c r="J272" s="28">
        <f t="shared" si="45"/>
        <v>15</v>
      </c>
      <c r="K272" s="28">
        <f t="shared" si="45"/>
        <v>0</v>
      </c>
      <c r="L272" s="28">
        <f t="shared" si="45"/>
        <v>0</v>
      </c>
      <c r="M272" s="28">
        <f t="shared" si="45"/>
        <v>6</v>
      </c>
      <c r="N272" s="28">
        <f t="shared" si="45"/>
        <v>6</v>
      </c>
      <c r="O272" s="28">
        <f t="shared" si="45"/>
        <v>0</v>
      </c>
      <c r="P272" s="28">
        <f t="shared" si="45"/>
        <v>0</v>
      </c>
      <c r="Q272" s="28">
        <f t="shared" si="45"/>
        <v>0</v>
      </c>
      <c r="R272" s="28">
        <f t="shared" si="45"/>
        <v>0</v>
      </c>
      <c r="S272" s="28">
        <f>SUM(S273:S274)</f>
        <v>0</v>
      </c>
      <c r="T272" s="28">
        <f>SUM(T273:T274)</f>
        <v>0</v>
      </c>
      <c r="U272" s="28">
        <f>SUM(U273:U274)</f>
        <v>0</v>
      </c>
      <c r="V272" s="28">
        <f>SUM(V273:V274)</f>
        <v>0</v>
      </c>
    </row>
    <row r="273" spans="1:22" ht="12.75">
      <c r="A273" s="76"/>
      <c r="B273" s="42" t="s">
        <v>34</v>
      </c>
      <c r="C273" s="77"/>
      <c r="D273" s="77"/>
      <c r="E273" s="77"/>
      <c r="F273" s="77"/>
      <c r="G273" s="21">
        <v>1</v>
      </c>
      <c r="H273" s="21"/>
      <c r="I273" s="21">
        <v>15</v>
      </c>
      <c r="J273" s="21">
        <v>15</v>
      </c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12.75">
      <c r="A274" s="13"/>
      <c r="B274" s="17" t="s">
        <v>60</v>
      </c>
      <c r="C274" s="22"/>
      <c r="D274" s="22"/>
      <c r="E274" s="22">
        <v>5</v>
      </c>
      <c r="F274" s="22">
        <v>5</v>
      </c>
      <c r="G274" s="22"/>
      <c r="H274" s="22"/>
      <c r="I274" s="22"/>
      <c r="J274" s="22"/>
      <c r="K274" s="22"/>
      <c r="L274" s="22"/>
      <c r="M274" s="22">
        <v>6</v>
      </c>
      <c r="N274" s="22">
        <v>6</v>
      </c>
      <c r="O274" s="22"/>
      <c r="P274" s="22"/>
      <c r="Q274" s="22"/>
      <c r="R274" s="22"/>
      <c r="S274" s="22"/>
      <c r="T274" s="22"/>
      <c r="U274" s="22"/>
      <c r="V274" s="22"/>
    </row>
    <row r="275" spans="1:22" ht="18.75" customHeight="1">
      <c r="A275" s="90" t="s">
        <v>5</v>
      </c>
      <c r="B275" s="113"/>
      <c r="C275" s="67">
        <f aca="true" t="shared" si="46" ref="C275:V275">+C232+C229+C204+C200+C148+C137+C125+C94+C39+C8</f>
        <v>451880</v>
      </c>
      <c r="D275" s="67">
        <f t="shared" si="46"/>
        <v>15717</v>
      </c>
      <c r="E275" s="67">
        <f t="shared" si="46"/>
        <v>477313</v>
      </c>
      <c r="F275" s="67">
        <f t="shared" si="46"/>
        <v>27035</v>
      </c>
      <c r="G275" s="67">
        <f t="shared" si="46"/>
        <v>500424</v>
      </c>
      <c r="H275" s="67">
        <f t="shared" si="46"/>
        <v>28294</v>
      </c>
      <c r="I275" s="67">
        <f t="shared" si="46"/>
        <v>506836</v>
      </c>
      <c r="J275" s="67">
        <f t="shared" si="46"/>
        <v>31317</v>
      </c>
      <c r="K275" s="67">
        <f t="shared" si="46"/>
        <v>524452</v>
      </c>
      <c r="L275" s="67">
        <f t="shared" si="46"/>
        <v>37572</v>
      </c>
      <c r="M275" s="67">
        <f t="shared" si="46"/>
        <v>495987</v>
      </c>
      <c r="N275" s="67">
        <f t="shared" si="46"/>
        <v>19769</v>
      </c>
      <c r="O275" s="67">
        <f t="shared" si="46"/>
        <v>531533</v>
      </c>
      <c r="P275" s="67">
        <f t="shared" si="46"/>
        <v>28069</v>
      </c>
      <c r="Q275" s="67">
        <f t="shared" si="46"/>
        <v>536984</v>
      </c>
      <c r="R275" s="67">
        <f t="shared" si="46"/>
        <v>34473</v>
      </c>
      <c r="S275" s="67">
        <f t="shared" si="46"/>
        <v>534926</v>
      </c>
      <c r="T275" s="67">
        <f t="shared" si="46"/>
        <v>32835</v>
      </c>
      <c r="U275" s="67">
        <f t="shared" si="46"/>
        <v>541349</v>
      </c>
      <c r="V275" s="67">
        <f t="shared" si="46"/>
        <v>37374</v>
      </c>
    </row>
    <row r="276" spans="1:22" ht="24.75" customHeight="1">
      <c r="A276" s="74" t="s">
        <v>109</v>
      </c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</row>
    <row r="277" spans="1:30" s="119" customFormat="1" ht="12.75">
      <c r="A277" s="96"/>
      <c r="B277" s="96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33"/>
      <c r="X277" s="33"/>
      <c r="Y277" s="33"/>
      <c r="Z277" s="33"/>
      <c r="AA277" s="33"/>
      <c r="AB277" s="33"/>
      <c r="AC277" s="33"/>
      <c r="AD277" s="33"/>
    </row>
    <row r="278" spans="1:30" s="119" customFormat="1" ht="12.75">
      <c r="A278" s="96"/>
      <c r="B278" s="96"/>
      <c r="C278" s="97"/>
      <c r="D278" s="97"/>
      <c r="E278" s="97"/>
      <c r="F278" s="97"/>
      <c r="G278" s="97"/>
      <c r="H278" s="97"/>
      <c r="I278" s="97"/>
      <c r="J278" s="97"/>
      <c r="K278" s="6"/>
      <c r="L278" s="120"/>
      <c r="M278" s="97"/>
      <c r="N278" s="120"/>
      <c r="O278" s="97"/>
      <c r="P278" s="120"/>
      <c r="Q278" s="97"/>
      <c r="R278" s="120"/>
      <c r="S278" s="97"/>
      <c r="T278" s="120"/>
      <c r="U278" s="97"/>
      <c r="V278" s="120"/>
      <c r="W278" s="33"/>
      <c r="X278" s="33"/>
      <c r="Y278" s="33"/>
      <c r="Z278" s="33"/>
      <c r="AA278" s="33"/>
      <c r="AB278" s="33"/>
      <c r="AC278" s="33"/>
      <c r="AD278" s="33"/>
    </row>
    <row r="279" spans="1:30" s="119" customFormat="1" ht="12.75">
      <c r="A279" s="96"/>
      <c r="B279" s="96"/>
      <c r="C279" s="97"/>
      <c r="D279" s="97"/>
      <c r="E279" s="97"/>
      <c r="F279" s="97"/>
      <c r="G279" s="97"/>
      <c r="H279" s="97"/>
      <c r="I279" s="97"/>
      <c r="J279" s="97"/>
      <c r="K279" s="6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6"/>
      <c r="W279" s="33"/>
      <c r="X279" s="33"/>
      <c r="Y279" s="33"/>
      <c r="Z279" s="33"/>
      <c r="AA279" s="33"/>
      <c r="AB279" s="33"/>
      <c r="AC279" s="33"/>
      <c r="AD279" s="33"/>
    </row>
    <row r="280" spans="1:30" s="119" customFormat="1" ht="12.75">
      <c r="A280" s="96"/>
      <c r="B280" s="96"/>
      <c r="C280" s="97"/>
      <c r="D280" s="97"/>
      <c r="E280" s="97"/>
      <c r="F280" s="97"/>
      <c r="G280" s="97"/>
      <c r="H280" s="97"/>
      <c r="I280" s="97"/>
      <c r="J280" s="97"/>
      <c r="K280" s="6"/>
      <c r="M280" s="97"/>
      <c r="N280" s="6"/>
      <c r="O280" s="97"/>
      <c r="P280" s="6"/>
      <c r="Q280" s="97"/>
      <c r="R280" s="6"/>
      <c r="S280" s="97"/>
      <c r="T280" s="6"/>
      <c r="U280" s="97"/>
      <c r="V280" s="6"/>
      <c r="W280" s="33"/>
      <c r="X280" s="33"/>
      <c r="Y280" s="33"/>
      <c r="Z280" s="33"/>
      <c r="AA280" s="33"/>
      <c r="AB280" s="33"/>
      <c r="AC280" s="33"/>
      <c r="AD280" s="33"/>
    </row>
    <row r="281" spans="1:30" s="119" customFormat="1" ht="12.75">
      <c r="A281" s="96"/>
      <c r="B281" s="96"/>
      <c r="C281" s="97"/>
      <c r="D281" s="97"/>
      <c r="E281" s="97"/>
      <c r="F281" s="97"/>
      <c r="G281" s="97"/>
      <c r="H281" s="97"/>
      <c r="I281" s="97"/>
      <c r="J281" s="97"/>
      <c r="K281" s="6"/>
      <c r="M281" s="97"/>
      <c r="N281" s="6"/>
      <c r="O281" s="97"/>
      <c r="P281" s="6"/>
      <c r="Q281" s="97"/>
      <c r="R281" s="6"/>
      <c r="S281" s="97"/>
      <c r="T281" s="6"/>
      <c r="U281" s="97"/>
      <c r="V281" s="6"/>
      <c r="W281" s="33"/>
      <c r="X281" s="33"/>
      <c r="Y281" s="33"/>
      <c r="Z281" s="33"/>
      <c r="AA281" s="33"/>
      <c r="AB281" s="33"/>
      <c r="AC281" s="33"/>
      <c r="AD281" s="33"/>
    </row>
    <row r="282" spans="1:30" s="119" customFormat="1" ht="12.75">
      <c r="A282" s="96"/>
      <c r="B282" s="96"/>
      <c r="C282" s="97"/>
      <c r="D282" s="97"/>
      <c r="E282" s="97"/>
      <c r="F282" s="97"/>
      <c r="G282" s="97"/>
      <c r="H282" s="97"/>
      <c r="I282" s="97"/>
      <c r="J282" s="97"/>
      <c r="K282" s="6"/>
      <c r="M282" s="97"/>
      <c r="N282" s="6"/>
      <c r="O282" s="97"/>
      <c r="P282" s="6"/>
      <c r="Q282" s="97"/>
      <c r="R282" s="6"/>
      <c r="S282" s="97"/>
      <c r="T282" s="6"/>
      <c r="U282" s="97"/>
      <c r="V282" s="6"/>
      <c r="W282" s="33"/>
      <c r="X282" s="33"/>
      <c r="Y282" s="33"/>
      <c r="Z282" s="33"/>
      <c r="AA282" s="33"/>
      <c r="AB282" s="33"/>
      <c r="AC282" s="33"/>
      <c r="AD282" s="33"/>
    </row>
    <row r="283" spans="1:30" s="119" customFormat="1" ht="12.75">
      <c r="A283" s="96"/>
      <c r="B283" s="96"/>
      <c r="C283" s="97"/>
      <c r="D283" s="97"/>
      <c r="E283" s="97"/>
      <c r="F283" s="97"/>
      <c r="G283" s="97"/>
      <c r="H283" s="97"/>
      <c r="I283" s="97"/>
      <c r="J283" s="97"/>
      <c r="K283" s="6"/>
      <c r="M283" s="97"/>
      <c r="N283" s="6"/>
      <c r="O283" s="97"/>
      <c r="P283" s="6"/>
      <c r="Q283" s="97"/>
      <c r="R283" s="6"/>
      <c r="S283" s="97"/>
      <c r="T283" s="6"/>
      <c r="U283" s="97"/>
      <c r="V283" s="6"/>
      <c r="W283" s="33"/>
      <c r="X283" s="33"/>
      <c r="Y283" s="33"/>
      <c r="Z283" s="33"/>
      <c r="AA283" s="33"/>
      <c r="AB283" s="33"/>
      <c r="AC283" s="33"/>
      <c r="AD283" s="33"/>
    </row>
    <row r="284" spans="1:30" s="119" customFormat="1" ht="12.75">
      <c r="A284" s="96"/>
      <c r="B284" s="96"/>
      <c r="C284" s="97"/>
      <c r="D284" s="97"/>
      <c r="E284" s="97"/>
      <c r="F284" s="97"/>
      <c r="G284" s="97"/>
      <c r="H284" s="97"/>
      <c r="I284" s="97"/>
      <c r="J284" s="97"/>
      <c r="K284" s="6"/>
      <c r="M284" s="97"/>
      <c r="N284" s="6"/>
      <c r="O284" s="97"/>
      <c r="P284" s="6"/>
      <c r="Q284" s="97"/>
      <c r="R284" s="6"/>
      <c r="S284" s="97"/>
      <c r="T284" s="6"/>
      <c r="U284" s="97"/>
      <c r="V284" s="6"/>
      <c r="W284" s="33"/>
      <c r="X284" s="33"/>
      <c r="Y284" s="33"/>
      <c r="Z284" s="33"/>
      <c r="AA284" s="33"/>
      <c r="AB284" s="33"/>
      <c r="AC284" s="33"/>
      <c r="AD284" s="33"/>
    </row>
    <row r="285" spans="1:30" s="119" customFormat="1" ht="12.75">
      <c r="A285" s="96"/>
      <c r="B285" s="96"/>
      <c r="C285" s="97"/>
      <c r="D285" s="97"/>
      <c r="E285" s="97"/>
      <c r="F285" s="97"/>
      <c r="G285" s="97"/>
      <c r="H285" s="97"/>
      <c r="I285" s="97"/>
      <c r="J285" s="97"/>
      <c r="K285" s="6"/>
      <c r="M285" s="97"/>
      <c r="N285" s="6"/>
      <c r="O285" s="97"/>
      <c r="P285" s="6"/>
      <c r="Q285" s="97"/>
      <c r="R285" s="6"/>
      <c r="S285" s="97"/>
      <c r="T285" s="6"/>
      <c r="U285" s="97"/>
      <c r="V285" s="6"/>
      <c r="W285" s="33"/>
      <c r="X285" s="33"/>
      <c r="Y285" s="33"/>
      <c r="Z285" s="33"/>
      <c r="AA285" s="33"/>
      <c r="AB285" s="33"/>
      <c r="AC285" s="33"/>
      <c r="AD285" s="33"/>
    </row>
    <row r="286" spans="1:30" s="119" customFormat="1" ht="12.75">
      <c r="A286" s="96"/>
      <c r="B286" s="96"/>
      <c r="C286" s="97"/>
      <c r="D286" s="97"/>
      <c r="E286" s="97"/>
      <c r="F286" s="97"/>
      <c r="G286" s="97"/>
      <c r="H286" s="97"/>
      <c r="I286" s="97"/>
      <c r="J286" s="97"/>
      <c r="K286" s="6"/>
      <c r="M286" s="97"/>
      <c r="N286" s="6"/>
      <c r="O286" s="97"/>
      <c r="P286" s="6"/>
      <c r="Q286" s="97"/>
      <c r="R286" s="6"/>
      <c r="S286" s="97"/>
      <c r="T286" s="6"/>
      <c r="U286" s="97"/>
      <c r="V286" s="6"/>
      <c r="W286" s="33"/>
      <c r="X286" s="33"/>
      <c r="Y286" s="33"/>
      <c r="Z286" s="33"/>
      <c r="AA286" s="33"/>
      <c r="AB286" s="33"/>
      <c r="AC286" s="33"/>
      <c r="AD286" s="33"/>
    </row>
    <row r="287" spans="1:30" s="119" customFormat="1" ht="12.75">
      <c r="A287" s="96"/>
      <c r="B287" s="96"/>
      <c r="C287" s="97"/>
      <c r="D287" s="97"/>
      <c r="E287" s="97"/>
      <c r="F287" s="97"/>
      <c r="G287" s="97"/>
      <c r="H287" s="97"/>
      <c r="I287" s="97"/>
      <c r="J287" s="97"/>
      <c r="K287" s="6"/>
      <c r="M287" s="97"/>
      <c r="N287" s="6"/>
      <c r="O287" s="97"/>
      <c r="P287" s="6"/>
      <c r="Q287" s="97"/>
      <c r="R287" s="6"/>
      <c r="S287" s="97"/>
      <c r="T287" s="6"/>
      <c r="U287" s="97"/>
      <c r="V287" s="6"/>
      <c r="W287" s="33"/>
      <c r="X287" s="33"/>
      <c r="Y287" s="33"/>
      <c r="Z287" s="33"/>
      <c r="AA287" s="33"/>
      <c r="AB287" s="33"/>
      <c r="AC287" s="33"/>
      <c r="AD287" s="33"/>
    </row>
    <row r="288" spans="1:30" s="119" customFormat="1" ht="12.75">
      <c r="A288" s="96"/>
      <c r="B288" s="96"/>
      <c r="C288" s="97"/>
      <c r="D288" s="97"/>
      <c r="E288" s="97"/>
      <c r="F288" s="97"/>
      <c r="G288" s="97"/>
      <c r="H288" s="97"/>
      <c r="I288" s="97"/>
      <c r="J288" s="97"/>
      <c r="K288" s="6"/>
      <c r="M288" s="97"/>
      <c r="N288" s="6"/>
      <c r="O288" s="97"/>
      <c r="P288" s="6"/>
      <c r="Q288" s="97"/>
      <c r="R288" s="6"/>
      <c r="S288" s="97"/>
      <c r="T288" s="6"/>
      <c r="U288" s="97"/>
      <c r="V288" s="6"/>
      <c r="W288" s="33"/>
      <c r="X288" s="33"/>
      <c r="Y288" s="33"/>
      <c r="Z288" s="33"/>
      <c r="AA288" s="33"/>
      <c r="AB288" s="33"/>
      <c r="AC288" s="33"/>
      <c r="AD288" s="33"/>
    </row>
    <row r="289" spans="1:30" s="119" customFormat="1" ht="12.75">
      <c r="A289" s="96"/>
      <c r="B289" s="96"/>
      <c r="C289" s="97"/>
      <c r="D289" s="97"/>
      <c r="E289" s="97"/>
      <c r="F289" s="97"/>
      <c r="G289" s="97"/>
      <c r="H289" s="97"/>
      <c r="I289" s="97"/>
      <c r="J289" s="97"/>
      <c r="K289" s="6"/>
      <c r="M289" s="97"/>
      <c r="N289" s="6"/>
      <c r="O289" s="97"/>
      <c r="P289" s="6"/>
      <c r="Q289" s="97"/>
      <c r="R289" s="6"/>
      <c r="S289" s="97"/>
      <c r="T289" s="6"/>
      <c r="U289" s="97"/>
      <c r="V289" s="6"/>
      <c r="W289" s="33"/>
      <c r="X289" s="33"/>
      <c r="Y289" s="33"/>
      <c r="Z289" s="33"/>
      <c r="AA289" s="33"/>
      <c r="AB289" s="33"/>
      <c r="AC289" s="33"/>
      <c r="AD289" s="33"/>
    </row>
    <row r="290" spans="1:30" s="119" customFormat="1" ht="12.75">
      <c r="A290" s="96"/>
      <c r="B290" s="96"/>
      <c r="C290" s="97"/>
      <c r="D290" s="97"/>
      <c r="E290" s="97"/>
      <c r="F290" s="97"/>
      <c r="G290" s="97"/>
      <c r="H290" s="97"/>
      <c r="I290" s="97"/>
      <c r="J290" s="97"/>
      <c r="K290" s="6"/>
      <c r="M290" s="97"/>
      <c r="N290" s="6"/>
      <c r="O290" s="97"/>
      <c r="P290" s="6"/>
      <c r="Q290" s="97"/>
      <c r="R290" s="6"/>
      <c r="S290" s="97"/>
      <c r="T290" s="6"/>
      <c r="U290" s="97"/>
      <c r="V290" s="6"/>
      <c r="W290" s="33"/>
      <c r="X290" s="33"/>
      <c r="Y290" s="33"/>
      <c r="Z290" s="33"/>
      <c r="AA290" s="33"/>
      <c r="AB290" s="33"/>
      <c r="AC290" s="33"/>
      <c r="AD290" s="33"/>
    </row>
    <row r="291" spans="1:30" s="119" customFormat="1" ht="12.75">
      <c r="A291" s="96"/>
      <c r="B291" s="96"/>
      <c r="C291" s="97"/>
      <c r="D291" s="97"/>
      <c r="E291" s="97"/>
      <c r="F291" s="97"/>
      <c r="G291" s="97"/>
      <c r="H291" s="97"/>
      <c r="I291" s="97"/>
      <c r="J291" s="97"/>
      <c r="K291" s="6"/>
      <c r="M291" s="97"/>
      <c r="N291" s="6"/>
      <c r="O291" s="97"/>
      <c r="P291" s="6"/>
      <c r="Q291" s="97"/>
      <c r="R291" s="6"/>
      <c r="S291" s="97"/>
      <c r="T291" s="6"/>
      <c r="U291" s="97"/>
      <c r="V291" s="6"/>
      <c r="W291" s="33"/>
      <c r="X291" s="33"/>
      <c r="Y291" s="33"/>
      <c r="Z291" s="33"/>
      <c r="AA291" s="33"/>
      <c r="AB291" s="33"/>
      <c r="AC291" s="33"/>
      <c r="AD291" s="33"/>
    </row>
    <row r="292" spans="1:30" s="119" customFormat="1" ht="12.75">
      <c r="A292" s="96"/>
      <c r="B292" s="96"/>
      <c r="C292" s="97"/>
      <c r="D292" s="97"/>
      <c r="E292" s="97"/>
      <c r="F292" s="97"/>
      <c r="G292" s="97"/>
      <c r="H292" s="97"/>
      <c r="I292" s="97"/>
      <c r="J292" s="97"/>
      <c r="K292" s="6"/>
      <c r="M292" s="97"/>
      <c r="N292" s="6"/>
      <c r="O292" s="97"/>
      <c r="P292" s="6"/>
      <c r="Q292" s="97"/>
      <c r="R292" s="6"/>
      <c r="S292" s="97"/>
      <c r="T292" s="6"/>
      <c r="U292" s="97"/>
      <c r="V292" s="6"/>
      <c r="W292" s="33"/>
      <c r="X292" s="33"/>
      <c r="Y292" s="33"/>
      <c r="Z292" s="33"/>
      <c r="AA292" s="33"/>
      <c r="AB292" s="33"/>
      <c r="AC292" s="33"/>
      <c r="AD292" s="33"/>
    </row>
    <row r="293" spans="1:30" s="119" customFormat="1" ht="12.75">
      <c r="A293" s="96"/>
      <c r="B293" s="96"/>
      <c r="C293" s="97"/>
      <c r="D293" s="97"/>
      <c r="E293" s="97"/>
      <c r="F293" s="97"/>
      <c r="G293" s="97"/>
      <c r="H293" s="97"/>
      <c r="I293" s="97"/>
      <c r="J293" s="97"/>
      <c r="K293" s="6"/>
      <c r="M293" s="97"/>
      <c r="N293" s="6"/>
      <c r="O293" s="97"/>
      <c r="P293" s="6"/>
      <c r="Q293" s="97"/>
      <c r="R293" s="6"/>
      <c r="S293" s="97"/>
      <c r="T293" s="6"/>
      <c r="U293" s="97"/>
      <c r="V293" s="6"/>
      <c r="W293" s="33"/>
      <c r="X293" s="33"/>
      <c r="Y293" s="33"/>
      <c r="Z293" s="33"/>
      <c r="AA293" s="33"/>
      <c r="AB293" s="33"/>
      <c r="AC293" s="33"/>
      <c r="AD293" s="33"/>
    </row>
    <row r="294" spans="1:30" s="119" customFormat="1" ht="12.75">
      <c r="A294" s="96"/>
      <c r="B294" s="96"/>
      <c r="C294" s="97"/>
      <c r="D294" s="97"/>
      <c r="E294" s="97"/>
      <c r="F294" s="97"/>
      <c r="G294" s="97"/>
      <c r="H294" s="97"/>
      <c r="I294" s="97"/>
      <c r="J294" s="97"/>
      <c r="K294" s="6"/>
      <c r="M294" s="97"/>
      <c r="N294" s="6"/>
      <c r="O294" s="97"/>
      <c r="P294" s="6"/>
      <c r="Q294" s="97"/>
      <c r="R294" s="6"/>
      <c r="S294" s="97"/>
      <c r="T294" s="6"/>
      <c r="U294" s="97"/>
      <c r="V294" s="6"/>
      <c r="W294" s="33"/>
      <c r="X294" s="33"/>
      <c r="Y294" s="33"/>
      <c r="Z294" s="33"/>
      <c r="AA294" s="33"/>
      <c r="AB294" s="33"/>
      <c r="AC294" s="33"/>
      <c r="AD294" s="33"/>
    </row>
    <row r="295" spans="1:30" s="119" customFormat="1" ht="12.75">
      <c r="A295" s="96"/>
      <c r="B295" s="96"/>
      <c r="C295" s="97"/>
      <c r="D295" s="97"/>
      <c r="E295" s="97"/>
      <c r="F295" s="97"/>
      <c r="G295" s="97"/>
      <c r="H295" s="97"/>
      <c r="I295" s="97"/>
      <c r="J295" s="97"/>
      <c r="K295" s="6"/>
      <c r="M295" s="97"/>
      <c r="N295" s="6"/>
      <c r="O295" s="97"/>
      <c r="P295" s="6"/>
      <c r="Q295" s="97"/>
      <c r="R295" s="6"/>
      <c r="S295" s="97"/>
      <c r="T295" s="6"/>
      <c r="U295" s="97"/>
      <c r="V295" s="6"/>
      <c r="W295" s="33"/>
      <c r="X295" s="33"/>
      <c r="Y295" s="33"/>
      <c r="Z295" s="33"/>
      <c r="AA295" s="33"/>
      <c r="AB295" s="33"/>
      <c r="AC295" s="33"/>
      <c r="AD295" s="33"/>
    </row>
    <row r="296" spans="1:30" s="119" customFormat="1" ht="12.75">
      <c r="A296" s="96"/>
      <c r="B296" s="96"/>
      <c r="C296" s="97"/>
      <c r="D296" s="97"/>
      <c r="E296" s="97"/>
      <c r="F296" s="97"/>
      <c r="G296" s="97"/>
      <c r="H296" s="97"/>
      <c r="I296" s="97"/>
      <c r="J296" s="97"/>
      <c r="K296" s="6"/>
      <c r="M296" s="97"/>
      <c r="N296" s="6"/>
      <c r="O296" s="97"/>
      <c r="P296" s="6"/>
      <c r="Q296" s="97"/>
      <c r="R296" s="6"/>
      <c r="S296" s="97"/>
      <c r="T296" s="6"/>
      <c r="U296" s="97"/>
      <c r="V296" s="6"/>
      <c r="W296" s="33"/>
      <c r="X296" s="33"/>
      <c r="Y296" s="33"/>
      <c r="Z296" s="33"/>
      <c r="AA296" s="33"/>
      <c r="AB296" s="33"/>
      <c r="AC296" s="33"/>
      <c r="AD296" s="33"/>
    </row>
    <row r="297" spans="1:30" s="119" customFormat="1" ht="12.75">
      <c r="A297" s="96"/>
      <c r="B297" s="96"/>
      <c r="C297" s="97"/>
      <c r="D297" s="97"/>
      <c r="E297" s="97"/>
      <c r="F297" s="97"/>
      <c r="G297" s="97"/>
      <c r="H297" s="97"/>
      <c r="I297" s="97"/>
      <c r="J297" s="97"/>
      <c r="K297" s="6"/>
      <c r="M297" s="97"/>
      <c r="N297" s="6"/>
      <c r="O297" s="97"/>
      <c r="P297" s="6"/>
      <c r="Q297" s="97"/>
      <c r="R297" s="6"/>
      <c r="S297" s="97"/>
      <c r="T297" s="6"/>
      <c r="U297" s="97"/>
      <c r="V297" s="6"/>
      <c r="W297" s="33"/>
      <c r="X297" s="33"/>
      <c r="Y297" s="33"/>
      <c r="Z297" s="33"/>
      <c r="AA297" s="33"/>
      <c r="AB297" s="33"/>
      <c r="AC297" s="33"/>
      <c r="AD297" s="33"/>
    </row>
    <row r="298" spans="1:30" s="119" customFormat="1" ht="12.75">
      <c r="A298" s="96"/>
      <c r="B298" s="96"/>
      <c r="C298" s="97"/>
      <c r="D298" s="97"/>
      <c r="E298" s="97"/>
      <c r="F298" s="97"/>
      <c r="G298" s="97"/>
      <c r="H298" s="97"/>
      <c r="I298" s="97"/>
      <c r="J298" s="97"/>
      <c r="K298" s="6"/>
      <c r="M298" s="97"/>
      <c r="N298" s="6"/>
      <c r="O298" s="97"/>
      <c r="P298" s="6"/>
      <c r="Q298" s="97"/>
      <c r="R298" s="6"/>
      <c r="S298" s="97"/>
      <c r="T298" s="6"/>
      <c r="U298" s="97"/>
      <c r="V298" s="6"/>
      <c r="W298" s="33"/>
      <c r="X298" s="33"/>
      <c r="Y298" s="33"/>
      <c r="Z298" s="33"/>
      <c r="AA298" s="33"/>
      <c r="AB298" s="33"/>
      <c r="AC298" s="33"/>
      <c r="AD298" s="33"/>
    </row>
    <row r="299" spans="1:30" s="119" customFormat="1" ht="12.75">
      <c r="A299" s="96"/>
      <c r="B299" s="96"/>
      <c r="C299" s="97"/>
      <c r="D299" s="97"/>
      <c r="E299" s="97"/>
      <c r="F299" s="97"/>
      <c r="G299" s="97"/>
      <c r="H299" s="97"/>
      <c r="I299" s="97"/>
      <c r="J299" s="97"/>
      <c r="K299" s="6"/>
      <c r="M299" s="97"/>
      <c r="N299" s="6"/>
      <c r="O299" s="97"/>
      <c r="P299" s="6"/>
      <c r="Q299" s="97"/>
      <c r="R299" s="6"/>
      <c r="S299" s="97"/>
      <c r="T299" s="6"/>
      <c r="U299" s="97"/>
      <c r="V299" s="6"/>
      <c r="W299" s="33"/>
      <c r="X299" s="33"/>
      <c r="Y299" s="33"/>
      <c r="Z299" s="33"/>
      <c r="AA299" s="33"/>
      <c r="AB299" s="33"/>
      <c r="AC299" s="33"/>
      <c r="AD299" s="33"/>
    </row>
    <row r="300" spans="1:30" s="119" customFormat="1" ht="12.75">
      <c r="A300" s="96"/>
      <c r="B300" s="96"/>
      <c r="C300" s="97"/>
      <c r="D300" s="97"/>
      <c r="E300" s="97"/>
      <c r="F300" s="97"/>
      <c r="G300" s="97"/>
      <c r="H300" s="97"/>
      <c r="I300" s="97"/>
      <c r="J300" s="97"/>
      <c r="K300" s="6"/>
      <c r="M300" s="97"/>
      <c r="N300" s="6"/>
      <c r="O300" s="97"/>
      <c r="P300" s="6"/>
      <c r="Q300" s="97"/>
      <c r="R300" s="6"/>
      <c r="S300" s="97"/>
      <c r="T300" s="6"/>
      <c r="U300" s="97"/>
      <c r="V300" s="6"/>
      <c r="W300" s="33"/>
      <c r="X300" s="33"/>
      <c r="Y300" s="33"/>
      <c r="Z300" s="33"/>
      <c r="AA300" s="33"/>
      <c r="AB300" s="33"/>
      <c r="AC300" s="33"/>
      <c r="AD300" s="33"/>
    </row>
    <row r="301" spans="1:30" s="119" customFormat="1" ht="12.75">
      <c r="A301" s="96"/>
      <c r="B301" s="96"/>
      <c r="C301" s="97"/>
      <c r="D301" s="97"/>
      <c r="E301" s="97"/>
      <c r="F301" s="97"/>
      <c r="G301" s="97"/>
      <c r="H301" s="97"/>
      <c r="I301" s="97"/>
      <c r="J301" s="97"/>
      <c r="K301" s="6"/>
      <c r="M301" s="97"/>
      <c r="N301" s="6"/>
      <c r="O301" s="97"/>
      <c r="P301" s="6"/>
      <c r="Q301" s="97"/>
      <c r="R301" s="6"/>
      <c r="S301" s="97"/>
      <c r="T301" s="6"/>
      <c r="U301" s="97"/>
      <c r="V301" s="6"/>
      <c r="W301" s="33"/>
      <c r="X301" s="33"/>
      <c r="Y301" s="33"/>
      <c r="Z301" s="33"/>
      <c r="AA301" s="33"/>
      <c r="AB301" s="33"/>
      <c r="AC301" s="33"/>
      <c r="AD301" s="33"/>
    </row>
    <row r="302" spans="1:30" s="119" customFormat="1" ht="12.75">
      <c r="A302" s="96"/>
      <c r="B302" s="96"/>
      <c r="C302" s="97"/>
      <c r="D302" s="97"/>
      <c r="E302" s="97"/>
      <c r="F302" s="97"/>
      <c r="G302" s="97"/>
      <c r="H302" s="97"/>
      <c r="I302" s="97"/>
      <c r="J302" s="97"/>
      <c r="K302" s="6"/>
      <c r="M302" s="97"/>
      <c r="N302" s="6"/>
      <c r="O302" s="97"/>
      <c r="P302" s="6"/>
      <c r="Q302" s="97"/>
      <c r="R302" s="6"/>
      <c r="S302" s="97"/>
      <c r="T302" s="6"/>
      <c r="U302" s="97"/>
      <c r="V302" s="6"/>
      <c r="W302" s="33"/>
      <c r="X302" s="33"/>
      <c r="Y302" s="33"/>
      <c r="Z302" s="33"/>
      <c r="AA302" s="33"/>
      <c r="AB302" s="33"/>
      <c r="AC302" s="33"/>
      <c r="AD302" s="33"/>
    </row>
    <row r="303" spans="1:30" s="119" customFormat="1" ht="12.75">
      <c r="A303" s="96"/>
      <c r="B303" s="96"/>
      <c r="C303" s="97"/>
      <c r="D303" s="97"/>
      <c r="E303" s="97"/>
      <c r="F303" s="97"/>
      <c r="G303" s="97"/>
      <c r="H303" s="97"/>
      <c r="I303" s="97"/>
      <c r="J303" s="97"/>
      <c r="K303" s="6"/>
      <c r="M303" s="97"/>
      <c r="N303" s="6"/>
      <c r="O303" s="97"/>
      <c r="P303" s="6"/>
      <c r="Q303" s="97"/>
      <c r="R303" s="6"/>
      <c r="S303" s="97"/>
      <c r="T303" s="6"/>
      <c r="U303" s="97"/>
      <c r="V303" s="6"/>
      <c r="W303" s="33"/>
      <c r="X303" s="33"/>
      <c r="Y303" s="33"/>
      <c r="Z303" s="33"/>
      <c r="AA303" s="33"/>
      <c r="AB303" s="33"/>
      <c r="AC303" s="33"/>
      <c r="AD303" s="33"/>
    </row>
    <row r="304" spans="1:30" s="119" customFormat="1" ht="12.75">
      <c r="A304" s="96"/>
      <c r="B304" s="96"/>
      <c r="C304" s="97"/>
      <c r="D304" s="97"/>
      <c r="E304" s="97"/>
      <c r="F304" s="97"/>
      <c r="G304" s="97"/>
      <c r="H304" s="97"/>
      <c r="I304" s="97"/>
      <c r="J304" s="97"/>
      <c r="K304" s="6"/>
      <c r="M304" s="97"/>
      <c r="N304" s="6"/>
      <c r="O304" s="97"/>
      <c r="P304" s="6"/>
      <c r="Q304" s="97"/>
      <c r="R304" s="6"/>
      <c r="S304" s="97"/>
      <c r="T304" s="6"/>
      <c r="U304" s="97"/>
      <c r="V304" s="6"/>
      <c r="W304" s="33"/>
      <c r="X304" s="33"/>
      <c r="Y304" s="33"/>
      <c r="Z304" s="33"/>
      <c r="AA304" s="33"/>
      <c r="AB304" s="33"/>
      <c r="AC304" s="33"/>
      <c r="AD304" s="33"/>
    </row>
    <row r="305" spans="1:30" s="119" customFormat="1" ht="12.75">
      <c r="A305" s="96"/>
      <c r="B305" s="96"/>
      <c r="C305" s="97"/>
      <c r="D305" s="97"/>
      <c r="E305" s="97"/>
      <c r="F305" s="97"/>
      <c r="G305" s="97"/>
      <c r="H305" s="97"/>
      <c r="I305" s="97"/>
      <c r="J305" s="97"/>
      <c r="K305" s="6"/>
      <c r="M305" s="97"/>
      <c r="N305" s="6"/>
      <c r="O305" s="97"/>
      <c r="P305" s="6"/>
      <c r="Q305" s="97"/>
      <c r="R305" s="6"/>
      <c r="S305" s="97"/>
      <c r="T305" s="6"/>
      <c r="U305" s="97"/>
      <c r="V305" s="6"/>
      <c r="W305" s="33"/>
      <c r="X305" s="33"/>
      <c r="Y305" s="33"/>
      <c r="Z305" s="33"/>
      <c r="AA305" s="33"/>
      <c r="AB305" s="33"/>
      <c r="AC305" s="33"/>
      <c r="AD305" s="33"/>
    </row>
    <row r="306" spans="1:30" s="119" customFormat="1" ht="12.75">
      <c r="A306" s="96"/>
      <c r="B306" s="96"/>
      <c r="C306" s="97"/>
      <c r="D306" s="97"/>
      <c r="E306" s="97"/>
      <c r="F306" s="97"/>
      <c r="G306" s="97"/>
      <c r="H306" s="97"/>
      <c r="I306" s="97"/>
      <c r="J306" s="97"/>
      <c r="K306" s="6"/>
      <c r="M306" s="97"/>
      <c r="N306" s="6"/>
      <c r="O306" s="97"/>
      <c r="P306" s="6"/>
      <c r="Q306" s="97"/>
      <c r="R306" s="6"/>
      <c r="S306" s="97"/>
      <c r="T306" s="6"/>
      <c r="U306" s="97"/>
      <c r="V306" s="6"/>
      <c r="W306" s="33"/>
      <c r="X306" s="33"/>
      <c r="Y306" s="33"/>
      <c r="Z306" s="33"/>
      <c r="AA306" s="33"/>
      <c r="AB306" s="33"/>
      <c r="AC306" s="33"/>
      <c r="AD306" s="33"/>
    </row>
    <row r="307" spans="1:30" s="119" customFormat="1" ht="12.75">
      <c r="A307" s="96"/>
      <c r="B307" s="96"/>
      <c r="C307" s="97"/>
      <c r="D307" s="97"/>
      <c r="E307" s="97"/>
      <c r="F307" s="97"/>
      <c r="G307" s="97"/>
      <c r="H307" s="97"/>
      <c r="I307" s="97"/>
      <c r="J307" s="97"/>
      <c r="K307" s="6"/>
      <c r="M307" s="97"/>
      <c r="N307" s="6"/>
      <c r="O307" s="97"/>
      <c r="P307" s="6"/>
      <c r="Q307" s="97"/>
      <c r="R307" s="6"/>
      <c r="S307" s="97"/>
      <c r="T307" s="6"/>
      <c r="U307" s="97"/>
      <c r="V307" s="6"/>
      <c r="W307" s="33"/>
      <c r="X307" s="33"/>
      <c r="Y307" s="33"/>
      <c r="Z307" s="33"/>
      <c r="AA307" s="33"/>
      <c r="AB307" s="33"/>
      <c r="AC307" s="33"/>
      <c r="AD307" s="33"/>
    </row>
    <row r="308" spans="1:30" s="119" customFormat="1" ht="12.75">
      <c r="A308" s="96"/>
      <c r="B308" s="96"/>
      <c r="C308" s="97"/>
      <c r="D308" s="97"/>
      <c r="E308" s="97"/>
      <c r="F308" s="97"/>
      <c r="G308" s="97"/>
      <c r="H308" s="97"/>
      <c r="I308" s="97"/>
      <c r="J308" s="97"/>
      <c r="K308" s="6"/>
      <c r="M308" s="97"/>
      <c r="N308" s="6"/>
      <c r="O308" s="97"/>
      <c r="P308" s="6"/>
      <c r="Q308" s="97"/>
      <c r="R308" s="6"/>
      <c r="S308" s="97"/>
      <c r="T308" s="6"/>
      <c r="U308" s="97"/>
      <c r="V308" s="6"/>
      <c r="W308" s="33"/>
      <c r="X308" s="33"/>
      <c r="Y308" s="33"/>
      <c r="Z308" s="33"/>
      <c r="AA308" s="33"/>
      <c r="AB308" s="33"/>
      <c r="AC308" s="33"/>
      <c r="AD308" s="33"/>
    </row>
    <row r="309" spans="1:30" s="119" customFormat="1" ht="12.75">
      <c r="A309" s="96"/>
      <c r="B309" s="96"/>
      <c r="C309" s="97"/>
      <c r="D309" s="97"/>
      <c r="E309" s="97"/>
      <c r="F309" s="97"/>
      <c r="G309" s="97"/>
      <c r="H309" s="97"/>
      <c r="I309" s="97"/>
      <c r="J309" s="97"/>
      <c r="K309" s="6"/>
      <c r="M309" s="97"/>
      <c r="N309" s="6"/>
      <c r="O309" s="97"/>
      <c r="P309" s="6"/>
      <c r="Q309" s="97"/>
      <c r="R309" s="6"/>
      <c r="S309" s="97"/>
      <c r="T309" s="6"/>
      <c r="U309" s="97"/>
      <c r="V309" s="6"/>
      <c r="W309" s="33"/>
      <c r="X309" s="33"/>
      <c r="Y309" s="33"/>
      <c r="Z309" s="33"/>
      <c r="AA309" s="33"/>
      <c r="AB309" s="33"/>
      <c r="AC309" s="33"/>
      <c r="AD309" s="33"/>
    </row>
    <row r="310" spans="1:30" s="119" customFormat="1" ht="12.75">
      <c r="A310" s="96"/>
      <c r="B310" s="96"/>
      <c r="C310" s="97"/>
      <c r="D310" s="97"/>
      <c r="E310" s="97"/>
      <c r="F310" s="97"/>
      <c r="G310" s="97"/>
      <c r="H310" s="97"/>
      <c r="I310" s="97"/>
      <c r="J310" s="97"/>
      <c r="K310" s="6"/>
      <c r="M310" s="97"/>
      <c r="N310" s="6"/>
      <c r="O310" s="97"/>
      <c r="P310" s="6"/>
      <c r="Q310" s="97"/>
      <c r="R310" s="6"/>
      <c r="S310" s="97"/>
      <c r="T310" s="6"/>
      <c r="U310" s="97"/>
      <c r="V310" s="6"/>
      <c r="W310" s="33"/>
      <c r="X310" s="33"/>
      <c r="Y310" s="33"/>
      <c r="Z310" s="33"/>
      <c r="AA310" s="33"/>
      <c r="AB310" s="33"/>
      <c r="AC310" s="33"/>
      <c r="AD310" s="33"/>
    </row>
    <row r="311" spans="1:30" s="119" customFormat="1" ht="12.75">
      <c r="A311" s="96"/>
      <c r="B311" s="96"/>
      <c r="C311" s="97"/>
      <c r="D311" s="97"/>
      <c r="E311" s="97"/>
      <c r="F311" s="97"/>
      <c r="G311" s="97"/>
      <c r="H311" s="97"/>
      <c r="I311" s="97"/>
      <c r="J311" s="97"/>
      <c r="K311" s="6"/>
      <c r="M311" s="97"/>
      <c r="N311" s="6"/>
      <c r="O311" s="97"/>
      <c r="P311" s="6"/>
      <c r="Q311" s="97"/>
      <c r="R311" s="6"/>
      <c r="S311" s="97"/>
      <c r="T311" s="6"/>
      <c r="U311" s="97"/>
      <c r="V311" s="6"/>
      <c r="W311" s="33"/>
      <c r="X311" s="33"/>
      <c r="Y311" s="33"/>
      <c r="Z311" s="33"/>
      <c r="AA311" s="33"/>
      <c r="AB311" s="33"/>
      <c r="AC311" s="33"/>
      <c r="AD311" s="33"/>
    </row>
    <row r="312" spans="1:30" s="119" customFormat="1" ht="12.75">
      <c r="A312" s="96"/>
      <c r="B312" s="96"/>
      <c r="C312" s="97"/>
      <c r="D312" s="97"/>
      <c r="E312" s="97"/>
      <c r="F312" s="97"/>
      <c r="G312" s="97"/>
      <c r="H312" s="97"/>
      <c r="I312" s="97"/>
      <c r="J312" s="97"/>
      <c r="K312" s="6"/>
      <c r="M312" s="97"/>
      <c r="N312" s="6"/>
      <c r="O312" s="97"/>
      <c r="P312" s="6"/>
      <c r="Q312" s="97"/>
      <c r="R312" s="6"/>
      <c r="S312" s="97"/>
      <c r="T312" s="6"/>
      <c r="U312" s="97"/>
      <c r="V312" s="6"/>
      <c r="W312" s="33"/>
      <c r="X312" s="33"/>
      <c r="Y312" s="33"/>
      <c r="Z312" s="33"/>
      <c r="AA312" s="33"/>
      <c r="AB312" s="33"/>
      <c r="AC312" s="33"/>
      <c r="AD312" s="33"/>
    </row>
    <row r="313" spans="1:30" s="119" customFormat="1" ht="12.75">
      <c r="A313" s="96"/>
      <c r="B313" s="96"/>
      <c r="C313" s="97"/>
      <c r="D313" s="97"/>
      <c r="E313" s="97"/>
      <c r="F313" s="97"/>
      <c r="G313" s="97"/>
      <c r="H313" s="97"/>
      <c r="I313" s="97"/>
      <c r="J313" s="97"/>
      <c r="K313" s="6"/>
      <c r="M313" s="97"/>
      <c r="N313" s="6"/>
      <c r="O313" s="97"/>
      <c r="P313" s="6"/>
      <c r="Q313" s="97"/>
      <c r="R313" s="6"/>
      <c r="S313" s="97"/>
      <c r="T313" s="6"/>
      <c r="U313" s="97"/>
      <c r="V313" s="6"/>
      <c r="W313" s="33"/>
      <c r="X313" s="33"/>
      <c r="Y313" s="33"/>
      <c r="Z313" s="33"/>
      <c r="AA313" s="33"/>
      <c r="AB313" s="33"/>
      <c r="AC313" s="33"/>
      <c r="AD313" s="33"/>
    </row>
    <row r="314" spans="1:30" s="119" customFormat="1" ht="12.75">
      <c r="A314" s="96"/>
      <c r="B314" s="96"/>
      <c r="C314" s="97"/>
      <c r="D314" s="97"/>
      <c r="E314" s="97"/>
      <c r="F314" s="97"/>
      <c r="G314" s="97"/>
      <c r="H314" s="97"/>
      <c r="I314" s="97"/>
      <c r="J314" s="97"/>
      <c r="K314" s="6"/>
      <c r="M314" s="97"/>
      <c r="N314" s="6"/>
      <c r="O314" s="97"/>
      <c r="P314" s="6"/>
      <c r="Q314" s="97"/>
      <c r="R314" s="6"/>
      <c r="S314" s="97"/>
      <c r="T314" s="6"/>
      <c r="U314" s="97"/>
      <c r="V314" s="6"/>
      <c r="W314" s="33"/>
      <c r="X314" s="33"/>
      <c r="Y314" s="33"/>
      <c r="Z314" s="33"/>
      <c r="AA314" s="33"/>
      <c r="AB314" s="33"/>
      <c r="AC314" s="33"/>
      <c r="AD314" s="33"/>
    </row>
    <row r="315" spans="1:30" s="119" customFormat="1" ht="12.75">
      <c r="A315" s="96"/>
      <c r="B315" s="96"/>
      <c r="C315" s="97"/>
      <c r="D315" s="97"/>
      <c r="E315" s="97"/>
      <c r="F315" s="97"/>
      <c r="G315" s="97"/>
      <c r="H315" s="97"/>
      <c r="I315" s="97"/>
      <c r="J315" s="97"/>
      <c r="K315" s="6"/>
      <c r="M315" s="97"/>
      <c r="N315" s="6"/>
      <c r="O315" s="97"/>
      <c r="P315" s="6"/>
      <c r="Q315" s="97"/>
      <c r="R315" s="6"/>
      <c r="S315" s="97"/>
      <c r="T315" s="6"/>
      <c r="U315" s="97"/>
      <c r="V315" s="6"/>
      <c r="W315" s="33"/>
      <c r="X315" s="33"/>
      <c r="Y315" s="33"/>
      <c r="Z315" s="33"/>
      <c r="AA315" s="33"/>
      <c r="AB315" s="33"/>
      <c r="AC315" s="33"/>
      <c r="AD315" s="33"/>
    </row>
    <row r="316" spans="1:30" s="119" customFormat="1" ht="12.75">
      <c r="A316" s="96"/>
      <c r="B316" s="96"/>
      <c r="C316" s="97"/>
      <c r="D316" s="97"/>
      <c r="E316" s="97"/>
      <c r="F316" s="97"/>
      <c r="G316" s="97"/>
      <c r="H316" s="97"/>
      <c r="I316" s="97"/>
      <c r="J316" s="97"/>
      <c r="K316" s="6"/>
      <c r="M316" s="97"/>
      <c r="N316" s="6"/>
      <c r="O316" s="97"/>
      <c r="P316" s="6"/>
      <c r="Q316" s="97"/>
      <c r="R316" s="6"/>
      <c r="S316" s="97"/>
      <c r="T316" s="6"/>
      <c r="U316" s="97"/>
      <c r="V316" s="6"/>
      <c r="W316" s="33"/>
      <c r="X316" s="33"/>
      <c r="Y316" s="33"/>
      <c r="Z316" s="33"/>
      <c r="AA316" s="33"/>
      <c r="AB316" s="33"/>
      <c r="AC316" s="33"/>
      <c r="AD316" s="33"/>
    </row>
    <row r="317" spans="1:30" s="119" customFormat="1" ht="12.75">
      <c r="A317" s="96"/>
      <c r="B317" s="96"/>
      <c r="C317" s="97"/>
      <c r="D317" s="97"/>
      <c r="E317" s="97"/>
      <c r="F317" s="97"/>
      <c r="G317" s="97"/>
      <c r="H317" s="97"/>
      <c r="I317" s="97"/>
      <c r="J317" s="97"/>
      <c r="K317" s="6"/>
      <c r="M317" s="97"/>
      <c r="N317" s="6"/>
      <c r="O317" s="97"/>
      <c r="P317" s="6"/>
      <c r="Q317" s="97"/>
      <c r="R317" s="6"/>
      <c r="S317" s="97"/>
      <c r="T317" s="6"/>
      <c r="U317" s="97"/>
      <c r="V317" s="6"/>
      <c r="W317" s="33"/>
      <c r="X317" s="33"/>
      <c r="Y317" s="33"/>
      <c r="Z317" s="33"/>
      <c r="AA317" s="33"/>
      <c r="AB317" s="33"/>
      <c r="AC317" s="33"/>
      <c r="AD317" s="33"/>
    </row>
    <row r="318" spans="1:30" s="119" customFormat="1" ht="12.75">
      <c r="A318" s="96"/>
      <c r="B318" s="96"/>
      <c r="C318" s="97"/>
      <c r="D318" s="97"/>
      <c r="E318" s="97"/>
      <c r="F318" s="97"/>
      <c r="G318" s="97"/>
      <c r="H318" s="97"/>
      <c r="I318" s="97"/>
      <c r="J318" s="97"/>
      <c r="K318" s="6"/>
      <c r="M318" s="97"/>
      <c r="N318" s="6"/>
      <c r="O318" s="97"/>
      <c r="P318" s="6"/>
      <c r="Q318" s="97"/>
      <c r="R318" s="6"/>
      <c r="S318" s="97"/>
      <c r="T318" s="6"/>
      <c r="U318" s="97"/>
      <c r="V318" s="6"/>
      <c r="W318" s="33"/>
      <c r="X318" s="33"/>
      <c r="Y318" s="33"/>
      <c r="Z318" s="33"/>
      <c r="AA318" s="33"/>
      <c r="AB318" s="33"/>
      <c r="AC318" s="33"/>
      <c r="AD318" s="33"/>
    </row>
    <row r="319" spans="1:30" s="119" customFormat="1" ht="12.75">
      <c r="A319" s="96"/>
      <c r="B319" s="96"/>
      <c r="C319" s="97"/>
      <c r="D319" s="97"/>
      <c r="E319" s="97"/>
      <c r="F319" s="97"/>
      <c r="G319" s="97"/>
      <c r="H319" s="97"/>
      <c r="I319" s="97"/>
      <c r="J319" s="97"/>
      <c r="K319" s="6"/>
      <c r="M319" s="97"/>
      <c r="N319" s="6"/>
      <c r="O319" s="97"/>
      <c r="P319" s="6"/>
      <c r="Q319" s="97"/>
      <c r="R319" s="6"/>
      <c r="S319" s="97"/>
      <c r="T319" s="6"/>
      <c r="U319" s="97"/>
      <c r="V319" s="6"/>
      <c r="W319" s="33"/>
      <c r="X319" s="33"/>
      <c r="Y319" s="33"/>
      <c r="Z319" s="33"/>
      <c r="AA319" s="33"/>
      <c r="AB319" s="33"/>
      <c r="AC319" s="33"/>
      <c r="AD319" s="33"/>
    </row>
    <row r="320" spans="1:30" s="119" customFormat="1" ht="12.75">
      <c r="A320" s="96"/>
      <c r="B320" s="96"/>
      <c r="C320" s="97"/>
      <c r="D320" s="97"/>
      <c r="E320" s="97"/>
      <c r="F320" s="97"/>
      <c r="G320" s="97"/>
      <c r="H320" s="97"/>
      <c r="I320" s="97"/>
      <c r="J320" s="97"/>
      <c r="K320" s="6"/>
      <c r="M320" s="97"/>
      <c r="N320" s="6"/>
      <c r="O320" s="97"/>
      <c r="P320" s="6"/>
      <c r="Q320" s="97"/>
      <c r="R320" s="6"/>
      <c r="S320" s="97"/>
      <c r="T320" s="6"/>
      <c r="U320" s="97"/>
      <c r="V320" s="6"/>
      <c r="W320" s="33"/>
      <c r="X320" s="33"/>
      <c r="Y320" s="33"/>
      <c r="Z320" s="33"/>
      <c r="AA320" s="33"/>
      <c r="AB320" s="33"/>
      <c r="AC320" s="33"/>
      <c r="AD320" s="33"/>
    </row>
    <row r="321" spans="1:30" s="119" customFormat="1" ht="12.75">
      <c r="A321" s="96"/>
      <c r="B321" s="96"/>
      <c r="C321" s="97"/>
      <c r="D321" s="97"/>
      <c r="E321" s="97"/>
      <c r="F321" s="97"/>
      <c r="G321" s="97"/>
      <c r="H321" s="97"/>
      <c r="I321" s="97"/>
      <c r="J321" s="97"/>
      <c r="K321" s="6"/>
      <c r="M321" s="97"/>
      <c r="N321" s="6"/>
      <c r="O321" s="97"/>
      <c r="P321" s="6"/>
      <c r="Q321" s="97"/>
      <c r="R321" s="6"/>
      <c r="S321" s="97"/>
      <c r="T321" s="6"/>
      <c r="U321" s="97"/>
      <c r="V321" s="6"/>
      <c r="W321" s="33"/>
      <c r="X321" s="33"/>
      <c r="Y321" s="33"/>
      <c r="Z321" s="33"/>
      <c r="AA321" s="33"/>
      <c r="AB321" s="33"/>
      <c r="AC321" s="33"/>
      <c r="AD321" s="33"/>
    </row>
    <row r="322" spans="1:30" s="119" customFormat="1" ht="12.75">
      <c r="A322" s="96"/>
      <c r="B322" s="96"/>
      <c r="C322" s="97"/>
      <c r="D322" s="97"/>
      <c r="E322" s="97"/>
      <c r="F322" s="97"/>
      <c r="G322" s="97"/>
      <c r="H322" s="97"/>
      <c r="I322" s="97"/>
      <c r="J322" s="97"/>
      <c r="K322" s="6"/>
      <c r="M322" s="97"/>
      <c r="N322" s="6"/>
      <c r="O322" s="97"/>
      <c r="P322" s="6"/>
      <c r="Q322" s="97"/>
      <c r="R322" s="6"/>
      <c r="S322" s="97"/>
      <c r="T322" s="6"/>
      <c r="U322" s="97"/>
      <c r="V322" s="6"/>
      <c r="W322" s="33"/>
      <c r="X322" s="33"/>
      <c r="Y322" s="33"/>
      <c r="Z322" s="33"/>
      <c r="AA322" s="33"/>
      <c r="AB322" s="33"/>
      <c r="AC322" s="33"/>
      <c r="AD322" s="33"/>
    </row>
    <row r="323" spans="1:30" s="119" customFormat="1" ht="12.75">
      <c r="A323" s="96"/>
      <c r="B323" s="96"/>
      <c r="C323" s="97"/>
      <c r="D323" s="97"/>
      <c r="E323" s="97"/>
      <c r="F323" s="97"/>
      <c r="G323" s="97"/>
      <c r="H323" s="97"/>
      <c r="I323" s="97"/>
      <c r="J323" s="97"/>
      <c r="K323" s="6"/>
      <c r="M323" s="97"/>
      <c r="N323" s="6"/>
      <c r="O323" s="97"/>
      <c r="P323" s="6"/>
      <c r="Q323" s="97"/>
      <c r="R323" s="6"/>
      <c r="S323" s="97"/>
      <c r="T323" s="6"/>
      <c r="U323" s="97"/>
      <c r="V323" s="6"/>
      <c r="W323" s="33"/>
      <c r="X323" s="33"/>
      <c r="Y323" s="33"/>
      <c r="Z323" s="33"/>
      <c r="AA323" s="33"/>
      <c r="AB323" s="33"/>
      <c r="AC323" s="33"/>
      <c r="AD323" s="33"/>
    </row>
    <row r="324" spans="1:30" s="119" customFormat="1" ht="12.75">
      <c r="A324" s="96"/>
      <c r="B324" s="96"/>
      <c r="C324" s="97"/>
      <c r="D324" s="97"/>
      <c r="E324" s="97"/>
      <c r="F324" s="97"/>
      <c r="G324" s="97"/>
      <c r="H324" s="97"/>
      <c r="I324" s="97"/>
      <c r="J324" s="97"/>
      <c r="K324" s="6"/>
      <c r="M324" s="97"/>
      <c r="N324" s="6"/>
      <c r="O324" s="97"/>
      <c r="P324" s="6"/>
      <c r="Q324" s="97"/>
      <c r="R324" s="6"/>
      <c r="S324" s="97"/>
      <c r="T324" s="6"/>
      <c r="U324" s="97"/>
      <c r="V324" s="6"/>
      <c r="W324" s="33"/>
      <c r="X324" s="33"/>
      <c r="Y324" s="33"/>
      <c r="Z324" s="33"/>
      <c r="AA324" s="33"/>
      <c r="AB324" s="33"/>
      <c r="AC324" s="33"/>
      <c r="AD324" s="33"/>
    </row>
    <row r="428" ht="12.75">
      <c r="D428" s="4">
        <f>133000</f>
        <v>133000</v>
      </c>
    </row>
    <row r="430" ht="12.75">
      <c r="D430" s="4">
        <v>1936.27</v>
      </c>
    </row>
    <row r="431" ht="12.75">
      <c r="D431" s="4">
        <f>+D428/D430</f>
        <v>68.6887675789017</v>
      </c>
    </row>
    <row r="461" ht="12.75">
      <c r="C461" s="97" t="s">
        <v>6</v>
      </c>
    </row>
  </sheetData>
  <mergeCells count="2">
    <mergeCell ref="S6:T6"/>
    <mergeCell ref="U6:V6"/>
  </mergeCells>
  <printOptions horizontalCentered="1"/>
  <pageMargins left="0.22" right="0.1968503937007874" top="0.2362204724409449" bottom="0.2362204724409449" header="0.1968503937007874" footer="0.1968503937007874"/>
  <pageSetup horizontalDpi="600" verticalDpi="600" orientation="landscape" paperSize="9" scale="60" r:id="rId1"/>
  <rowBreaks count="3" manualBreakCount="3">
    <brk id="136" max="21" man="1"/>
    <brk id="199" max="21" man="1"/>
    <brk id="26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8"/>
  <sheetViews>
    <sheetView tabSelected="1" workbookViewId="0" topLeftCell="A1">
      <selection activeCell="E239" sqref="E239"/>
    </sheetView>
  </sheetViews>
  <sheetFormatPr defaultColWidth="9.140625" defaultRowHeight="12.75"/>
  <cols>
    <col min="1" max="1" width="2.7109375" style="3" customWidth="1"/>
    <col min="2" max="2" width="56.421875" style="3" customWidth="1"/>
    <col min="3" max="6" width="9.57421875" style="4" customWidth="1"/>
    <col min="7" max="7" width="9.57421875" style="1" customWidth="1"/>
    <col min="8" max="12" width="9.57421875" style="4" customWidth="1"/>
    <col min="13" max="20" width="9.140625" style="33" customWidth="1"/>
  </cols>
  <sheetData>
    <row r="1" spans="1:20" s="2" customFormat="1" ht="24" customHeight="1">
      <c r="A1" s="56" t="s">
        <v>141</v>
      </c>
      <c r="B1" s="3"/>
      <c r="C1" s="4"/>
      <c r="E1" s="4"/>
      <c r="F1" s="4"/>
      <c r="G1" s="1"/>
      <c r="H1" s="4"/>
      <c r="I1" s="4"/>
      <c r="J1" s="4"/>
      <c r="K1" s="4"/>
      <c r="L1" s="4"/>
      <c r="M1" s="33"/>
      <c r="N1" s="33"/>
      <c r="O1" s="33"/>
      <c r="P1" s="33"/>
      <c r="Q1" s="33"/>
      <c r="R1" s="33"/>
      <c r="S1" s="33"/>
      <c r="T1" s="33"/>
    </row>
    <row r="2" spans="1:20" s="2" customFormat="1" ht="6.75" customHeight="1">
      <c r="A2" s="5"/>
      <c r="B2" s="5"/>
      <c r="C2" s="58"/>
      <c r="D2" s="49"/>
      <c r="E2" s="58"/>
      <c r="F2" s="58"/>
      <c r="G2" s="10"/>
      <c r="H2" s="75"/>
      <c r="I2" s="75"/>
      <c r="J2" s="75"/>
      <c r="K2" s="75"/>
      <c r="L2" s="75"/>
      <c r="M2" s="33"/>
      <c r="N2" s="33"/>
      <c r="O2" s="33"/>
      <c r="P2" s="33"/>
      <c r="Q2" s="33"/>
      <c r="R2" s="33"/>
      <c r="S2" s="33"/>
      <c r="T2" s="33"/>
    </row>
    <row r="3" spans="1:20" s="2" customFormat="1" ht="12.75">
      <c r="A3" s="59" t="s">
        <v>9</v>
      </c>
      <c r="B3" s="5"/>
      <c r="C3" s="4"/>
      <c r="D3" s="4"/>
      <c r="E3" s="4"/>
      <c r="F3" s="4"/>
      <c r="G3" s="1"/>
      <c r="H3" s="75"/>
      <c r="I3" s="75"/>
      <c r="J3" s="75"/>
      <c r="K3" s="75"/>
      <c r="L3" s="75"/>
      <c r="M3" s="33"/>
      <c r="N3" s="33"/>
      <c r="O3" s="33"/>
      <c r="P3" s="33"/>
      <c r="Q3" s="33"/>
      <c r="R3" s="33"/>
      <c r="S3" s="33"/>
      <c r="T3" s="33"/>
    </row>
    <row r="4" spans="1:20" s="2" customFormat="1" ht="8.25" customHeight="1">
      <c r="A4" s="7"/>
      <c r="B4" s="7"/>
      <c r="C4" s="4"/>
      <c r="D4" s="4"/>
      <c r="E4" s="4"/>
      <c r="F4" s="4"/>
      <c r="G4" s="1"/>
      <c r="H4" s="4"/>
      <c r="I4" s="4"/>
      <c r="J4" s="4"/>
      <c r="K4" s="4"/>
      <c r="L4" s="4"/>
      <c r="M4" s="33"/>
      <c r="N4" s="33"/>
      <c r="O4" s="33"/>
      <c r="P4" s="33"/>
      <c r="Q4" s="33"/>
      <c r="R4" s="33"/>
      <c r="S4" s="33"/>
      <c r="T4" s="33"/>
    </row>
    <row r="5" spans="1:20" s="2" customFormat="1" ht="12.75">
      <c r="A5" s="8"/>
      <c r="B5" s="11"/>
      <c r="C5" s="34">
        <v>2001</v>
      </c>
      <c r="D5" s="34">
        <v>2002</v>
      </c>
      <c r="E5" s="34">
        <v>2003</v>
      </c>
      <c r="F5" s="34">
        <v>2004</v>
      </c>
      <c r="G5" s="88">
        <v>2005</v>
      </c>
      <c r="H5" s="88">
        <v>2006</v>
      </c>
      <c r="I5" s="88">
        <v>2007</v>
      </c>
      <c r="J5" s="88">
        <v>2008</v>
      </c>
      <c r="K5" s="88">
        <v>2009</v>
      </c>
      <c r="L5" s="88">
        <v>2010</v>
      </c>
      <c r="M5" s="33"/>
      <c r="N5" s="33"/>
      <c r="O5" s="33"/>
      <c r="P5" s="33"/>
      <c r="Q5" s="33"/>
      <c r="R5" s="33"/>
      <c r="S5" s="33"/>
      <c r="T5" s="33"/>
    </row>
    <row r="6" spans="1:20" s="2" customFormat="1" ht="15.75">
      <c r="A6" s="8"/>
      <c r="B6" s="81" t="s">
        <v>4</v>
      </c>
      <c r="C6" s="70" t="s">
        <v>8</v>
      </c>
      <c r="D6" s="70" t="s">
        <v>8</v>
      </c>
      <c r="E6" s="70" t="s">
        <v>8</v>
      </c>
      <c r="F6" s="70" t="s">
        <v>8</v>
      </c>
      <c r="G6" s="72" t="s">
        <v>8</v>
      </c>
      <c r="H6" s="72" t="s">
        <v>8</v>
      </c>
      <c r="I6" s="72" t="s">
        <v>8</v>
      </c>
      <c r="J6" s="72" t="s">
        <v>8</v>
      </c>
      <c r="K6" s="72" t="s">
        <v>8</v>
      </c>
      <c r="L6" s="72" t="s">
        <v>8</v>
      </c>
      <c r="M6" s="33"/>
      <c r="N6" s="33"/>
      <c r="O6" s="33"/>
      <c r="P6" s="33"/>
      <c r="Q6" s="33"/>
      <c r="R6" s="33"/>
      <c r="S6" s="33"/>
      <c r="T6" s="33"/>
    </row>
    <row r="7" spans="1:20" s="2" customFormat="1" ht="12.75">
      <c r="A7" s="83"/>
      <c r="B7" s="83"/>
      <c r="C7" s="40" t="s">
        <v>7</v>
      </c>
      <c r="D7" s="40" t="s">
        <v>7</v>
      </c>
      <c r="E7" s="40" t="s">
        <v>7</v>
      </c>
      <c r="F7" s="40" t="s">
        <v>7</v>
      </c>
      <c r="G7" s="40" t="s">
        <v>7</v>
      </c>
      <c r="H7" s="40" t="s">
        <v>7</v>
      </c>
      <c r="I7" s="40" t="s">
        <v>7</v>
      </c>
      <c r="J7" s="40" t="s">
        <v>7</v>
      </c>
      <c r="K7" s="40" t="s">
        <v>7</v>
      </c>
      <c r="L7" s="40" t="s">
        <v>7</v>
      </c>
      <c r="M7" s="33"/>
      <c r="N7" s="33"/>
      <c r="O7" s="33"/>
      <c r="P7" s="33"/>
      <c r="Q7" s="33"/>
      <c r="R7" s="33"/>
      <c r="S7" s="33"/>
      <c r="T7" s="33"/>
    </row>
    <row r="8" spans="1:20" s="2" customFormat="1" ht="12.75">
      <c r="A8" s="65" t="s">
        <v>104</v>
      </c>
      <c r="B8" s="107"/>
      <c r="C8" s="89">
        <f>+'Entrate tot e finalizzati'!C8-'Entrate tot e finalizzati'!D8</f>
        <v>14453</v>
      </c>
      <c r="D8" s="89">
        <f>+'Entrate tot e finalizzati'!E8-'Entrate tot e finalizzati'!F8</f>
        <v>15737</v>
      </c>
      <c r="E8" s="89">
        <f>+'Entrate tot e finalizzati'!G8-'Entrate tot e finalizzati'!H8</f>
        <v>18476</v>
      </c>
      <c r="F8" s="89">
        <f>+'Entrate tot e finalizzati'!I8-'Entrate tot e finalizzati'!J8</f>
        <v>25853</v>
      </c>
      <c r="G8" s="89">
        <f>+'Entrate tot e finalizzati'!K8-'Entrate tot e finalizzati'!L8</f>
        <v>30521</v>
      </c>
      <c r="H8" s="89">
        <f>+'Entrate tot e finalizzati'!M8-'Entrate tot e finalizzati'!N8</f>
        <v>44545</v>
      </c>
      <c r="I8" s="89">
        <f>+'Entrate tot e finalizzati'!O8-'Entrate tot e finalizzati'!P8</f>
        <v>50089</v>
      </c>
      <c r="J8" s="89">
        <f>+'Entrate tot e finalizzati'!Q8-'Entrate tot e finalizzati'!R8</f>
        <v>40054</v>
      </c>
      <c r="K8" s="89">
        <f>+'Entrate tot e finalizzati'!S8-'Entrate tot e finalizzati'!T8</f>
        <v>38995</v>
      </c>
      <c r="L8" s="89">
        <f>+'Entrate tot e finalizzati'!U8-'Entrate tot e finalizzati'!V8</f>
        <v>38728</v>
      </c>
      <c r="M8" s="93"/>
      <c r="N8" s="93"/>
      <c r="O8" s="93"/>
      <c r="P8" s="93"/>
      <c r="Q8" s="93"/>
      <c r="R8" s="93"/>
      <c r="S8" s="93"/>
      <c r="T8" s="93"/>
    </row>
    <row r="9" spans="1:20" s="2" customFormat="1" ht="12.75">
      <c r="A9" s="23" t="s">
        <v>115</v>
      </c>
      <c r="B9" s="109"/>
      <c r="C9" s="25">
        <f>+'Entrate tot e finalizzati'!C9-'Entrate tot e finalizzati'!D9</f>
        <v>84</v>
      </c>
      <c r="D9" s="25">
        <f>+'Entrate tot e finalizzati'!E9-'Entrate tot e finalizzati'!F9</f>
        <v>66</v>
      </c>
      <c r="E9" s="25">
        <f>+'Entrate tot e finalizzati'!G9-'Entrate tot e finalizzati'!H9</f>
        <v>38</v>
      </c>
      <c r="F9" s="25">
        <f>+'Entrate tot e finalizzati'!I9-'Entrate tot e finalizzati'!J9</f>
        <v>13</v>
      </c>
      <c r="G9" s="25">
        <f>+'Entrate tot e finalizzati'!K9-'Entrate tot e finalizzati'!L9</f>
        <v>6</v>
      </c>
      <c r="H9" s="25">
        <f>+'Entrate tot e finalizzati'!M9-'Entrate tot e finalizzati'!N9</f>
        <v>8</v>
      </c>
      <c r="I9" s="25">
        <f>+'Entrate tot e finalizzati'!O9-'Entrate tot e finalizzati'!P9</f>
        <v>13</v>
      </c>
      <c r="J9" s="25">
        <f>+'Entrate tot e finalizzati'!Q9-'Entrate tot e finalizzati'!R9</f>
        <v>14</v>
      </c>
      <c r="K9" s="25">
        <f>+'Entrate tot e finalizzati'!S9-'Entrate tot e finalizzati'!T9</f>
        <v>7</v>
      </c>
      <c r="L9" s="25">
        <f>+'Entrate tot e finalizzati'!U9-'Entrate tot e finalizzati'!V9</f>
        <v>10</v>
      </c>
      <c r="M9" s="33"/>
      <c r="N9" s="33"/>
      <c r="O9" s="33"/>
      <c r="P9" s="33"/>
      <c r="Q9" s="33"/>
      <c r="R9" s="33"/>
      <c r="S9" s="33"/>
      <c r="T9" s="33"/>
    </row>
    <row r="10" spans="1:20" s="2" customFormat="1" ht="12.75">
      <c r="A10" s="68"/>
      <c r="B10" s="101" t="s">
        <v>59</v>
      </c>
      <c r="C10" s="19">
        <f>+'Entrate tot e finalizzati'!C10-'Entrate tot e finalizzati'!D10</f>
        <v>0</v>
      </c>
      <c r="D10" s="42">
        <f>+'Entrate tot e finalizzati'!E10-'Entrate tot e finalizzati'!F10</f>
        <v>0</v>
      </c>
      <c r="E10" s="31">
        <f>+'Entrate tot e finalizzati'!G10-'Entrate tot e finalizzati'!H10</f>
        <v>0</v>
      </c>
      <c r="F10" s="42">
        <f>+'Entrate tot e finalizzati'!I10-'Entrate tot e finalizzati'!J10</f>
        <v>0</v>
      </c>
      <c r="G10" s="31">
        <f>+'Entrate tot e finalizzati'!K10-'Entrate tot e finalizzati'!L10</f>
        <v>0</v>
      </c>
      <c r="H10" s="42">
        <f>+'Entrate tot e finalizzati'!M10-'Entrate tot e finalizzati'!N10</f>
        <v>0</v>
      </c>
      <c r="I10" s="31">
        <f>+'Entrate tot e finalizzati'!O10-'Entrate tot e finalizzati'!P10</f>
        <v>0</v>
      </c>
      <c r="J10" s="42">
        <f>+'Entrate tot e finalizzati'!Q10-'Entrate tot e finalizzati'!R10</f>
        <v>0</v>
      </c>
      <c r="K10" s="31">
        <f>+'Entrate tot e finalizzati'!S10-'Entrate tot e finalizzati'!T10</f>
        <v>0</v>
      </c>
      <c r="L10" s="55">
        <f>+'Entrate tot e finalizzati'!U10-'Entrate tot e finalizzati'!V10</f>
        <v>0</v>
      </c>
      <c r="M10" s="33"/>
      <c r="N10" s="33"/>
      <c r="O10" s="33"/>
      <c r="P10" s="33"/>
      <c r="Q10" s="33"/>
      <c r="R10" s="33"/>
      <c r="S10" s="33"/>
      <c r="T10" s="33"/>
    </row>
    <row r="11" spans="1:20" s="2" customFormat="1" ht="12.75">
      <c r="A11" s="68"/>
      <c r="B11" s="42" t="s">
        <v>85</v>
      </c>
      <c r="C11" s="19">
        <f>+'Entrate tot e finalizzati'!C11-'Entrate tot e finalizzati'!D11</f>
        <v>0</v>
      </c>
      <c r="D11" s="42">
        <f>+'Entrate tot e finalizzati'!E11-'Entrate tot e finalizzati'!F11</f>
        <v>0</v>
      </c>
      <c r="E11" s="31">
        <f>+'Entrate tot e finalizzati'!G11-'Entrate tot e finalizzati'!H11</f>
        <v>0</v>
      </c>
      <c r="F11" s="42">
        <f>+'Entrate tot e finalizzati'!I11-'Entrate tot e finalizzati'!J11</f>
        <v>0</v>
      </c>
      <c r="G11" s="31">
        <f>+'Entrate tot e finalizzati'!K11-'Entrate tot e finalizzati'!L11</f>
        <v>0</v>
      </c>
      <c r="H11" s="42">
        <f>+'Entrate tot e finalizzati'!M11-'Entrate tot e finalizzati'!N11</f>
        <v>0</v>
      </c>
      <c r="I11" s="31">
        <f>+'Entrate tot e finalizzati'!O11-'Entrate tot e finalizzati'!P11</f>
        <v>0</v>
      </c>
      <c r="J11" s="42">
        <f>+'Entrate tot e finalizzati'!Q11-'Entrate tot e finalizzati'!R11</f>
        <v>0</v>
      </c>
      <c r="K11" s="31">
        <f>+'Entrate tot e finalizzati'!S11-'Entrate tot e finalizzati'!T11</f>
        <v>0</v>
      </c>
      <c r="L11" s="55">
        <f>+'Entrate tot e finalizzati'!U11-'Entrate tot e finalizzati'!V11</f>
        <v>0</v>
      </c>
      <c r="M11" s="93"/>
      <c r="N11" s="93"/>
      <c r="O11" s="93"/>
      <c r="P11" s="93"/>
      <c r="Q11" s="93"/>
      <c r="R11" s="93"/>
      <c r="S11" s="93"/>
      <c r="T11" s="93"/>
    </row>
    <row r="12" spans="1:20" s="2" customFormat="1" ht="12.75">
      <c r="A12" s="68"/>
      <c r="B12" s="101" t="s">
        <v>65</v>
      </c>
      <c r="C12" s="19">
        <f>+'Entrate tot e finalizzati'!C12-'Entrate tot e finalizzati'!D12</f>
        <v>0</v>
      </c>
      <c r="D12" s="42">
        <f>+'Entrate tot e finalizzati'!E12-'Entrate tot e finalizzati'!F12</f>
        <v>0</v>
      </c>
      <c r="E12" s="31">
        <f>+'Entrate tot e finalizzati'!G12-'Entrate tot e finalizzati'!H12</f>
        <v>0</v>
      </c>
      <c r="F12" s="42">
        <f>+'Entrate tot e finalizzati'!I12-'Entrate tot e finalizzati'!J12</f>
        <v>0</v>
      </c>
      <c r="G12" s="31">
        <f>+'Entrate tot e finalizzati'!K12-'Entrate tot e finalizzati'!L12</f>
        <v>0</v>
      </c>
      <c r="H12" s="42">
        <f>+'Entrate tot e finalizzati'!M12-'Entrate tot e finalizzati'!N12</f>
        <v>0</v>
      </c>
      <c r="I12" s="31">
        <f>+'Entrate tot e finalizzati'!O12-'Entrate tot e finalizzati'!P12</f>
        <v>0</v>
      </c>
      <c r="J12" s="42">
        <f>+'Entrate tot e finalizzati'!Q12-'Entrate tot e finalizzati'!R12</f>
        <v>0</v>
      </c>
      <c r="K12" s="31">
        <f>+'Entrate tot e finalizzati'!S12-'Entrate tot e finalizzati'!T12</f>
        <v>0</v>
      </c>
      <c r="L12" s="55">
        <f>+'Entrate tot e finalizzati'!U12-'Entrate tot e finalizzati'!V12</f>
        <v>0</v>
      </c>
      <c r="M12" s="93"/>
      <c r="N12" s="93"/>
      <c r="O12" s="93"/>
      <c r="P12" s="93"/>
      <c r="Q12" s="93"/>
      <c r="R12" s="93"/>
      <c r="S12" s="93"/>
      <c r="T12" s="93"/>
    </row>
    <row r="13" spans="1:20" s="2" customFormat="1" ht="12.75">
      <c r="A13" s="68"/>
      <c r="B13" s="42" t="s">
        <v>60</v>
      </c>
      <c r="C13" s="31">
        <f>+'Entrate tot e finalizzati'!C13-'Entrate tot e finalizzati'!D13</f>
        <v>0</v>
      </c>
      <c r="D13" s="42">
        <f>+'Entrate tot e finalizzati'!E13-'Entrate tot e finalizzati'!F13</f>
        <v>0</v>
      </c>
      <c r="E13" s="31">
        <f>+'Entrate tot e finalizzati'!G13-'Entrate tot e finalizzati'!H13</f>
        <v>0</v>
      </c>
      <c r="F13" s="42">
        <f>+'Entrate tot e finalizzati'!I13-'Entrate tot e finalizzati'!J13</f>
        <v>0</v>
      </c>
      <c r="G13" s="30">
        <f>+'Entrate tot e finalizzati'!K13-'Entrate tot e finalizzati'!L13</f>
        <v>0</v>
      </c>
      <c r="H13" s="31">
        <f>+'Entrate tot e finalizzati'!M13-'Entrate tot e finalizzati'!N13</f>
        <v>0</v>
      </c>
      <c r="I13" s="31">
        <f>+'Entrate tot e finalizzati'!O13-'Entrate tot e finalizzati'!P13</f>
        <v>0</v>
      </c>
      <c r="J13" s="42">
        <f>+'Entrate tot e finalizzati'!Q13-'Entrate tot e finalizzati'!R13</f>
        <v>0</v>
      </c>
      <c r="K13" s="30">
        <f>+'Entrate tot e finalizzati'!S13-'Entrate tot e finalizzati'!T13</f>
        <v>0</v>
      </c>
      <c r="L13" s="31">
        <f>+'Entrate tot e finalizzati'!U13-'Entrate tot e finalizzati'!V13</f>
        <v>0</v>
      </c>
      <c r="M13" s="94"/>
      <c r="N13" s="94"/>
      <c r="O13" s="94"/>
      <c r="P13" s="94"/>
      <c r="Q13" s="94"/>
      <c r="R13" s="94"/>
      <c r="S13" s="94"/>
      <c r="T13" s="94"/>
    </row>
    <row r="14" spans="1:20" s="2" customFormat="1" ht="12.75">
      <c r="A14" s="12"/>
      <c r="B14" s="103" t="s">
        <v>17</v>
      </c>
      <c r="C14" s="19">
        <f>+'Entrate tot e finalizzati'!C14-'Entrate tot e finalizzati'!D14</f>
        <v>84</v>
      </c>
      <c r="D14" s="17">
        <f>+'Entrate tot e finalizzati'!E14-'Entrate tot e finalizzati'!F14</f>
        <v>66</v>
      </c>
      <c r="E14" s="19">
        <f>+'Entrate tot e finalizzati'!G14-'Entrate tot e finalizzati'!H14</f>
        <v>38</v>
      </c>
      <c r="F14" s="17">
        <f>+'Entrate tot e finalizzati'!I14-'Entrate tot e finalizzati'!J14</f>
        <v>13</v>
      </c>
      <c r="G14" s="19">
        <f>+'Entrate tot e finalizzati'!K14-'Entrate tot e finalizzati'!L14</f>
        <v>6</v>
      </c>
      <c r="H14" s="17">
        <f>+'Entrate tot e finalizzati'!M14-'Entrate tot e finalizzati'!N14</f>
        <v>8</v>
      </c>
      <c r="I14" s="19">
        <f>+'Entrate tot e finalizzati'!O14-'Entrate tot e finalizzati'!P14</f>
        <v>13</v>
      </c>
      <c r="J14" s="17">
        <f>+'Entrate tot e finalizzati'!Q14-'Entrate tot e finalizzati'!R14</f>
        <v>14</v>
      </c>
      <c r="K14" s="19">
        <f>+'Entrate tot e finalizzati'!S14-'Entrate tot e finalizzati'!T14</f>
        <v>7</v>
      </c>
      <c r="L14" s="17">
        <f>+'Entrate tot e finalizzati'!U14-'Entrate tot e finalizzati'!V14</f>
        <v>10</v>
      </c>
      <c r="M14" s="91"/>
      <c r="N14" s="29"/>
      <c r="O14" s="91"/>
      <c r="P14" s="92"/>
      <c r="Q14" s="91"/>
      <c r="R14" s="92"/>
      <c r="S14" s="91"/>
      <c r="T14" s="92"/>
    </row>
    <row r="15" spans="1:20" s="2" customFormat="1" ht="12.75">
      <c r="A15" s="12"/>
      <c r="B15" s="103" t="s">
        <v>95</v>
      </c>
      <c r="C15" s="19">
        <f>+'Entrate tot e finalizzati'!C15-'Entrate tot e finalizzati'!D15</f>
        <v>0</v>
      </c>
      <c r="D15" s="17">
        <f>+'Entrate tot e finalizzati'!E15-'Entrate tot e finalizzati'!F15</f>
        <v>0</v>
      </c>
      <c r="E15" s="19">
        <f>+'Entrate tot e finalizzati'!G15-'Entrate tot e finalizzati'!H15</f>
        <v>0</v>
      </c>
      <c r="F15" s="17">
        <f>+'Entrate tot e finalizzati'!I15-'Entrate tot e finalizzati'!J15</f>
        <v>0</v>
      </c>
      <c r="G15" s="19">
        <f>+'Entrate tot e finalizzati'!K15-'Entrate tot e finalizzati'!L15</f>
        <v>0</v>
      </c>
      <c r="H15" s="17">
        <f>+'Entrate tot e finalizzati'!M15-'Entrate tot e finalizzati'!N15</f>
        <v>0</v>
      </c>
      <c r="I15" s="19">
        <f>+'Entrate tot e finalizzati'!O15-'Entrate tot e finalizzati'!P15</f>
        <v>0</v>
      </c>
      <c r="J15" s="17">
        <f>+'Entrate tot e finalizzati'!Q15-'Entrate tot e finalizzati'!R15</f>
        <v>0</v>
      </c>
      <c r="K15" s="19">
        <f>+'Entrate tot e finalizzati'!S15-'Entrate tot e finalizzati'!T15</f>
        <v>0</v>
      </c>
      <c r="L15" s="17">
        <f>+'Entrate tot e finalizzati'!U15-'Entrate tot e finalizzati'!V15</f>
        <v>0</v>
      </c>
      <c r="M15" s="33"/>
      <c r="N15" s="33"/>
      <c r="O15" s="33"/>
      <c r="P15" s="33"/>
      <c r="Q15" s="33"/>
      <c r="R15" s="33"/>
      <c r="S15" s="33"/>
      <c r="T15" s="33"/>
    </row>
    <row r="16" spans="1:20" s="2" customFormat="1" ht="12.75">
      <c r="A16" s="23" t="s">
        <v>142</v>
      </c>
      <c r="B16" s="109"/>
      <c r="C16" s="25">
        <f>+'Entrate tot e finalizzati'!C16-'Entrate tot e finalizzati'!D16</f>
        <v>13736</v>
      </c>
      <c r="D16" s="25">
        <f>+'Entrate tot e finalizzati'!E16-'Entrate tot e finalizzati'!F16</f>
        <v>15608</v>
      </c>
      <c r="E16" s="25">
        <f>+'Entrate tot e finalizzati'!G16-'Entrate tot e finalizzati'!H16</f>
        <v>18402</v>
      </c>
      <c r="F16" s="25">
        <f>+'Entrate tot e finalizzati'!I16-'Entrate tot e finalizzati'!J16</f>
        <v>25804</v>
      </c>
      <c r="G16" s="25">
        <f>+'Entrate tot e finalizzati'!K16-'Entrate tot e finalizzati'!L16</f>
        <v>30478</v>
      </c>
      <c r="H16" s="25">
        <f>+'Entrate tot e finalizzati'!M16-'Entrate tot e finalizzati'!N16</f>
        <v>44489</v>
      </c>
      <c r="I16" s="25">
        <f>+'Entrate tot e finalizzati'!O16-'Entrate tot e finalizzati'!P16</f>
        <v>50029</v>
      </c>
      <c r="J16" s="25">
        <f>+'Entrate tot e finalizzati'!Q16-'Entrate tot e finalizzati'!R16</f>
        <v>40003</v>
      </c>
      <c r="K16" s="25">
        <f>+'Entrate tot e finalizzati'!S16-'Entrate tot e finalizzati'!T16</f>
        <v>38946</v>
      </c>
      <c r="L16" s="25">
        <f>+'Entrate tot e finalizzati'!U16-'Entrate tot e finalizzati'!V16</f>
        <v>38663</v>
      </c>
      <c r="M16" s="33"/>
      <c r="N16" s="33"/>
      <c r="O16" s="33"/>
      <c r="P16" s="33"/>
      <c r="Q16" s="33"/>
      <c r="R16" s="33"/>
      <c r="S16" s="33"/>
      <c r="T16" s="33"/>
    </row>
    <row r="17" spans="1:20" s="45" customFormat="1" ht="12.75">
      <c r="A17" s="53"/>
      <c r="B17" s="101" t="s">
        <v>34</v>
      </c>
      <c r="C17" s="19">
        <f>+'Entrate tot e finalizzati'!C17-'Entrate tot e finalizzati'!D17</f>
        <v>31</v>
      </c>
      <c r="D17" s="17">
        <f>+'Entrate tot e finalizzati'!E17-'Entrate tot e finalizzati'!F17</f>
        <v>8</v>
      </c>
      <c r="E17" s="19">
        <f>+'Entrate tot e finalizzati'!G17-'Entrate tot e finalizzati'!H17</f>
        <v>3</v>
      </c>
      <c r="F17" s="17">
        <f>+'Entrate tot e finalizzati'!I17-'Entrate tot e finalizzati'!J17</f>
        <v>0</v>
      </c>
      <c r="G17" s="19">
        <f>+'Entrate tot e finalizzati'!K17-'Entrate tot e finalizzati'!L17</f>
        <v>8</v>
      </c>
      <c r="H17" s="17">
        <f>+'Entrate tot e finalizzati'!M17-'Entrate tot e finalizzati'!N17</f>
        <v>3</v>
      </c>
      <c r="I17" s="19">
        <f>+'Entrate tot e finalizzati'!O17-'Entrate tot e finalizzati'!P17</f>
        <v>0</v>
      </c>
      <c r="J17" s="17">
        <f>+'Entrate tot e finalizzati'!Q17-'Entrate tot e finalizzati'!R17</f>
        <v>0</v>
      </c>
      <c r="K17" s="19">
        <f>+'Entrate tot e finalizzati'!S17-'Entrate tot e finalizzati'!T17</f>
        <v>0</v>
      </c>
      <c r="L17" s="17">
        <f>+'Entrate tot e finalizzati'!U17-'Entrate tot e finalizzati'!V17</f>
        <v>0</v>
      </c>
      <c r="M17" s="74"/>
      <c r="N17" s="74"/>
      <c r="O17" s="74"/>
      <c r="P17" s="74"/>
      <c r="Q17" s="74"/>
      <c r="R17" s="74"/>
      <c r="S17" s="74"/>
      <c r="T17" s="74"/>
    </row>
    <row r="18" spans="1:20" s="45" customFormat="1" ht="12.75">
      <c r="A18" s="53"/>
      <c r="B18" s="42" t="s">
        <v>15</v>
      </c>
      <c r="C18" s="19">
        <f>+'Entrate tot e finalizzati'!C18-'Entrate tot e finalizzati'!D18</f>
        <v>0</v>
      </c>
      <c r="D18" s="17">
        <f>+'Entrate tot e finalizzati'!E18-'Entrate tot e finalizzati'!F18</f>
        <v>0</v>
      </c>
      <c r="E18" s="19">
        <f>+'Entrate tot e finalizzati'!G18-'Entrate tot e finalizzati'!H18</f>
        <v>0</v>
      </c>
      <c r="F18" s="17">
        <f>+'Entrate tot e finalizzati'!I18-'Entrate tot e finalizzati'!J18</f>
        <v>0</v>
      </c>
      <c r="G18" s="19">
        <f>+'Entrate tot e finalizzati'!K18-'Entrate tot e finalizzati'!L18</f>
        <v>0</v>
      </c>
      <c r="H18" s="17">
        <f>+'Entrate tot e finalizzati'!M18-'Entrate tot e finalizzati'!N18</f>
        <v>0</v>
      </c>
      <c r="I18" s="19">
        <f>+'Entrate tot e finalizzati'!O18-'Entrate tot e finalizzati'!P18</f>
        <v>0</v>
      </c>
      <c r="J18" s="17">
        <f>+'Entrate tot e finalizzati'!Q18-'Entrate tot e finalizzati'!R18</f>
        <v>0</v>
      </c>
      <c r="K18" s="19">
        <f>+'Entrate tot e finalizzati'!S18-'Entrate tot e finalizzati'!T18</f>
        <v>0</v>
      </c>
      <c r="L18" s="17">
        <f>+'Entrate tot e finalizzati'!U18-'Entrate tot e finalizzati'!V18</f>
        <v>0</v>
      </c>
      <c r="M18" s="74"/>
      <c r="N18" s="74"/>
      <c r="O18" s="74"/>
      <c r="P18" s="74"/>
      <c r="Q18" s="74"/>
      <c r="R18" s="74"/>
      <c r="S18" s="74"/>
      <c r="T18" s="74"/>
    </row>
    <row r="19" spans="1:20" s="2" customFormat="1" ht="12.75">
      <c r="A19" s="53"/>
      <c r="B19" s="101" t="s">
        <v>65</v>
      </c>
      <c r="C19" s="19">
        <f>+'Entrate tot e finalizzati'!C19-'Entrate tot e finalizzati'!D19</f>
        <v>0</v>
      </c>
      <c r="D19" s="17">
        <f>+'Entrate tot e finalizzati'!E19-'Entrate tot e finalizzati'!F19</f>
        <v>0</v>
      </c>
      <c r="E19" s="19">
        <f>+'Entrate tot e finalizzati'!G19-'Entrate tot e finalizzati'!H19</f>
        <v>0</v>
      </c>
      <c r="F19" s="17">
        <f>+'Entrate tot e finalizzati'!I19-'Entrate tot e finalizzati'!J19</f>
        <v>0</v>
      </c>
      <c r="G19" s="19">
        <f>+'Entrate tot e finalizzati'!K19-'Entrate tot e finalizzati'!L19</f>
        <v>0</v>
      </c>
      <c r="H19" s="17">
        <f>+'Entrate tot e finalizzati'!M19-'Entrate tot e finalizzati'!N19</f>
        <v>0</v>
      </c>
      <c r="I19" s="19">
        <f>+'Entrate tot e finalizzati'!O19-'Entrate tot e finalizzati'!P19</f>
        <v>4</v>
      </c>
      <c r="J19" s="17">
        <f>+'Entrate tot e finalizzati'!Q19-'Entrate tot e finalizzati'!R19</f>
        <v>5</v>
      </c>
      <c r="K19" s="19">
        <f>+'Entrate tot e finalizzati'!S19-'Entrate tot e finalizzati'!T19</f>
        <v>0</v>
      </c>
      <c r="L19" s="17">
        <f>+'Entrate tot e finalizzati'!U19-'Entrate tot e finalizzati'!V19</f>
        <v>8</v>
      </c>
      <c r="M19" s="33"/>
      <c r="N19" s="33"/>
      <c r="O19" s="33"/>
      <c r="P19" s="33"/>
      <c r="Q19" s="33"/>
      <c r="R19" s="33"/>
      <c r="S19" s="33"/>
      <c r="T19" s="33"/>
    </row>
    <row r="20" spans="1:12" s="33" customFormat="1" ht="12.75">
      <c r="A20" s="14"/>
      <c r="B20" s="103" t="s">
        <v>26</v>
      </c>
      <c r="C20" s="19">
        <f>+'Entrate tot e finalizzati'!C20-'Entrate tot e finalizzati'!D20</f>
        <v>2</v>
      </c>
      <c r="D20" s="17">
        <f>+'Entrate tot e finalizzati'!E20-'Entrate tot e finalizzati'!F20</f>
        <v>3</v>
      </c>
      <c r="E20" s="19">
        <f>+'Entrate tot e finalizzati'!G20-'Entrate tot e finalizzati'!H20</f>
        <v>14</v>
      </c>
      <c r="F20" s="17">
        <f>+'Entrate tot e finalizzati'!I20-'Entrate tot e finalizzati'!J20</f>
        <v>1</v>
      </c>
      <c r="G20" s="19">
        <f>+'Entrate tot e finalizzati'!K20-'Entrate tot e finalizzati'!L20</f>
        <v>0</v>
      </c>
      <c r="H20" s="17">
        <f>+'Entrate tot e finalizzati'!M20-'Entrate tot e finalizzati'!N20</f>
        <v>0</v>
      </c>
      <c r="I20" s="19">
        <f>+'Entrate tot e finalizzati'!O20-'Entrate tot e finalizzati'!P20</f>
        <v>0</v>
      </c>
      <c r="J20" s="17">
        <f>+'Entrate tot e finalizzati'!Q20-'Entrate tot e finalizzati'!R20</f>
        <v>0</v>
      </c>
      <c r="K20" s="19">
        <f>+'Entrate tot e finalizzati'!S20-'Entrate tot e finalizzati'!T20</f>
        <v>0</v>
      </c>
      <c r="L20" s="17">
        <f>+'Entrate tot e finalizzati'!U20-'Entrate tot e finalizzati'!V20</f>
        <v>0</v>
      </c>
    </row>
    <row r="21" spans="1:20" s="2" customFormat="1" ht="12.75">
      <c r="A21" s="14"/>
      <c r="B21" s="103" t="s">
        <v>58</v>
      </c>
      <c r="C21" s="19">
        <f>+'Entrate tot e finalizzati'!C21-'Entrate tot e finalizzati'!D21</f>
        <v>1298</v>
      </c>
      <c r="D21" s="17">
        <f>+'Entrate tot e finalizzati'!E21-'Entrate tot e finalizzati'!F21</f>
        <v>1286</v>
      </c>
      <c r="E21" s="19">
        <f>+'Entrate tot e finalizzati'!G21-'Entrate tot e finalizzati'!H21</f>
        <v>1693</v>
      </c>
      <c r="F21" s="17">
        <f>+'Entrate tot e finalizzati'!I21-'Entrate tot e finalizzati'!J21</f>
        <v>2554</v>
      </c>
      <c r="G21" s="19">
        <f>+'Entrate tot e finalizzati'!K21-'Entrate tot e finalizzati'!L21</f>
        <v>3008</v>
      </c>
      <c r="H21" s="17">
        <f>+'Entrate tot e finalizzati'!M21-'Entrate tot e finalizzati'!N21</f>
        <v>5539</v>
      </c>
      <c r="I21" s="19">
        <f>+'Entrate tot e finalizzati'!O21-'Entrate tot e finalizzati'!P21</f>
        <v>4266</v>
      </c>
      <c r="J21" s="17">
        <f>+'Entrate tot e finalizzati'!Q21-'Entrate tot e finalizzati'!R21</f>
        <v>4128</v>
      </c>
      <c r="K21" s="19">
        <f>+'Entrate tot e finalizzati'!S21-'Entrate tot e finalizzati'!T21</f>
        <v>3404</v>
      </c>
      <c r="L21" s="17">
        <f>+'Entrate tot e finalizzati'!U21-'Entrate tot e finalizzati'!V21</f>
        <v>2722</v>
      </c>
      <c r="M21" s="33"/>
      <c r="N21" s="33"/>
      <c r="O21" s="33"/>
      <c r="P21" s="33"/>
      <c r="Q21" s="33"/>
      <c r="R21" s="33"/>
      <c r="S21" s="33"/>
      <c r="T21" s="33"/>
    </row>
    <row r="22" spans="1:12" s="33" customFormat="1" ht="12.75">
      <c r="A22" s="14"/>
      <c r="B22" s="101" t="s">
        <v>74</v>
      </c>
      <c r="C22" s="19">
        <f>+'Entrate tot e finalizzati'!C22-'Entrate tot e finalizzati'!D22</f>
        <v>1486</v>
      </c>
      <c r="D22" s="17">
        <f>+'Entrate tot e finalizzati'!E22-'Entrate tot e finalizzati'!F22</f>
        <v>1233</v>
      </c>
      <c r="E22" s="19">
        <f>+'Entrate tot e finalizzati'!G22-'Entrate tot e finalizzati'!H22</f>
        <v>1486</v>
      </c>
      <c r="F22" s="17">
        <f>+'Entrate tot e finalizzati'!I22-'Entrate tot e finalizzati'!J22</f>
        <v>1475</v>
      </c>
      <c r="G22" s="19">
        <f>+'Entrate tot e finalizzati'!K22-'Entrate tot e finalizzati'!L22</f>
        <v>1564</v>
      </c>
      <c r="H22" s="17">
        <f>+'Entrate tot e finalizzati'!M22-'Entrate tot e finalizzati'!N22</f>
        <v>1441</v>
      </c>
      <c r="I22" s="19">
        <f>+'Entrate tot e finalizzati'!O22-'Entrate tot e finalizzati'!P22</f>
        <v>1566</v>
      </c>
      <c r="J22" s="17">
        <f>+'Entrate tot e finalizzati'!Q22-'Entrate tot e finalizzati'!R22</f>
        <v>1116</v>
      </c>
      <c r="K22" s="19">
        <f>+'Entrate tot e finalizzati'!S22-'Entrate tot e finalizzati'!T22</f>
        <v>173</v>
      </c>
      <c r="L22" s="61">
        <f>+'Entrate tot e finalizzati'!U22-'Entrate tot e finalizzati'!V22</f>
        <v>331</v>
      </c>
    </row>
    <row r="23" spans="1:12" s="33" customFormat="1" ht="12.75">
      <c r="A23" s="14"/>
      <c r="B23" s="103" t="s">
        <v>16</v>
      </c>
      <c r="C23" s="19">
        <f>+'Entrate tot e finalizzati'!C23-'Entrate tot e finalizzati'!D23</f>
        <v>126</v>
      </c>
      <c r="D23" s="17">
        <f>+'Entrate tot e finalizzati'!E23-'Entrate tot e finalizzati'!F23</f>
        <v>99</v>
      </c>
      <c r="E23" s="19">
        <f>+'Entrate tot e finalizzati'!G23-'Entrate tot e finalizzati'!H23</f>
        <v>72</v>
      </c>
      <c r="F23" s="17">
        <f>+'Entrate tot e finalizzati'!I23-'Entrate tot e finalizzati'!J23</f>
        <v>73</v>
      </c>
      <c r="G23" s="19">
        <f>+'Entrate tot e finalizzati'!K23-'Entrate tot e finalizzati'!L23</f>
        <v>66</v>
      </c>
      <c r="H23" s="17">
        <f>+'Entrate tot e finalizzati'!M23-'Entrate tot e finalizzati'!N23</f>
        <v>75</v>
      </c>
      <c r="I23" s="19">
        <f>+'Entrate tot e finalizzati'!O23-'Entrate tot e finalizzati'!P23</f>
        <v>74</v>
      </c>
      <c r="J23" s="17">
        <f>+'Entrate tot e finalizzati'!Q23-'Entrate tot e finalizzati'!R23</f>
        <v>69</v>
      </c>
      <c r="K23" s="19">
        <f>+'Entrate tot e finalizzati'!S23-'Entrate tot e finalizzati'!T23</f>
        <v>59</v>
      </c>
      <c r="L23" s="17">
        <f>+'Entrate tot e finalizzati'!U23-'Entrate tot e finalizzati'!V23</f>
        <v>55</v>
      </c>
    </row>
    <row r="24" spans="1:20" s="2" customFormat="1" ht="12.75">
      <c r="A24" s="14"/>
      <c r="B24" s="17" t="s">
        <v>60</v>
      </c>
      <c r="C24" s="19">
        <f>+'Entrate tot e finalizzati'!C24-'Entrate tot e finalizzati'!D24</f>
        <v>0</v>
      </c>
      <c r="D24" s="17">
        <f>+'Entrate tot e finalizzati'!E24-'Entrate tot e finalizzati'!F24</f>
        <v>0</v>
      </c>
      <c r="E24" s="19">
        <f>+'Entrate tot e finalizzati'!G24-'Entrate tot e finalizzati'!H24</f>
        <v>0</v>
      </c>
      <c r="F24" s="17">
        <f>+'Entrate tot e finalizzati'!I24-'Entrate tot e finalizzati'!J24</f>
        <v>0</v>
      </c>
      <c r="G24" s="19">
        <f>+'Entrate tot e finalizzati'!K24-'Entrate tot e finalizzati'!L24</f>
        <v>0</v>
      </c>
      <c r="H24" s="17">
        <f>+'Entrate tot e finalizzati'!M24-'Entrate tot e finalizzati'!N24</f>
        <v>0</v>
      </c>
      <c r="I24" s="19">
        <f>+'Entrate tot e finalizzati'!O24-'Entrate tot e finalizzati'!P24</f>
        <v>0</v>
      </c>
      <c r="J24" s="17">
        <f>+'Entrate tot e finalizzati'!Q24-'Entrate tot e finalizzati'!R24</f>
        <v>0</v>
      </c>
      <c r="K24" s="19">
        <f>+'Entrate tot e finalizzati'!S24-'Entrate tot e finalizzati'!T24</f>
        <v>0</v>
      </c>
      <c r="L24" s="17">
        <f>+'Entrate tot e finalizzati'!U24-'Entrate tot e finalizzati'!V24</f>
        <v>0</v>
      </c>
      <c r="M24" s="33"/>
      <c r="N24" s="33"/>
      <c r="O24" s="33"/>
      <c r="P24" s="33"/>
      <c r="Q24" s="33"/>
      <c r="R24" s="33"/>
      <c r="S24" s="33"/>
      <c r="T24" s="33"/>
    </row>
    <row r="25" spans="1:20" s="2" customFormat="1" ht="12.75">
      <c r="A25" s="41"/>
      <c r="B25" s="103" t="s">
        <v>72</v>
      </c>
      <c r="C25" s="19">
        <f>+'Entrate tot e finalizzati'!C25-'Entrate tot e finalizzati'!D25</f>
        <v>9883</v>
      </c>
      <c r="D25" s="42">
        <f>+'Entrate tot e finalizzati'!E25-'Entrate tot e finalizzati'!F25</f>
        <v>11265</v>
      </c>
      <c r="E25" s="31">
        <f>+'Entrate tot e finalizzati'!G25-'Entrate tot e finalizzati'!H25</f>
        <v>13729</v>
      </c>
      <c r="F25" s="42">
        <f>+'Entrate tot e finalizzati'!I25-'Entrate tot e finalizzati'!J25</f>
        <v>19527</v>
      </c>
      <c r="G25" s="31">
        <f>+'Entrate tot e finalizzati'!K25-'Entrate tot e finalizzati'!L25</f>
        <v>20450</v>
      </c>
      <c r="H25" s="42">
        <f>+'Entrate tot e finalizzati'!M25-'Entrate tot e finalizzati'!N25</f>
        <v>26195</v>
      </c>
      <c r="I25" s="31">
        <f>+'Entrate tot e finalizzati'!O25-'Entrate tot e finalizzati'!P25</f>
        <v>31656</v>
      </c>
      <c r="J25" s="42">
        <f>+'Entrate tot e finalizzati'!Q25-'Entrate tot e finalizzati'!R25</f>
        <v>27056</v>
      </c>
      <c r="K25" s="31">
        <f>+'Entrate tot e finalizzati'!S25-'Entrate tot e finalizzati'!T25</f>
        <v>25498</v>
      </c>
      <c r="L25" s="42">
        <f>+'Entrate tot e finalizzati'!U25-'Entrate tot e finalizzati'!V25</f>
        <v>24838</v>
      </c>
      <c r="M25" s="93"/>
      <c r="N25" s="93"/>
      <c r="O25" s="93"/>
      <c r="P25" s="93"/>
      <c r="Q25" s="93"/>
      <c r="R25" s="93"/>
      <c r="S25" s="93"/>
      <c r="T25" s="93"/>
    </row>
    <row r="26" spans="1:20" s="2" customFormat="1" ht="12.75">
      <c r="A26" s="14"/>
      <c r="B26" s="103" t="s">
        <v>73</v>
      </c>
      <c r="C26" s="19">
        <f>+'Entrate tot e finalizzati'!C26-'Entrate tot e finalizzati'!D26</f>
        <v>910</v>
      </c>
      <c r="D26" s="17">
        <f>+'Entrate tot e finalizzati'!E26-'Entrate tot e finalizzati'!F26</f>
        <v>1713</v>
      </c>
      <c r="E26" s="19">
        <f>+'Entrate tot e finalizzati'!G26-'Entrate tot e finalizzati'!H26</f>
        <v>1405</v>
      </c>
      <c r="F26" s="17">
        <f>+'Entrate tot e finalizzati'!I26-'Entrate tot e finalizzati'!J26</f>
        <v>2174</v>
      </c>
      <c r="G26" s="19">
        <f>+'Entrate tot e finalizzati'!K26-'Entrate tot e finalizzati'!L26</f>
        <v>5382</v>
      </c>
      <c r="H26" s="17">
        <f>+'Entrate tot e finalizzati'!M26-'Entrate tot e finalizzati'!N26</f>
        <v>11236</v>
      </c>
      <c r="I26" s="19">
        <f>+'Entrate tot e finalizzati'!O26-'Entrate tot e finalizzati'!P26</f>
        <v>12463</v>
      </c>
      <c r="J26" s="17">
        <f>+'Entrate tot e finalizzati'!Q26-'Entrate tot e finalizzati'!R26</f>
        <v>7629</v>
      </c>
      <c r="K26" s="19">
        <f>+'Entrate tot e finalizzati'!S26-'Entrate tot e finalizzati'!T26</f>
        <v>9812</v>
      </c>
      <c r="L26" s="17">
        <f>+'Entrate tot e finalizzati'!U26-'Entrate tot e finalizzati'!V26</f>
        <v>10709</v>
      </c>
      <c r="M26" s="94"/>
      <c r="N26" s="94"/>
      <c r="O26" s="94"/>
      <c r="P26" s="94"/>
      <c r="Q26" s="94"/>
      <c r="R26" s="94"/>
      <c r="S26" s="94"/>
      <c r="T26" s="94"/>
    </row>
    <row r="27" spans="1:12" s="33" customFormat="1" ht="12.75">
      <c r="A27" s="82"/>
      <c r="B27" s="110" t="s">
        <v>75</v>
      </c>
      <c r="C27" s="20">
        <f>+'Entrate tot e finalizzati'!C27-'Entrate tot e finalizzati'!D27</f>
        <v>0</v>
      </c>
      <c r="D27" s="48">
        <f>+'Entrate tot e finalizzati'!E27-'Entrate tot e finalizzati'!F27</f>
        <v>1</v>
      </c>
      <c r="E27" s="32">
        <f>+'Entrate tot e finalizzati'!G27-'Entrate tot e finalizzati'!H27</f>
        <v>0</v>
      </c>
      <c r="F27" s="48">
        <f>+'Entrate tot e finalizzati'!I27-'Entrate tot e finalizzati'!J27</f>
        <v>0</v>
      </c>
      <c r="G27" s="32">
        <f>+'Entrate tot e finalizzati'!K27-'Entrate tot e finalizzati'!L27</f>
        <v>0</v>
      </c>
      <c r="H27" s="48">
        <f>+'Entrate tot e finalizzati'!M27-'Entrate tot e finalizzati'!N27</f>
        <v>0</v>
      </c>
      <c r="I27" s="32">
        <f>+'Entrate tot e finalizzati'!O27-'Entrate tot e finalizzati'!P27</f>
        <v>0</v>
      </c>
      <c r="J27" s="48">
        <f>+'Entrate tot e finalizzati'!Q27-'Entrate tot e finalizzati'!R27</f>
        <v>0</v>
      </c>
      <c r="K27" s="32">
        <f>+'Entrate tot e finalizzati'!S27-'Entrate tot e finalizzati'!T27</f>
        <v>0</v>
      </c>
      <c r="L27" s="48">
        <f>+'Entrate tot e finalizzati'!U27-'Entrate tot e finalizzati'!V27</f>
        <v>0</v>
      </c>
    </row>
    <row r="28" spans="1:20" s="2" customFormat="1" ht="12.75">
      <c r="A28" s="64" t="s">
        <v>118</v>
      </c>
      <c r="B28" s="112"/>
      <c r="C28" s="28">
        <f>+'Entrate tot e finalizzati'!C28-'Entrate tot e finalizzati'!D28</f>
        <v>0</v>
      </c>
      <c r="D28" s="28">
        <f>+'Entrate tot e finalizzati'!E28-'Entrate tot e finalizzati'!F28</f>
        <v>0</v>
      </c>
      <c r="E28" s="28">
        <f>+'Entrate tot e finalizzati'!G28-'Entrate tot e finalizzati'!H28</f>
        <v>0</v>
      </c>
      <c r="F28" s="28">
        <f>+'Entrate tot e finalizzati'!I28-'Entrate tot e finalizzati'!J28</f>
        <v>0</v>
      </c>
      <c r="G28" s="28">
        <f>+'Entrate tot e finalizzati'!K28-'Entrate tot e finalizzati'!L28</f>
        <v>0</v>
      </c>
      <c r="H28" s="28">
        <f>+'Entrate tot e finalizzati'!M28-'Entrate tot e finalizzati'!N28</f>
        <v>0</v>
      </c>
      <c r="I28" s="28">
        <f>+'Entrate tot e finalizzati'!O28-'Entrate tot e finalizzati'!P28</f>
        <v>0</v>
      </c>
      <c r="J28" s="28">
        <f>+'Entrate tot e finalizzati'!Q28-'Entrate tot e finalizzati'!R28</f>
        <v>0</v>
      </c>
      <c r="K28" s="28">
        <f>+'Entrate tot e finalizzati'!S28-'Entrate tot e finalizzati'!T28</f>
        <v>0</v>
      </c>
      <c r="L28" s="28">
        <f>+'Entrate tot e finalizzati'!U28-'Entrate tot e finalizzati'!V28</f>
        <v>0</v>
      </c>
      <c r="M28" s="33"/>
      <c r="N28" s="33"/>
      <c r="O28" s="33"/>
      <c r="P28" s="33"/>
      <c r="Q28" s="33"/>
      <c r="R28" s="33"/>
      <c r="S28" s="33"/>
      <c r="T28" s="33"/>
    </row>
    <row r="29" spans="1:12" s="33" customFormat="1" ht="12.75">
      <c r="A29" s="43"/>
      <c r="B29" s="101" t="s">
        <v>95</v>
      </c>
      <c r="C29" s="19">
        <f>+'Entrate tot e finalizzati'!C29-'Entrate tot e finalizzati'!D29</f>
        <v>0</v>
      </c>
      <c r="D29" s="31">
        <f>+'Entrate tot e finalizzati'!E29-'Entrate tot e finalizzati'!F29</f>
        <v>0</v>
      </c>
      <c r="E29" s="50">
        <f>+'Entrate tot e finalizzati'!G29-'Entrate tot e finalizzati'!H29</f>
        <v>0</v>
      </c>
      <c r="F29" s="31">
        <f>+'Entrate tot e finalizzati'!I29-'Entrate tot e finalizzati'!J29</f>
        <v>0</v>
      </c>
      <c r="G29" s="60">
        <f>+'Entrate tot e finalizzati'!K29-'Entrate tot e finalizzati'!L29</f>
        <v>0</v>
      </c>
      <c r="H29" s="60">
        <f>+'Entrate tot e finalizzati'!M29-'Entrate tot e finalizzati'!N29</f>
        <v>0</v>
      </c>
      <c r="I29" s="60">
        <f>+'Entrate tot e finalizzati'!O29-'Entrate tot e finalizzati'!P29</f>
        <v>0</v>
      </c>
      <c r="J29" s="60">
        <f>+'Entrate tot e finalizzati'!Q29-'Entrate tot e finalizzati'!R29</f>
        <v>0</v>
      </c>
      <c r="K29" s="60">
        <f>+'Entrate tot e finalizzati'!S29-'Entrate tot e finalizzati'!T29</f>
        <v>0</v>
      </c>
      <c r="L29" s="60">
        <f>+'Entrate tot e finalizzati'!U29-'Entrate tot e finalizzati'!V29</f>
        <v>0</v>
      </c>
    </row>
    <row r="30" spans="1:20" s="2" customFormat="1" ht="12.75">
      <c r="A30" s="43"/>
      <c r="B30" s="101" t="s">
        <v>65</v>
      </c>
      <c r="C30" s="19">
        <f>+'Entrate tot e finalizzati'!C30-'Entrate tot e finalizzati'!D30</f>
        <v>0</v>
      </c>
      <c r="D30" s="31">
        <f>+'Entrate tot e finalizzati'!E30-'Entrate tot e finalizzati'!F30</f>
        <v>0</v>
      </c>
      <c r="E30" s="50">
        <f>+'Entrate tot e finalizzati'!G30-'Entrate tot e finalizzati'!H30</f>
        <v>0</v>
      </c>
      <c r="F30" s="31">
        <f>+'Entrate tot e finalizzati'!I30-'Entrate tot e finalizzati'!J30</f>
        <v>0</v>
      </c>
      <c r="G30" s="60">
        <f>+'Entrate tot e finalizzati'!K30-'Entrate tot e finalizzati'!L30</f>
        <v>0</v>
      </c>
      <c r="H30" s="60">
        <f>+'Entrate tot e finalizzati'!M30-'Entrate tot e finalizzati'!N30</f>
        <v>0</v>
      </c>
      <c r="I30" s="60">
        <f>+'Entrate tot e finalizzati'!O30-'Entrate tot e finalizzati'!P30</f>
        <v>0</v>
      </c>
      <c r="J30" s="60">
        <f>+'Entrate tot e finalizzati'!Q30-'Entrate tot e finalizzati'!R30</f>
        <v>0</v>
      </c>
      <c r="K30" s="60">
        <f>+'Entrate tot e finalizzati'!S30-'Entrate tot e finalizzati'!T30</f>
        <v>0</v>
      </c>
      <c r="L30" s="60">
        <f>+'Entrate tot e finalizzati'!U30-'Entrate tot e finalizzati'!V30</f>
        <v>0</v>
      </c>
      <c r="M30" s="33"/>
      <c r="N30" s="33"/>
      <c r="O30" s="33"/>
      <c r="P30" s="33"/>
      <c r="Q30" s="33"/>
      <c r="R30" s="33"/>
      <c r="S30" s="33"/>
      <c r="T30" s="33"/>
    </row>
    <row r="31" spans="1:12" s="33" customFormat="1" ht="12.75">
      <c r="A31" s="43"/>
      <c r="B31" s="17" t="s">
        <v>60</v>
      </c>
      <c r="C31" s="19">
        <f>+'Entrate tot e finalizzati'!C31-'Entrate tot e finalizzati'!D31</f>
        <v>0</v>
      </c>
      <c r="D31" s="31">
        <f>+'Entrate tot e finalizzati'!E31-'Entrate tot e finalizzati'!F31</f>
        <v>0</v>
      </c>
      <c r="E31" s="50">
        <f>+'Entrate tot e finalizzati'!G31-'Entrate tot e finalizzati'!H31</f>
        <v>0</v>
      </c>
      <c r="F31" s="31">
        <f>+'Entrate tot e finalizzati'!I31-'Entrate tot e finalizzati'!J31</f>
        <v>0</v>
      </c>
      <c r="G31" s="60">
        <f>+'Entrate tot e finalizzati'!K31-'Entrate tot e finalizzati'!L31</f>
        <v>0</v>
      </c>
      <c r="H31" s="60">
        <f>+'Entrate tot e finalizzati'!M31-'Entrate tot e finalizzati'!N31</f>
        <v>0</v>
      </c>
      <c r="I31" s="60">
        <f>+'Entrate tot e finalizzati'!O31-'Entrate tot e finalizzati'!P31</f>
        <v>0</v>
      </c>
      <c r="J31" s="60">
        <f>+'Entrate tot e finalizzati'!Q31-'Entrate tot e finalizzati'!R31</f>
        <v>0</v>
      </c>
      <c r="K31" s="60">
        <f>+'Entrate tot e finalizzati'!S31-'Entrate tot e finalizzati'!T31</f>
        <v>0</v>
      </c>
      <c r="L31" s="60">
        <f>+'Entrate tot e finalizzati'!U31-'Entrate tot e finalizzati'!V31</f>
        <v>0</v>
      </c>
    </row>
    <row r="32" spans="1:20" s="2" customFormat="1" ht="12.75">
      <c r="A32" s="43"/>
      <c r="B32" s="42" t="s">
        <v>15</v>
      </c>
      <c r="C32" s="19">
        <f>+'Entrate tot e finalizzati'!C32-'Entrate tot e finalizzati'!D32</f>
        <v>0</v>
      </c>
      <c r="D32" s="31">
        <f>+'Entrate tot e finalizzati'!E32-'Entrate tot e finalizzati'!F32</f>
        <v>0</v>
      </c>
      <c r="E32" s="60">
        <f>+'Entrate tot e finalizzati'!G32-'Entrate tot e finalizzati'!H32</f>
        <v>0</v>
      </c>
      <c r="F32" s="31">
        <f>+'Entrate tot e finalizzati'!I32-'Entrate tot e finalizzati'!J32</f>
        <v>0</v>
      </c>
      <c r="G32" s="60">
        <f>+'Entrate tot e finalizzati'!K32-'Entrate tot e finalizzati'!L32</f>
        <v>0</v>
      </c>
      <c r="H32" s="60">
        <f>+'Entrate tot e finalizzati'!M32-'Entrate tot e finalizzati'!N32</f>
        <v>0</v>
      </c>
      <c r="I32" s="60">
        <f>+'Entrate tot e finalizzati'!O32-'Entrate tot e finalizzati'!P32</f>
        <v>0</v>
      </c>
      <c r="J32" s="60">
        <f>+'Entrate tot e finalizzati'!Q32-'Entrate tot e finalizzati'!R32</f>
        <v>0</v>
      </c>
      <c r="K32" s="60">
        <f>+'Entrate tot e finalizzati'!S32-'Entrate tot e finalizzati'!T32</f>
        <v>0</v>
      </c>
      <c r="L32" s="60">
        <f>+'Entrate tot e finalizzati'!U32-'Entrate tot e finalizzati'!V32</f>
        <v>0</v>
      </c>
      <c r="M32" s="33"/>
      <c r="N32" s="33"/>
      <c r="O32" s="33"/>
      <c r="P32" s="33"/>
      <c r="Q32" s="33"/>
      <c r="R32" s="33"/>
      <c r="S32" s="33"/>
      <c r="T32" s="33"/>
    </row>
    <row r="33" spans="1:20" s="2" customFormat="1" ht="12.75">
      <c r="A33" s="23" t="s">
        <v>76</v>
      </c>
      <c r="B33" s="109"/>
      <c r="C33" s="25">
        <f>+'Entrate tot e finalizzati'!C33-'Entrate tot e finalizzati'!D33</f>
        <v>612</v>
      </c>
      <c r="D33" s="25">
        <f>+'Entrate tot e finalizzati'!E33-'Entrate tot e finalizzati'!F33</f>
        <v>63</v>
      </c>
      <c r="E33" s="25">
        <f>+'Entrate tot e finalizzati'!G33-'Entrate tot e finalizzati'!H33</f>
        <v>36</v>
      </c>
      <c r="F33" s="25">
        <f>+'Entrate tot e finalizzati'!I33-'Entrate tot e finalizzati'!J33</f>
        <v>36</v>
      </c>
      <c r="G33" s="25">
        <f>+'Entrate tot e finalizzati'!K33-'Entrate tot e finalizzati'!L33</f>
        <v>37</v>
      </c>
      <c r="H33" s="25">
        <f>+'Entrate tot e finalizzati'!M33-'Entrate tot e finalizzati'!N33</f>
        <v>38</v>
      </c>
      <c r="I33" s="25">
        <f>+'Entrate tot e finalizzati'!O33-'Entrate tot e finalizzati'!P33</f>
        <v>36</v>
      </c>
      <c r="J33" s="25">
        <f>+'Entrate tot e finalizzati'!Q33-'Entrate tot e finalizzati'!R33</f>
        <v>32</v>
      </c>
      <c r="K33" s="25">
        <f>+'Entrate tot e finalizzati'!S33-'Entrate tot e finalizzati'!T33</f>
        <v>37</v>
      </c>
      <c r="L33" s="25">
        <f>+'Entrate tot e finalizzati'!U33-'Entrate tot e finalizzati'!V33</f>
        <v>49</v>
      </c>
      <c r="M33" s="33"/>
      <c r="N33" s="33"/>
      <c r="O33" s="33"/>
      <c r="P33" s="33"/>
      <c r="Q33" s="33"/>
      <c r="R33" s="33"/>
      <c r="S33" s="33"/>
      <c r="T33" s="33"/>
    </row>
    <row r="34" spans="1:20" s="2" customFormat="1" ht="12.75">
      <c r="A34" s="68"/>
      <c r="B34" s="17" t="s">
        <v>12</v>
      </c>
      <c r="C34" s="19">
        <f>+'Entrate tot e finalizzati'!C34-'Entrate tot e finalizzati'!D34</f>
        <v>552</v>
      </c>
      <c r="D34" s="42">
        <f>+'Entrate tot e finalizzati'!E34-'Entrate tot e finalizzati'!F34</f>
        <v>0</v>
      </c>
      <c r="E34" s="31">
        <f>+'Entrate tot e finalizzati'!G34-'Entrate tot e finalizzati'!H34</f>
        <v>0</v>
      </c>
      <c r="F34" s="42">
        <f>+'Entrate tot e finalizzati'!I34-'Entrate tot e finalizzati'!J34</f>
        <v>0</v>
      </c>
      <c r="G34" s="31">
        <f>+'Entrate tot e finalizzati'!K34-'Entrate tot e finalizzati'!L34</f>
        <v>0</v>
      </c>
      <c r="H34" s="42">
        <f>+'Entrate tot e finalizzati'!M34-'Entrate tot e finalizzati'!N34</f>
        <v>0</v>
      </c>
      <c r="I34" s="31">
        <f>+'Entrate tot e finalizzati'!O34-'Entrate tot e finalizzati'!P34</f>
        <v>0</v>
      </c>
      <c r="J34" s="42">
        <f>+'Entrate tot e finalizzati'!Q34-'Entrate tot e finalizzati'!R34</f>
        <v>0</v>
      </c>
      <c r="K34" s="31">
        <f>+'Entrate tot e finalizzati'!S34-'Entrate tot e finalizzati'!T34</f>
        <v>0</v>
      </c>
      <c r="L34" s="42">
        <f>+'Entrate tot e finalizzati'!U34-'Entrate tot e finalizzati'!V34</f>
        <v>0</v>
      </c>
      <c r="M34" s="33"/>
      <c r="N34" s="33"/>
      <c r="O34" s="33"/>
      <c r="P34" s="33"/>
      <c r="Q34" s="33"/>
      <c r="R34" s="33"/>
      <c r="S34" s="33"/>
      <c r="T34" s="33"/>
    </row>
    <row r="35" spans="1:20" s="2" customFormat="1" ht="12.75">
      <c r="A35" s="68"/>
      <c r="B35" s="17" t="s">
        <v>60</v>
      </c>
      <c r="C35" s="19">
        <f>+'Entrate tot e finalizzati'!C35-'Entrate tot e finalizzati'!D35</f>
        <v>0</v>
      </c>
      <c r="D35" s="42">
        <f>+'Entrate tot e finalizzati'!E35-'Entrate tot e finalizzati'!F35</f>
        <v>0</v>
      </c>
      <c r="E35" s="31">
        <f>+'Entrate tot e finalizzati'!G35-'Entrate tot e finalizzati'!H35</f>
        <v>0</v>
      </c>
      <c r="F35" s="42">
        <f>+'Entrate tot e finalizzati'!I35-'Entrate tot e finalizzati'!J35</f>
        <v>0</v>
      </c>
      <c r="G35" s="31">
        <f>+'Entrate tot e finalizzati'!K35-'Entrate tot e finalizzati'!L35</f>
        <v>0</v>
      </c>
      <c r="H35" s="42">
        <f>+'Entrate tot e finalizzati'!M35-'Entrate tot e finalizzati'!N35</f>
        <v>0</v>
      </c>
      <c r="I35" s="31">
        <f>+'Entrate tot e finalizzati'!O35-'Entrate tot e finalizzati'!P35</f>
        <v>0</v>
      </c>
      <c r="J35" s="42">
        <f>+'Entrate tot e finalizzati'!Q35-'Entrate tot e finalizzati'!R35</f>
        <v>0</v>
      </c>
      <c r="K35" s="31">
        <f>+'Entrate tot e finalizzati'!S35-'Entrate tot e finalizzati'!T35</f>
        <v>0</v>
      </c>
      <c r="L35" s="42">
        <f>+'Entrate tot e finalizzati'!U35-'Entrate tot e finalizzati'!V35</f>
        <v>0</v>
      </c>
      <c r="M35" s="33"/>
      <c r="N35" s="33"/>
      <c r="O35" s="33"/>
      <c r="P35" s="33"/>
      <c r="Q35" s="33"/>
      <c r="R35" s="33"/>
      <c r="S35" s="33"/>
      <c r="T35" s="33"/>
    </row>
    <row r="36" spans="1:20" s="2" customFormat="1" ht="12.75">
      <c r="A36" s="12"/>
      <c r="B36" s="17" t="s">
        <v>18</v>
      </c>
      <c r="C36" s="19">
        <f>+'Entrate tot e finalizzati'!C36-'Entrate tot e finalizzati'!D36</f>
        <v>60</v>
      </c>
      <c r="D36" s="17">
        <f>+'Entrate tot e finalizzati'!E36-'Entrate tot e finalizzati'!F36</f>
        <v>63</v>
      </c>
      <c r="E36" s="19">
        <f>+'Entrate tot e finalizzati'!G36-'Entrate tot e finalizzati'!H36</f>
        <v>36</v>
      </c>
      <c r="F36" s="17">
        <f>+'Entrate tot e finalizzati'!I36-'Entrate tot e finalizzati'!J36</f>
        <v>36</v>
      </c>
      <c r="G36" s="19">
        <f>+'Entrate tot e finalizzati'!K36-'Entrate tot e finalizzati'!L36</f>
        <v>37</v>
      </c>
      <c r="H36" s="17">
        <f>+'Entrate tot e finalizzati'!M36-'Entrate tot e finalizzati'!N36</f>
        <v>38</v>
      </c>
      <c r="I36" s="19">
        <f>+'Entrate tot e finalizzati'!O36-'Entrate tot e finalizzati'!P36</f>
        <v>36</v>
      </c>
      <c r="J36" s="17">
        <f>+'Entrate tot e finalizzati'!Q36-'Entrate tot e finalizzati'!R36</f>
        <v>32</v>
      </c>
      <c r="K36" s="19">
        <f>+'Entrate tot e finalizzati'!S36-'Entrate tot e finalizzati'!T36</f>
        <v>37</v>
      </c>
      <c r="L36" s="17">
        <f>+'Entrate tot e finalizzati'!U36-'Entrate tot e finalizzati'!V36</f>
        <v>49</v>
      </c>
      <c r="M36" s="33"/>
      <c r="N36" s="33"/>
      <c r="O36" s="33"/>
      <c r="P36" s="33"/>
      <c r="Q36" s="33"/>
      <c r="R36" s="33"/>
      <c r="S36" s="33"/>
      <c r="T36" s="33"/>
    </row>
    <row r="37" spans="1:20" s="2" customFormat="1" ht="12.75">
      <c r="A37" s="23" t="s">
        <v>117</v>
      </c>
      <c r="B37" s="109"/>
      <c r="C37" s="25">
        <f>+'Entrate tot e finalizzati'!C37-'Entrate tot e finalizzati'!D37</f>
        <v>21</v>
      </c>
      <c r="D37" s="25">
        <f>+'Entrate tot e finalizzati'!E37-'Entrate tot e finalizzati'!F37</f>
        <v>0</v>
      </c>
      <c r="E37" s="25">
        <f>+'Entrate tot e finalizzati'!G37-'Entrate tot e finalizzati'!H37</f>
        <v>0</v>
      </c>
      <c r="F37" s="25">
        <f>+'Entrate tot e finalizzati'!I37-'Entrate tot e finalizzati'!J37</f>
        <v>0</v>
      </c>
      <c r="G37" s="25">
        <f>+'Entrate tot e finalizzati'!K37-'Entrate tot e finalizzati'!L37</f>
        <v>0</v>
      </c>
      <c r="H37" s="25">
        <f>+'Entrate tot e finalizzati'!M37-'Entrate tot e finalizzati'!N37</f>
        <v>10</v>
      </c>
      <c r="I37" s="25">
        <f>+'Entrate tot e finalizzati'!O37-'Entrate tot e finalizzati'!P37</f>
        <v>11</v>
      </c>
      <c r="J37" s="25">
        <f>+'Entrate tot e finalizzati'!Q37-'Entrate tot e finalizzati'!R37</f>
        <v>5</v>
      </c>
      <c r="K37" s="25">
        <f>+'Entrate tot e finalizzati'!S37-'Entrate tot e finalizzati'!T37</f>
        <v>5</v>
      </c>
      <c r="L37" s="25">
        <f>+'Entrate tot e finalizzati'!U37-'Entrate tot e finalizzati'!V37</f>
        <v>6</v>
      </c>
      <c r="M37" s="33"/>
      <c r="N37" s="33"/>
      <c r="O37" s="33"/>
      <c r="P37" s="33"/>
      <c r="Q37" s="33"/>
      <c r="R37" s="33"/>
      <c r="S37" s="33"/>
      <c r="T37" s="33"/>
    </row>
    <row r="38" spans="1:20" s="2" customFormat="1" ht="12.75">
      <c r="A38" s="47"/>
      <c r="B38" s="102" t="s">
        <v>22</v>
      </c>
      <c r="C38" s="124">
        <f>+'Entrate tot e finalizzati'!C38-'Entrate tot e finalizzati'!D38</f>
        <v>21</v>
      </c>
      <c r="D38" s="125">
        <f>+'Entrate tot e finalizzati'!E38-'Entrate tot e finalizzati'!F38</f>
        <v>0</v>
      </c>
      <c r="E38" s="124">
        <f>+'Entrate tot e finalizzati'!G38-'Entrate tot e finalizzati'!H38</f>
        <v>0</v>
      </c>
      <c r="F38" s="125">
        <f>+'Entrate tot e finalizzati'!I38-'Entrate tot e finalizzati'!J38</f>
        <v>0</v>
      </c>
      <c r="G38" s="20">
        <f>+'Entrate tot e finalizzati'!K38-'Entrate tot e finalizzati'!L38</f>
        <v>0</v>
      </c>
      <c r="H38" s="18">
        <f>+'Entrate tot e finalizzati'!M38-'Entrate tot e finalizzati'!N38</f>
        <v>10</v>
      </c>
      <c r="I38" s="20">
        <f>+'Entrate tot e finalizzati'!O38-'Entrate tot e finalizzati'!P38</f>
        <v>11</v>
      </c>
      <c r="J38" s="18">
        <f>+'Entrate tot e finalizzati'!Q38-'Entrate tot e finalizzati'!R38</f>
        <v>5</v>
      </c>
      <c r="K38" s="20">
        <f>+'Entrate tot e finalizzati'!S38-'Entrate tot e finalizzati'!T38</f>
        <v>5</v>
      </c>
      <c r="L38" s="18">
        <f>+'Entrate tot e finalizzati'!U38-'Entrate tot e finalizzati'!V38</f>
        <v>6</v>
      </c>
      <c r="M38" s="33"/>
      <c r="N38" s="33"/>
      <c r="O38" s="33"/>
      <c r="P38" s="33"/>
      <c r="Q38" s="33"/>
      <c r="R38" s="33"/>
      <c r="S38" s="33"/>
      <c r="T38" s="33"/>
    </row>
    <row r="39" spans="1:20" s="2" customFormat="1" ht="12.75">
      <c r="A39" s="65" t="s">
        <v>119</v>
      </c>
      <c r="B39" s="107"/>
      <c r="C39" s="89">
        <f>+'Entrate tot e finalizzati'!C39-'Entrate tot e finalizzati'!D39</f>
        <v>17652</v>
      </c>
      <c r="D39" s="89">
        <f>+'Entrate tot e finalizzati'!E39-'Entrate tot e finalizzati'!F39</f>
        <v>18972</v>
      </c>
      <c r="E39" s="89">
        <f>+'Entrate tot e finalizzati'!G39-'Entrate tot e finalizzati'!H39</f>
        <v>17059</v>
      </c>
      <c r="F39" s="89">
        <f>+'Entrate tot e finalizzati'!I39-'Entrate tot e finalizzati'!J39</f>
        <v>16644</v>
      </c>
      <c r="G39" s="89">
        <f>+'Entrate tot e finalizzati'!K39-'Entrate tot e finalizzati'!L39</f>
        <v>17771</v>
      </c>
      <c r="H39" s="89">
        <f>+'Entrate tot e finalizzati'!M39-'Entrate tot e finalizzati'!N39</f>
        <v>17945</v>
      </c>
      <c r="I39" s="89">
        <f>+'Entrate tot e finalizzati'!O39-'Entrate tot e finalizzati'!P39</f>
        <v>18435</v>
      </c>
      <c r="J39" s="89">
        <f>+'Entrate tot e finalizzati'!Q39-'Entrate tot e finalizzati'!R39</f>
        <v>17302</v>
      </c>
      <c r="K39" s="89">
        <f>+'Entrate tot e finalizzati'!S39-'Entrate tot e finalizzati'!T39</f>
        <v>17222</v>
      </c>
      <c r="L39" s="89">
        <f>+'Entrate tot e finalizzati'!U39-'Entrate tot e finalizzati'!V39</f>
        <v>15621</v>
      </c>
      <c r="M39" s="33"/>
      <c r="N39" s="33"/>
      <c r="O39" s="33"/>
      <c r="P39" s="33"/>
      <c r="Q39" s="33"/>
      <c r="R39" s="33"/>
      <c r="S39" s="33"/>
      <c r="T39" s="33"/>
    </row>
    <row r="40" spans="1:20" s="2" customFormat="1" ht="12.75">
      <c r="A40" s="23" t="s">
        <v>138</v>
      </c>
      <c r="B40" s="109"/>
      <c r="C40" s="25">
        <f>+'Entrate tot e finalizzati'!C40-'Entrate tot e finalizzati'!D40</f>
        <v>10</v>
      </c>
      <c r="D40" s="25">
        <f>+'Entrate tot e finalizzati'!E40-'Entrate tot e finalizzati'!F40</f>
        <v>10</v>
      </c>
      <c r="E40" s="25">
        <f>+'Entrate tot e finalizzati'!G40-'Entrate tot e finalizzati'!H40</f>
        <v>12</v>
      </c>
      <c r="F40" s="25">
        <f>+'Entrate tot e finalizzati'!I40-'Entrate tot e finalizzati'!J40</f>
        <v>10</v>
      </c>
      <c r="G40" s="25">
        <f>+'Entrate tot e finalizzati'!K40-'Entrate tot e finalizzati'!L40</f>
        <v>11</v>
      </c>
      <c r="H40" s="25">
        <f>+'Entrate tot e finalizzati'!M40-'Entrate tot e finalizzati'!N40</f>
        <v>0</v>
      </c>
      <c r="I40" s="25">
        <f>+'Entrate tot e finalizzati'!O40-'Entrate tot e finalizzati'!P40</f>
        <v>0</v>
      </c>
      <c r="J40" s="25">
        <f>+'Entrate tot e finalizzati'!Q40-'Entrate tot e finalizzati'!R40</f>
        <v>0</v>
      </c>
      <c r="K40" s="25">
        <f>+'Entrate tot e finalizzati'!S40-'Entrate tot e finalizzati'!T40</f>
        <v>0</v>
      </c>
      <c r="L40" s="25">
        <f>+'Entrate tot e finalizzati'!U40-'Entrate tot e finalizzati'!V40</f>
        <v>0</v>
      </c>
      <c r="M40" s="33"/>
      <c r="N40" s="33"/>
      <c r="O40" s="33"/>
      <c r="P40" s="33"/>
      <c r="Q40" s="33"/>
      <c r="R40" s="33"/>
      <c r="S40" s="33"/>
      <c r="T40" s="33"/>
    </row>
    <row r="41" spans="1:20" s="2" customFormat="1" ht="12.75">
      <c r="A41" s="43"/>
      <c r="B41" s="103" t="s">
        <v>58</v>
      </c>
      <c r="C41" s="31">
        <f>+'Entrate tot e finalizzati'!C41-'Entrate tot e finalizzati'!D41</f>
        <v>0</v>
      </c>
      <c r="D41" s="39">
        <f>+'Entrate tot e finalizzati'!E41-'Entrate tot e finalizzati'!F41</f>
        <v>0</v>
      </c>
      <c r="E41" s="30">
        <f>+'Entrate tot e finalizzati'!G41-'Entrate tot e finalizzati'!H41</f>
        <v>0</v>
      </c>
      <c r="F41" s="39">
        <f>+'Entrate tot e finalizzati'!I41-'Entrate tot e finalizzati'!J41</f>
        <v>0</v>
      </c>
      <c r="G41" s="30">
        <f>+'Entrate tot e finalizzati'!K41-'Entrate tot e finalizzati'!L41</f>
        <v>0</v>
      </c>
      <c r="H41" s="39">
        <f>+'Entrate tot e finalizzati'!M41-'Entrate tot e finalizzati'!N41</f>
        <v>0</v>
      </c>
      <c r="I41" s="30">
        <f>+'Entrate tot e finalizzati'!O41-'Entrate tot e finalizzati'!P41</f>
        <v>0</v>
      </c>
      <c r="J41" s="39">
        <f>+'Entrate tot e finalizzati'!Q41-'Entrate tot e finalizzati'!R41</f>
        <v>0</v>
      </c>
      <c r="K41" s="30">
        <f>+'Entrate tot e finalizzati'!S41-'Entrate tot e finalizzati'!T41</f>
        <v>0</v>
      </c>
      <c r="L41" s="39">
        <f>+'Entrate tot e finalizzati'!U41-'Entrate tot e finalizzati'!V41</f>
        <v>0</v>
      </c>
      <c r="M41" s="33"/>
      <c r="N41" s="33"/>
      <c r="O41" s="33"/>
      <c r="P41" s="33"/>
      <c r="Q41" s="33"/>
      <c r="R41" s="33"/>
      <c r="S41" s="33"/>
      <c r="T41" s="33"/>
    </row>
    <row r="42" spans="1:20" s="2" customFormat="1" ht="12.75">
      <c r="A42" s="43"/>
      <c r="B42" s="101" t="s">
        <v>57</v>
      </c>
      <c r="C42" s="31">
        <f>+'Entrate tot e finalizzati'!C42-'Entrate tot e finalizzati'!D42</f>
        <v>10</v>
      </c>
      <c r="D42" s="39">
        <f>+'Entrate tot e finalizzati'!E42-'Entrate tot e finalizzati'!F42</f>
        <v>10</v>
      </c>
      <c r="E42" s="30">
        <f>+'Entrate tot e finalizzati'!G42-'Entrate tot e finalizzati'!H42</f>
        <v>12</v>
      </c>
      <c r="F42" s="39">
        <f>+'Entrate tot e finalizzati'!I42-'Entrate tot e finalizzati'!J42</f>
        <v>10</v>
      </c>
      <c r="G42" s="30">
        <f>+'Entrate tot e finalizzati'!K42-'Entrate tot e finalizzati'!L42</f>
        <v>11</v>
      </c>
      <c r="H42" s="39">
        <f>+'Entrate tot e finalizzati'!M42-'Entrate tot e finalizzati'!N42</f>
        <v>0</v>
      </c>
      <c r="I42" s="30">
        <f>+'Entrate tot e finalizzati'!O42-'Entrate tot e finalizzati'!P42</f>
        <v>0</v>
      </c>
      <c r="J42" s="39">
        <f>+'Entrate tot e finalizzati'!Q42-'Entrate tot e finalizzati'!R42</f>
        <v>0</v>
      </c>
      <c r="K42" s="30">
        <f>+'Entrate tot e finalizzati'!S42-'Entrate tot e finalizzati'!T42</f>
        <v>0</v>
      </c>
      <c r="L42" s="39">
        <f>+'Entrate tot e finalizzati'!U42-'Entrate tot e finalizzati'!V42</f>
        <v>0</v>
      </c>
      <c r="M42" s="33"/>
      <c r="N42" s="33"/>
      <c r="O42" s="33"/>
      <c r="P42" s="33"/>
      <c r="Q42" s="33"/>
      <c r="R42" s="33"/>
      <c r="S42" s="33"/>
      <c r="T42" s="33"/>
    </row>
    <row r="43" spans="1:20" s="2" customFormat="1" ht="12.75">
      <c r="A43" s="23" t="s">
        <v>120</v>
      </c>
      <c r="B43" s="109"/>
      <c r="C43" s="25">
        <f>+'Entrate tot e finalizzati'!C43-'Entrate tot e finalizzati'!D43</f>
        <v>717</v>
      </c>
      <c r="D43" s="25">
        <f>+'Entrate tot e finalizzati'!E43-'Entrate tot e finalizzati'!F43</f>
        <v>734</v>
      </c>
      <c r="E43" s="25">
        <f>+'Entrate tot e finalizzati'!G43-'Entrate tot e finalizzati'!H43</f>
        <v>759</v>
      </c>
      <c r="F43" s="25">
        <f>+'Entrate tot e finalizzati'!I43-'Entrate tot e finalizzati'!J43</f>
        <v>681</v>
      </c>
      <c r="G43" s="25">
        <f>+'Entrate tot e finalizzati'!K43-'Entrate tot e finalizzati'!L43</f>
        <v>548</v>
      </c>
      <c r="H43" s="25">
        <f>+'Entrate tot e finalizzati'!M43-'Entrate tot e finalizzati'!N43</f>
        <v>1219</v>
      </c>
      <c r="I43" s="25">
        <f>+'Entrate tot e finalizzati'!O43-'Entrate tot e finalizzati'!P43</f>
        <v>1203</v>
      </c>
      <c r="J43" s="25">
        <f>+'Entrate tot e finalizzati'!Q43-'Entrate tot e finalizzati'!R43</f>
        <v>1192</v>
      </c>
      <c r="K43" s="25">
        <f>+'Entrate tot e finalizzati'!S43-'Entrate tot e finalizzati'!T43</f>
        <v>1166</v>
      </c>
      <c r="L43" s="25">
        <f>+'Entrate tot e finalizzati'!U43-'Entrate tot e finalizzati'!V43</f>
        <v>1182</v>
      </c>
      <c r="M43" s="33"/>
      <c r="N43" s="33"/>
      <c r="O43" s="33"/>
      <c r="P43" s="33"/>
      <c r="Q43" s="33"/>
      <c r="R43" s="33"/>
      <c r="S43" s="33"/>
      <c r="T43" s="33"/>
    </row>
    <row r="44" spans="1:20" s="2" customFormat="1" ht="12.75">
      <c r="A44" s="43"/>
      <c r="B44" s="42" t="s">
        <v>15</v>
      </c>
      <c r="C44" s="19">
        <f>+'Entrate tot e finalizzati'!C44-'Entrate tot e finalizzati'!D44</f>
        <v>0</v>
      </c>
      <c r="D44" s="39">
        <f>+'Entrate tot e finalizzati'!E44-'Entrate tot e finalizzati'!F44</f>
        <v>0</v>
      </c>
      <c r="E44" s="30">
        <f>+'Entrate tot e finalizzati'!G44-'Entrate tot e finalizzati'!H44</f>
        <v>0</v>
      </c>
      <c r="F44" s="39">
        <f>+'Entrate tot e finalizzati'!I44-'Entrate tot e finalizzati'!J44</f>
        <v>0</v>
      </c>
      <c r="G44" s="30">
        <f>+'Entrate tot e finalizzati'!K44-'Entrate tot e finalizzati'!L44</f>
        <v>0</v>
      </c>
      <c r="H44" s="39">
        <f>+'Entrate tot e finalizzati'!M44-'Entrate tot e finalizzati'!N44</f>
        <v>0</v>
      </c>
      <c r="I44" s="30">
        <f>+'Entrate tot e finalizzati'!O44-'Entrate tot e finalizzati'!P44</f>
        <v>0</v>
      </c>
      <c r="J44" s="39">
        <f>+'Entrate tot e finalizzati'!Q44-'Entrate tot e finalizzati'!R44</f>
        <v>0</v>
      </c>
      <c r="K44" s="30">
        <f>+'Entrate tot e finalizzati'!S44-'Entrate tot e finalizzati'!T44</f>
        <v>0</v>
      </c>
      <c r="L44" s="39">
        <f>+'Entrate tot e finalizzati'!U44-'Entrate tot e finalizzati'!V44</f>
        <v>0</v>
      </c>
      <c r="M44" s="33"/>
      <c r="N44" s="33"/>
      <c r="O44" s="33"/>
      <c r="P44" s="33"/>
      <c r="Q44" s="33"/>
      <c r="R44" s="33"/>
      <c r="S44" s="33"/>
      <c r="T44" s="33"/>
    </row>
    <row r="45" spans="1:20" s="2" customFormat="1" ht="12.75">
      <c r="A45" s="43"/>
      <c r="B45" s="101" t="s">
        <v>57</v>
      </c>
      <c r="C45" s="31">
        <f>+'Entrate tot e finalizzati'!C45-'Entrate tot e finalizzati'!D45</f>
        <v>0</v>
      </c>
      <c r="D45" s="39">
        <f>+'Entrate tot e finalizzati'!E45-'Entrate tot e finalizzati'!F45</f>
        <v>0</v>
      </c>
      <c r="E45" s="30">
        <f>+'Entrate tot e finalizzati'!G45-'Entrate tot e finalizzati'!H45</f>
        <v>0</v>
      </c>
      <c r="F45" s="39">
        <f>+'Entrate tot e finalizzati'!I45-'Entrate tot e finalizzati'!J45</f>
        <v>0</v>
      </c>
      <c r="G45" s="30">
        <f>+'Entrate tot e finalizzati'!K45-'Entrate tot e finalizzati'!L45</f>
        <v>0</v>
      </c>
      <c r="H45" s="39">
        <f>+'Entrate tot e finalizzati'!M45-'Entrate tot e finalizzati'!N45</f>
        <v>0</v>
      </c>
      <c r="I45" s="30">
        <f>+'Entrate tot e finalizzati'!O45-'Entrate tot e finalizzati'!P45</f>
        <v>0</v>
      </c>
      <c r="J45" s="39">
        <f>+'Entrate tot e finalizzati'!Q45-'Entrate tot e finalizzati'!R45</f>
        <v>0</v>
      </c>
      <c r="K45" s="30">
        <f>+'Entrate tot e finalizzati'!S45-'Entrate tot e finalizzati'!T45</f>
        <v>0</v>
      </c>
      <c r="L45" s="39">
        <f>+'Entrate tot e finalizzati'!U45-'Entrate tot e finalizzati'!V45</f>
        <v>0</v>
      </c>
      <c r="M45" s="33"/>
      <c r="N45" s="33"/>
      <c r="O45" s="33"/>
      <c r="P45" s="33"/>
      <c r="Q45" s="33"/>
      <c r="R45" s="33"/>
      <c r="S45" s="33"/>
      <c r="T45" s="33"/>
    </row>
    <row r="46" spans="1:20" s="2" customFormat="1" ht="12.75">
      <c r="A46" s="43"/>
      <c r="B46" s="42" t="s">
        <v>60</v>
      </c>
      <c r="C46" s="31">
        <f>+'Entrate tot e finalizzati'!C46-'Entrate tot e finalizzati'!D46</f>
        <v>0</v>
      </c>
      <c r="D46" s="39">
        <f>+'Entrate tot e finalizzati'!E46-'Entrate tot e finalizzati'!F46</f>
        <v>0</v>
      </c>
      <c r="E46" s="30">
        <f>+'Entrate tot e finalizzati'!G46-'Entrate tot e finalizzati'!H46</f>
        <v>136</v>
      </c>
      <c r="F46" s="39">
        <f>+'Entrate tot e finalizzati'!I46-'Entrate tot e finalizzati'!J46</f>
        <v>0</v>
      </c>
      <c r="G46" s="30">
        <f>+'Entrate tot e finalizzati'!K46-'Entrate tot e finalizzati'!L46</f>
        <v>0</v>
      </c>
      <c r="H46" s="39">
        <f>+'Entrate tot e finalizzati'!M46-'Entrate tot e finalizzati'!N46</f>
        <v>0</v>
      </c>
      <c r="I46" s="30">
        <f>+'Entrate tot e finalizzati'!O46-'Entrate tot e finalizzati'!P46</f>
        <v>0</v>
      </c>
      <c r="J46" s="39">
        <f>+'Entrate tot e finalizzati'!Q46-'Entrate tot e finalizzati'!R46</f>
        <v>0</v>
      </c>
      <c r="K46" s="30">
        <f>+'Entrate tot e finalizzati'!S46-'Entrate tot e finalizzati'!T46</f>
        <v>0</v>
      </c>
      <c r="L46" s="39">
        <f>+'Entrate tot e finalizzati'!U46-'Entrate tot e finalizzati'!V46</f>
        <v>0</v>
      </c>
      <c r="M46" s="33"/>
      <c r="N46" s="33"/>
      <c r="O46" s="33"/>
      <c r="P46" s="33"/>
      <c r="Q46" s="33"/>
      <c r="R46" s="33"/>
      <c r="S46" s="33"/>
      <c r="T46" s="33"/>
    </row>
    <row r="47" spans="1:20" s="2" customFormat="1" ht="12.75">
      <c r="A47" s="43"/>
      <c r="B47" s="101" t="s">
        <v>59</v>
      </c>
      <c r="C47" s="31">
        <f>+'Entrate tot e finalizzati'!C47-'Entrate tot e finalizzati'!D47</f>
        <v>0</v>
      </c>
      <c r="D47" s="39">
        <f>+'Entrate tot e finalizzati'!E47-'Entrate tot e finalizzati'!F47</f>
        <v>0</v>
      </c>
      <c r="E47" s="30">
        <f>+'Entrate tot e finalizzati'!G47-'Entrate tot e finalizzati'!H47</f>
        <v>0</v>
      </c>
      <c r="F47" s="39">
        <f>+'Entrate tot e finalizzati'!I47-'Entrate tot e finalizzati'!J47</f>
        <v>0</v>
      </c>
      <c r="G47" s="30">
        <f>+'Entrate tot e finalizzati'!K47-'Entrate tot e finalizzati'!L47</f>
        <v>0</v>
      </c>
      <c r="H47" s="39">
        <f>+'Entrate tot e finalizzati'!M47-'Entrate tot e finalizzati'!N47</f>
        <v>0</v>
      </c>
      <c r="I47" s="30">
        <f>+'Entrate tot e finalizzati'!O47-'Entrate tot e finalizzati'!P47</f>
        <v>0</v>
      </c>
      <c r="J47" s="39">
        <f>+'Entrate tot e finalizzati'!Q47-'Entrate tot e finalizzati'!R47</f>
        <v>0</v>
      </c>
      <c r="K47" s="30">
        <f>+'Entrate tot e finalizzati'!S47-'Entrate tot e finalizzati'!T47</f>
        <v>0</v>
      </c>
      <c r="L47" s="39">
        <f>+'Entrate tot e finalizzati'!U47-'Entrate tot e finalizzati'!V47</f>
        <v>0</v>
      </c>
      <c r="M47" s="33"/>
      <c r="N47" s="33"/>
      <c r="O47" s="33"/>
      <c r="P47" s="33"/>
      <c r="Q47" s="33"/>
      <c r="R47" s="33"/>
      <c r="S47" s="33"/>
      <c r="T47" s="33"/>
    </row>
    <row r="48" spans="1:20" s="2" customFormat="1" ht="12.75">
      <c r="A48" s="43"/>
      <c r="B48" s="101" t="s">
        <v>95</v>
      </c>
      <c r="C48" s="31">
        <f>+'Entrate tot e finalizzati'!C48-'Entrate tot e finalizzati'!D48</f>
        <v>0</v>
      </c>
      <c r="D48" s="31">
        <f>+'Entrate tot e finalizzati'!E48-'Entrate tot e finalizzati'!F48</f>
        <v>0</v>
      </c>
      <c r="E48" s="30">
        <f>+'Entrate tot e finalizzati'!G48-'Entrate tot e finalizzati'!H48</f>
        <v>0</v>
      </c>
      <c r="F48" s="39">
        <f>+'Entrate tot e finalizzati'!I48-'Entrate tot e finalizzati'!J48</f>
        <v>0</v>
      </c>
      <c r="G48" s="30">
        <f>+'Entrate tot e finalizzati'!K48-'Entrate tot e finalizzati'!L48</f>
        <v>0</v>
      </c>
      <c r="H48" s="39">
        <f>+'Entrate tot e finalizzati'!M48-'Entrate tot e finalizzati'!N48</f>
        <v>0</v>
      </c>
      <c r="I48" s="30">
        <f>+'Entrate tot e finalizzati'!O48-'Entrate tot e finalizzati'!P48</f>
        <v>0</v>
      </c>
      <c r="J48" s="39">
        <f>+'Entrate tot e finalizzati'!Q48-'Entrate tot e finalizzati'!R48</f>
        <v>0</v>
      </c>
      <c r="K48" s="30">
        <f>+'Entrate tot e finalizzati'!S48-'Entrate tot e finalizzati'!T48</f>
        <v>0</v>
      </c>
      <c r="L48" s="39">
        <f>+'Entrate tot e finalizzati'!U48-'Entrate tot e finalizzati'!V48</f>
        <v>0</v>
      </c>
      <c r="M48" s="33"/>
      <c r="N48" s="33"/>
      <c r="O48" s="33"/>
      <c r="P48" s="33"/>
      <c r="Q48" s="33"/>
      <c r="R48" s="33"/>
      <c r="S48" s="33"/>
      <c r="T48" s="33"/>
    </row>
    <row r="49" spans="1:20" s="2" customFormat="1" ht="12.75">
      <c r="A49" s="43"/>
      <c r="B49" s="103" t="s">
        <v>58</v>
      </c>
      <c r="C49" s="19">
        <f>+'Entrate tot e finalizzati'!C49-'Entrate tot e finalizzati'!D49</f>
        <v>0</v>
      </c>
      <c r="D49" s="15">
        <f>+'Entrate tot e finalizzati'!E49-'Entrate tot e finalizzati'!F49</f>
        <v>0</v>
      </c>
      <c r="E49" s="30">
        <f>+'Entrate tot e finalizzati'!G49-'Entrate tot e finalizzati'!H49</f>
        <v>0</v>
      </c>
      <c r="F49" s="39">
        <f>+'Entrate tot e finalizzati'!I49-'Entrate tot e finalizzati'!J49</f>
        <v>0</v>
      </c>
      <c r="G49" s="30">
        <f>+'Entrate tot e finalizzati'!K49-'Entrate tot e finalizzati'!L49</f>
        <v>0</v>
      </c>
      <c r="H49" s="39">
        <f>+'Entrate tot e finalizzati'!M49-'Entrate tot e finalizzati'!N49</f>
        <v>0</v>
      </c>
      <c r="I49" s="30">
        <f>+'Entrate tot e finalizzati'!O49-'Entrate tot e finalizzati'!P49</f>
        <v>0</v>
      </c>
      <c r="J49" s="39">
        <f>+'Entrate tot e finalizzati'!Q49-'Entrate tot e finalizzati'!R49</f>
        <v>0</v>
      </c>
      <c r="K49" s="30">
        <f>+'Entrate tot e finalizzati'!S49-'Entrate tot e finalizzati'!T49</f>
        <v>0</v>
      </c>
      <c r="L49" s="39">
        <f>+'Entrate tot e finalizzati'!U49-'Entrate tot e finalizzati'!V49</f>
        <v>0</v>
      </c>
      <c r="M49" s="33"/>
      <c r="N49" s="33"/>
      <c r="O49" s="33"/>
      <c r="P49" s="33"/>
      <c r="Q49" s="33"/>
      <c r="R49" s="33"/>
      <c r="S49" s="33"/>
      <c r="T49" s="33"/>
    </row>
    <row r="50" spans="1:12" s="33" customFormat="1" ht="12.75">
      <c r="A50" s="43"/>
      <c r="B50" s="103" t="s">
        <v>93</v>
      </c>
      <c r="C50" s="19">
        <f>+'Entrate tot e finalizzati'!C50-'Entrate tot e finalizzati'!D50</f>
        <v>0</v>
      </c>
      <c r="D50" s="15">
        <f>+'Entrate tot e finalizzati'!E50-'Entrate tot e finalizzati'!F50</f>
        <v>0</v>
      </c>
      <c r="E50" s="30">
        <f>+'Entrate tot e finalizzati'!G50-'Entrate tot e finalizzati'!H50</f>
        <v>0</v>
      </c>
      <c r="F50" s="39">
        <f>+'Entrate tot e finalizzati'!I50-'Entrate tot e finalizzati'!J50</f>
        <v>0</v>
      </c>
      <c r="G50" s="30">
        <f>+'Entrate tot e finalizzati'!K50-'Entrate tot e finalizzati'!L50</f>
        <v>0</v>
      </c>
      <c r="H50" s="39">
        <f>+'Entrate tot e finalizzati'!M50-'Entrate tot e finalizzati'!N50</f>
        <v>0</v>
      </c>
      <c r="I50" s="30">
        <f>+'Entrate tot e finalizzati'!O50-'Entrate tot e finalizzati'!P50</f>
        <v>0</v>
      </c>
      <c r="J50" s="39">
        <f>+'Entrate tot e finalizzati'!Q50-'Entrate tot e finalizzati'!R50</f>
        <v>0</v>
      </c>
      <c r="K50" s="30">
        <f>+'Entrate tot e finalizzati'!S50-'Entrate tot e finalizzati'!T50</f>
        <v>0</v>
      </c>
      <c r="L50" s="39">
        <f>+'Entrate tot e finalizzati'!U50-'Entrate tot e finalizzati'!V50</f>
        <v>0</v>
      </c>
    </row>
    <row r="51" spans="1:20" s="2" customFormat="1" ht="12.75">
      <c r="A51" s="47"/>
      <c r="B51" s="110" t="s">
        <v>69</v>
      </c>
      <c r="C51" s="20">
        <f>+'Entrate tot e finalizzati'!C51-'Entrate tot e finalizzati'!D51</f>
        <v>717</v>
      </c>
      <c r="D51" s="32">
        <f>+'Entrate tot e finalizzati'!E51-'Entrate tot e finalizzati'!F51</f>
        <v>734</v>
      </c>
      <c r="E51" s="73">
        <f>+'Entrate tot e finalizzati'!G51-'Entrate tot e finalizzati'!H51</f>
        <v>623</v>
      </c>
      <c r="F51" s="32">
        <f>+'Entrate tot e finalizzati'!I51-'Entrate tot e finalizzati'!J51</f>
        <v>681</v>
      </c>
      <c r="G51" s="73">
        <f>+'Entrate tot e finalizzati'!K51-'Entrate tot e finalizzati'!L51</f>
        <v>548</v>
      </c>
      <c r="H51" s="73">
        <f>+'Entrate tot e finalizzati'!M51-'Entrate tot e finalizzati'!N51</f>
        <v>1219</v>
      </c>
      <c r="I51" s="73">
        <f>+'Entrate tot e finalizzati'!O51-'Entrate tot e finalizzati'!P51</f>
        <v>1203</v>
      </c>
      <c r="J51" s="73">
        <f>+'Entrate tot e finalizzati'!Q51-'Entrate tot e finalizzati'!R51</f>
        <v>1192</v>
      </c>
      <c r="K51" s="73">
        <f>+'Entrate tot e finalizzati'!S51-'Entrate tot e finalizzati'!T51</f>
        <v>1166</v>
      </c>
      <c r="L51" s="73">
        <f>+'Entrate tot e finalizzati'!U51-'Entrate tot e finalizzati'!V51</f>
        <v>1182</v>
      </c>
      <c r="M51" s="33"/>
      <c r="N51" s="33"/>
      <c r="O51" s="33"/>
      <c r="P51" s="33"/>
      <c r="Q51" s="33"/>
      <c r="R51" s="33"/>
      <c r="S51" s="33"/>
      <c r="T51" s="33"/>
    </row>
    <row r="52" spans="1:20" s="2" customFormat="1" ht="12.75">
      <c r="A52" s="64" t="s">
        <v>121</v>
      </c>
      <c r="B52" s="100"/>
      <c r="C52" s="28">
        <f>+'Entrate tot e finalizzati'!C52-'Entrate tot e finalizzati'!D52</f>
        <v>813</v>
      </c>
      <c r="D52" s="28">
        <f>+'Entrate tot e finalizzati'!E52-'Entrate tot e finalizzati'!F52</f>
        <v>761</v>
      </c>
      <c r="E52" s="28">
        <f>+'Entrate tot e finalizzati'!G52-'Entrate tot e finalizzati'!H52</f>
        <v>563</v>
      </c>
      <c r="F52" s="28">
        <f>+'Entrate tot e finalizzati'!I52-'Entrate tot e finalizzati'!J52</f>
        <v>684</v>
      </c>
      <c r="G52" s="28">
        <f>+'Entrate tot e finalizzati'!K52-'Entrate tot e finalizzati'!L52</f>
        <v>800</v>
      </c>
      <c r="H52" s="28">
        <f>+'Entrate tot e finalizzati'!M52-'Entrate tot e finalizzati'!N52</f>
        <v>745</v>
      </c>
      <c r="I52" s="28">
        <f>+'Entrate tot e finalizzati'!O52-'Entrate tot e finalizzati'!P52</f>
        <v>652</v>
      </c>
      <c r="J52" s="28">
        <f>+'Entrate tot e finalizzati'!Q52-'Entrate tot e finalizzati'!R52</f>
        <v>664</v>
      </c>
      <c r="K52" s="28">
        <f>+'Entrate tot e finalizzati'!S52-'Entrate tot e finalizzati'!T52</f>
        <v>515</v>
      </c>
      <c r="L52" s="28">
        <f>+'Entrate tot e finalizzati'!U52-'Entrate tot e finalizzati'!V52</f>
        <v>788</v>
      </c>
      <c r="M52" s="33"/>
      <c r="N52" s="33"/>
      <c r="O52" s="33"/>
      <c r="P52" s="33"/>
      <c r="Q52" s="33"/>
      <c r="R52" s="33"/>
      <c r="S52" s="33"/>
      <c r="T52" s="33"/>
    </row>
    <row r="53" spans="1:20" s="2" customFormat="1" ht="12.75">
      <c r="A53" s="43"/>
      <c r="B53" s="101" t="s">
        <v>95</v>
      </c>
      <c r="C53" s="10">
        <f>+'Entrate tot e finalizzati'!C53-'Entrate tot e finalizzati'!D53</f>
        <v>0</v>
      </c>
      <c r="D53" s="31">
        <f>+'Entrate tot e finalizzati'!E53-'Entrate tot e finalizzati'!F53</f>
        <v>0</v>
      </c>
      <c r="E53" s="31">
        <f>+'Entrate tot e finalizzati'!G53-'Entrate tot e finalizzati'!H53</f>
        <v>0</v>
      </c>
      <c r="F53" s="31">
        <f>+'Entrate tot e finalizzati'!I53-'Entrate tot e finalizzati'!J53</f>
        <v>0</v>
      </c>
      <c r="G53" s="31">
        <f>+'Entrate tot e finalizzati'!K53-'Entrate tot e finalizzati'!L53</f>
        <v>0</v>
      </c>
      <c r="H53" s="31">
        <f>+'Entrate tot e finalizzati'!M53-'Entrate tot e finalizzati'!N53</f>
        <v>42</v>
      </c>
      <c r="I53" s="31">
        <f>+'Entrate tot e finalizzati'!O53-'Entrate tot e finalizzati'!P53</f>
        <v>0</v>
      </c>
      <c r="J53" s="31">
        <f>+'Entrate tot e finalizzati'!Q53-'Entrate tot e finalizzati'!R53</f>
        <v>0</v>
      </c>
      <c r="K53" s="31">
        <f>+'Entrate tot e finalizzati'!S53-'Entrate tot e finalizzati'!T53</f>
        <v>0</v>
      </c>
      <c r="L53" s="31">
        <f>+'Entrate tot e finalizzati'!U53-'Entrate tot e finalizzati'!V53</f>
        <v>0</v>
      </c>
      <c r="M53" s="33"/>
      <c r="N53" s="33"/>
      <c r="O53" s="33"/>
      <c r="P53" s="33"/>
      <c r="Q53" s="33"/>
      <c r="R53" s="33"/>
      <c r="S53" s="33"/>
      <c r="T53" s="33"/>
    </row>
    <row r="54" spans="1:20" s="2" customFormat="1" ht="12.75">
      <c r="A54" s="43"/>
      <c r="B54" s="101" t="s">
        <v>59</v>
      </c>
      <c r="C54" s="10">
        <f>+'Entrate tot e finalizzati'!C54-'Entrate tot e finalizzati'!D54</f>
        <v>0</v>
      </c>
      <c r="D54" s="31">
        <f>+'Entrate tot e finalizzati'!E54-'Entrate tot e finalizzati'!F54</f>
        <v>0</v>
      </c>
      <c r="E54" s="31">
        <f>+'Entrate tot e finalizzati'!G54-'Entrate tot e finalizzati'!H54</f>
        <v>0</v>
      </c>
      <c r="F54" s="31">
        <f>+'Entrate tot e finalizzati'!I54-'Entrate tot e finalizzati'!J54</f>
        <v>0</v>
      </c>
      <c r="G54" s="31">
        <f>+'Entrate tot e finalizzati'!K54-'Entrate tot e finalizzati'!L54</f>
        <v>0</v>
      </c>
      <c r="H54" s="31">
        <f>+'Entrate tot e finalizzati'!M54-'Entrate tot e finalizzati'!N54</f>
        <v>0</v>
      </c>
      <c r="I54" s="31">
        <f>+'Entrate tot e finalizzati'!O54-'Entrate tot e finalizzati'!P54</f>
        <v>0</v>
      </c>
      <c r="J54" s="31">
        <f>+'Entrate tot e finalizzati'!Q54-'Entrate tot e finalizzati'!R54</f>
        <v>0</v>
      </c>
      <c r="K54" s="31">
        <f>+'Entrate tot e finalizzati'!S54-'Entrate tot e finalizzati'!T54</f>
        <v>0</v>
      </c>
      <c r="L54" s="31">
        <f>+'Entrate tot e finalizzati'!U54-'Entrate tot e finalizzati'!V54</f>
        <v>0</v>
      </c>
      <c r="M54" s="33"/>
      <c r="N54" s="33"/>
      <c r="O54" s="33"/>
      <c r="P54" s="33"/>
      <c r="Q54" s="33"/>
      <c r="R54" s="33"/>
      <c r="S54" s="33"/>
      <c r="T54" s="33"/>
    </row>
    <row r="55" spans="1:20" s="2" customFormat="1" ht="12.75">
      <c r="A55" s="43"/>
      <c r="B55" s="42" t="s">
        <v>15</v>
      </c>
      <c r="C55" s="10">
        <f>+'Entrate tot e finalizzati'!C55-'Entrate tot e finalizzati'!D55</f>
        <v>0</v>
      </c>
      <c r="D55" s="31">
        <f>+'Entrate tot e finalizzati'!E55-'Entrate tot e finalizzati'!F55</f>
        <v>0</v>
      </c>
      <c r="E55" s="31">
        <f>+'Entrate tot e finalizzati'!G55-'Entrate tot e finalizzati'!H55</f>
        <v>0</v>
      </c>
      <c r="F55" s="31">
        <f>+'Entrate tot e finalizzati'!I55-'Entrate tot e finalizzati'!J55</f>
        <v>0</v>
      </c>
      <c r="G55" s="31">
        <f>+'Entrate tot e finalizzati'!K55-'Entrate tot e finalizzati'!L55</f>
        <v>0</v>
      </c>
      <c r="H55" s="31">
        <f>+'Entrate tot e finalizzati'!M55-'Entrate tot e finalizzati'!N55</f>
        <v>0</v>
      </c>
      <c r="I55" s="31">
        <f>+'Entrate tot e finalizzati'!O55-'Entrate tot e finalizzati'!P55</f>
        <v>0</v>
      </c>
      <c r="J55" s="31">
        <f>+'Entrate tot e finalizzati'!Q55-'Entrate tot e finalizzati'!R55</f>
        <v>0</v>
      </c>
      <c r="K55" s="31">
        <f>+'Entrate tot e finalizzati'!S55-'Entrate tot e finalizzati'!T55</f>
        <v>0</v>
      </c>
      <c r="L55" s="31">
        <f>+'Entrate tot e finalizzati'!U55-'Entrate tot e finalizzati'!V55</f>
        <v>0</v>
      </c>
      <c r="M55" s="33"/>
      <c r="N55" s="33"/>
      <c r="O55" s="33"/>
      <c r="P55" s="33"/>
      <c r="Q55" s="33"/>
      <c r="R55" s="33"/>
      <c r="S55" s="33"/>
      <c r="T55" s="33"/>
    </row>
    <row r="56" spans="1:20" s="2" customFormat="1" ht="12.75">
      <c r="A56" s="43"/>
      <c r="B56" s="101" t="s">
        <v>65</v>
      </c>
      <c r="C56" s="10">
        <f>+'Entrate tot e finalizzati'!C56-'Entrate tot e finalizzati'!D56</f>
        <v>0</v>
      </c>
      <c r="D56" s="31">
        <f>+'Entrate tot e finalizzati'!E56-'Entrate tot e finalizzati'!F56</f>
        <v>0</v>
      </c>
      <c r="E56" s="31">
        <f>+'Entrate tot e finalizzati'!G56-'Entrate tot e finalizzati'!H56</f>
        <v>0</v>
      </c>
      <c r="F56" s="31">
        <f>+'Entrate tot e finalizzati'!I56-'Entrate tot e finalizzati'!J56</f>
        <v>0</v>
      </c>
      <c r="G56" s="31">
        <f>+'Entrate tot e finalizzati'!K56-'Entrate tot e finalizzati'!L56</f>
        <v>0</v>
      </c>
      <c r="H56" s="31">
        <f>+'Entrate tot e finalizzati'!M56-'Entrate tot e finalizzati'!N56</f>
        <v>0</v>
      </c>
      <c r="I56" s="31">
        <f>+'Entrate tot e finalizzati'!O56-'Entrate tot e finalizzati'!P56</f>
        <v>0</v>
      </c>
      <c r="J56" s="31">
        <f>+'Entrate tot e finalizzati'!Q56-'Entrate tot e finalizzati'!R56</f>
        <v>0</v>
      </c>
      <c r="K56" s="31">
        <f>+'Entrate tot e finalizzati'!S56-'Entrate tot e finalizzati'!T56</f>
        <v>0</v>
      </c>
      <c r="L56" s="31">
        <f>+'Entrate tot e finalizzati'!U56-'Entrate tot e finalizzati'!V56</f>
        <v>0</v>
      </c>
      <c r="M56" s="33"/>
      <c r="N56" s="33"/>
      <c r="O56" s="33"/>
      <c r="P56" s="33"/>
      <c r="Q56" s="33"/>
      <c r="R56" s="33"/>
      <c r="S56" s="33"/>
      <c r="T56" s="33"/>
    </row>
    <row r="57" spans="1:20" s="2" customFormat="1" ht="12.75">
      <c r="A57" s="43"/>
      <c r="B57" s="42" t="s">
        <v>67</v>
      </c>
      <c r="C57" s="19">
        <f>+'Entrate tot e finalizzati'!C57-'Entrate tot e finalizzati'!D57</f>
        <v>742</v>
      </c>
      <c r="D57" s="31">
        <f>+'Entrate tot e finalizzati'!E57-'Entrate tot e finalizzati'!F57</f>
        <v>689</v>
      </c>
      <c r="E57" s="60">
        <f>+'Entrate tot e finalizzati'!G57-'Entrate tot e finalizzati'!H57</f>
        <v>501</v>
      </c>
      <c r="F57" s="31">
        <f>+'Entrate tot e finalizzati'!I57-'Entrate tot e finalizzati'!J57</f>
        <v>571</v>
      </c>
      <c r="G57" s="60">
        <f>+'Entrate tot e finalizzati'!K57-'Entrate tot e finalizzati'!L57</f>
        <v>721</v>
      </c>
      <c r="H57" s="60">
        <f>+'Entrate tot e finalizzati'!M57-'Entrate tot e finalizzati'!N57</f>
        <v>562</v>
      </c>
      <c r="I57" s="60">
        <f>+'Entrate tot e finalizzati'!O57-'Entrate tot e finalizzati'!P57</f>
        <v>511</v>
      </c>
      <c r="J57" s="60">
        <f>+'Entrate tot e finalizzati'!Q57-'Entrate tot e finalizzati'!R57</f>
        <v>559</v>
      </c>
      <c r="K57" s="60">
        <f>+'Entrate tot e finalizzati'!S57-'Entrate tot e finalizzati'!T57</f>
        <v>356</v>
      </c>
      <c r="L57" s="60">
        <f>+'Entrate tot e finalizzati'!U57-'Entrate tot e finalizzati'!V57</f>
        <v>692</v>
      </c>
      <c r="M57" s="33"/>
      <c r="N57" s="33"/>
      <c r="O57" s="33"/>
      <c r="P57" s="33"/>
      <c r="Q57" s="33"/>
      <c r="R57" s="33"/>
      <c r="S57" s="33"/>
      <c r="T57" s="33"/>
    </row>
    <row r="58" spans="1:20" s="2" customFormat="1" ht="12.75">
      <c r="A58" s="43"/>
      <c r="B58" s="101" t="s">
        <v>16</v>
      </c>
      <c r="C58" s="10">
        <f>+'Entrate tot e finalizzati'!C58-'Entrate tot e finalizzati'!D58</f>
        <v>0</v>
      </c>
      <c r="D58" s="31">
        <f>+'Entrate tot e finalizzati'!E58-'Entrate tot e finalizzati'!F58</f>
        <v>0</v>
      </c>
      <c r="E58" s="31">
        <f>+'Entrate tot e finalizzati'!G58-'Entrate tot e finalizzati'!H58</f>
        <v>0</v>
      </c>
      <c r="F58" s="31">
        <f>+'Entrate tot e finalizzati'!I58-'Entrate tot e finalizzati'!J58</f>
        <v>0</v>
      </c>
      <c r="G58" s="31">
        <f>+'Entrate tot e finalizzati'!K58-'Entrate tot e finalizzati'!L58</f>
        <v>0</v>
      </c>
      <c r="H58" s="31">
        <f>+'Entrate tot e finalizzati'!M58-'Entrate tot e finalizzati'!N58</f>
        <v>0</v>
      </c>
      <c r="I58" s="31">
        <f>+'Entrate tot e finalizzati'!O58-'Entrate tot e finalizzati'!P58</f>
        <v>0</v>
      </c>
      <c r="J58" s="31">
        <f>+'Entrate tot e finalizzati'!Q58-'Entrate tot e finalizzati'!R58</f>
        <v>0</v>
      </c>
      <c r="K58" s="31">
        <f>+'Entrate tot e finalizzati'!S58-'Entrate tot e finalizzati'!T58</f>
        <v>0</v>
      </c>
      <c r="L58" s="31">
        <f>+'Entrate tot e finalizzati'!U58-'Entrate tot e finalizzati'!V58</f>
        <v>0</v>
      </c>
      <c r="M58" s="33"/>
      <c r="N58" s="33"/>
      <c r="O58" s="33"/>
      <c r="P58" s="33"/>
      <c r="Q58" s="33"/>
      <c r="R58" s="33"/>
      <c r="S58" s="33"/>
      <c r="T58" s="33"/>
    </row>
    <row r="59" spans="1:20" s="2" customFormat="1" ht="12.75">
      <c r="A59" s="43"/>
      <c r="B59" s="101" t="s">
        <v>93</v>
      </c>
      <c r="C59" s="10">
        <f>+'Entrate tot e finalizzati'!C59-'Entrate tot e finalizzati'!D59</f>
        <v>0</v>
      </c>
      <c r="D59" s="31">
        <f>+'Entrate tot e finalizzati'!E59-'Entrate tot e finalizzati'!F59</f>
        <v>0</v>
      </c>
      <c r="E59" s="31">
        <f>+'Entrate tot e finalizzati'!G59-'Entrate tot e finalizzati'!H59</f>
        <v>0</v>
      </c>
      <c r="F59" s="31">
        <f>+'Entrate tot e finalizzati'!I59-'Entrate tot e finalizzati'!J59</f>
        <v>0</v>
      </c>
      <c r="G59" s="31">
        <f>+'Entrate tot e finalizzati'!K59-'Entrate tot e finalizzati'!L59</f>
        <v>0</v>
      </c>
      <c r="H59" s="31">
        <f>+'Entrate tot e finalizzati'!M59-'Entrate tot e finalizzati'!N59</f>
        <v>0</v>
      </c>
      <c r="I59" s="31">
        <f>+'Entrate tot e finalizzati'!O59-'Entrate tot e finalizzati'!P59</f>
        <v>0</v>
      </c>
      <c r="J59" s="31">
        <f>+'Entrate tot e finalizzati'!Q59-'Entrate tot e finalizzati'!R59</f>
        <v>0</v>
      </c>
      <c r="K59" s="31">
        <f>+'Entrate tot e finalizzati'!S59-'Entrate tot e finalizzati'!T59</f>
        <v>3</v>
      </c>
      <c r="L59" s="31">
        <f>+'Entrate tot e finalizzati'!U59-'Entrate tot e finalizzati'!V59</f>
        <v>2</v>
      </c>
      <c r="M59" s="33"/>
      <c r="N59" s="33"/>
      <c r="O59" s="33"/>
      <c r="P59" s="33"/>
      <c r="Q59" s="33"/>
      <c r="R59" s="33"/>
      <c r="S59" s="33"/>
      <c r="T59" s="33"/>
    </row>
    <row r="60" spans="1:20" s="2" customFormat="1" ht="12.75">
      <c r="A60" s="43"/>
      <c r="B60" s="103" t="s">
        <v>58</v>
      </c>
      <c r="C60" s="10">
        <f>+'Entrate tot e finalizzati'!C60-'Entrate tot e finalizzati'!D60</f>
        <v>71</v>
      </c>
      <c r="D60" s="31">
        <f>+'Entrate tot e finalizzati'!E60-'Entrate tot e finalizzati'!F60</f>
        <v>72</v>
      </c>
      <c r="E60" s="31">
        <f>+'Entrate tot e finalizzati'!G60-'Entrate tot e finalizzati'!H60</f>
        <v>62</v>
      </c>
      <c r="F60" s="31">
        <f>+'Entrate tot e finalizzati'!I60-'Entrate tot e finalizzati'!J60</f>
        <v>74</v>
      </c>
      <c r="G60" s="31">
        <f>+'Entrate tot e finalizzati'!K60-'Entrate tot e finalizzati'!L60</f>
        <v>60</v>
      </c>
      <c r="H60" s="31">
        <f>+'Entrate tot e finalizzati'!M60-'Entrate tot e finalizzati'!N60</f>
        <v>121</v>
      </c>
      <c r="I60" s="31">
        <f>+'Entrate tot e finalizzati'!O60-'Entrate tot e finalizzati'!P60</f>
        <v>104</v>
      </c>
      <c r="J60" s="31">
        <f>+'Entrate tot e finalizzati'!Q60-'Entrate tot e finalizzati'!R60</f>
        <v>91</v>
      </c>
      <c r="K60" s="31">
        <f>+'Entrate tot e finalizzati'!S60-'Entrate tot e finalizzati'!T60</f>
        <v>145</v>
      </c>
      <c r="L60" s="31">
        <f>+'Entrate tot e finalizzati'!U60-'Entrate tot e finalizzati'!V60</f>
        <v>83</v>
      </c>
      <c r="M60" s="33"/>
      <c r="N60" s="33"/>
      <c r="O60" s="33"/>
      <c r="P60" s="33"/>
      <c r="Q60" s="33"/>
      <c r="R60" s="33"/>
      <c r="S60" s="33"/>
      <c r="T60" s="33"/>
    </row>
    <row r="61" spans="1:20" s="2" customFormat="1" ht="12.75">
      <c r="A61" s="43"/>
      <c r="B61" s="17" t="s">
        <v>60</v>
      </c>
      <c r="C61" s="10">
        <f>+'Entrate tot e finalizzati'!C61-'Entrate tot e finalizzati'!D61</f>
        <v>0</v>
      </c>
      <c r="D61" s="31">
        <f>+'Entrate tot e finalizzati'!E61-'Entrate tot e finalizzati'!F61</f>
        <v>0</v>
      </c>
      <c r="E61" s="31">
        <f>+'Entrate tot e finalizzati'!G61-'Entrate tot e finalizzati'!H61</f>
        <v>0</v>
      </c>
      <c r="F61" s="31">
        <f>+'Entrate tot e finalizzati'!I61-'Entrate tot e finalizzati'!J61</f>
        <v>39</v>
      </c>
      <c r="G61" s="31">
        <f>+'Entrate tot e finalizzati'!K61-'Entrate tot e finalizzati'!L61</f>
        <v>19</v>
      </c>
      <c r="H61" s="31">
        <f>+'Entrate tot e finalizzati'!M61-'Entrate tot e finalizzati'!N61</f>
        <v>15</v>
      </c>
      <c r="I61" s="31">
        <f>+'Entrate tot e finalizzati'!O61-'Entrate tot e finalizzati'!P61</f>
        <v>37</v>
      </c>
      <c r="J61" s="31">
        <f>+'Entrate tot e finalizzati'!Q61-'Entrate tot e finalizzati'!R61</f>
        <v>14</v>
      </c>
      <c r="K61" s="31">
        <f>+'Entrate tot e finalizzati'!S61-'Entrate tot e finalizzati'!T61</f>
        <v>11</v>
      </c>
      <c r="L61" s="31">
        <f>+'Entrate tot e finalizzati'!U61-'Entrate tot e finalizzati'!V61</f>
        <v>11</v>
      </c>
      <c r="M61" s="33"/>
      <c r="N61" s="33"/>
      <c r="O61" s="33"/>
      <c r="P61" s="33"/>
      <c r="Q61" s="33"/>
      <c r="R61" s="33"/>
      <c r="S61" s="33"/>
      <c r="T61" s="33"/>
    </row>
    <row r="62" spans="1:20" s="2" customFormat="1" ht="12.75">
      <c r="A62" s="47"/>
      <c r="B62" s="102" t="s">
        <v>96</v>
      </c>
      <c r="C62" s="85">
        <f>+'Entrate tot e finalizzati'!C62-'Entrate tot e finalizzati'!D62</f>
        <v>0</v>
      </c>
      <c r="D62" s="32">
        <f>+'Entrate tot e finalizzati'!E62-'Entrate tot e finalizzati'!F62</f>
        <v>0</v>
      </c>
      <c r="E62" s="32">
        <f>+'Entrate tot e finalizzati'!G62-'Entrate tot e finalizzati'!H62</f>
        <v>0</v>
      </c>
      <c r="F62" s="32">
        <f>+'Entrate tot e finalizzati'!I62-'Entrate tot e finalizzati'!J62</f>
        <v>0</v>
      </c>
      <c r="G62" s="32">
        <f>+'Entrate tot e finalizzati'!K62-'Entrate tot e finalizzati'!L62</f>
        <v>0</v>
      </c>
      <c r="H62" s="32">
        <f>+'Entrate tot e finalizzati'!M62-'Entrate tot e finalizzati'!N62</f>
        <v>5</v>
      </c>
      <c r="I62" s="32">
        <f>+'Entrate tot e finalizzati'!O62-'Entrate tot e finalizzati'!P62</f>
        <v>0</v>
      </c>
      <c r="J62" s="32">
        <f>+'Entrate tot e finalizzati'!Q62-'Entrate tot e finalizzati'!R62</f>
        <v>0</v>
      </c>
      <c r="K62" s="32">
        <f>+'Entrate tot e finalizzati'!S62-'Entrate tot e finalizzati'!T62</f>
        <v>0</v>
      </c>
      <c r="L62" s="32">
        <f>+'Entrate tot e finalizzati'!U62-'Entrate tot e finalizzati'!V62</f>
        <v>0</v>
      </c>
      <c r="M62" s="33"/>
      <c r="N62" s="33"/>
      <c r="O62" s="33"/>
      <c r="P62" s="33"/>
      <c r="Q62" s="33"/>
      <c r="R62" s="33"/>
      <c r="S62" s="33"/>
      <c r="T62" s="33"/>
    </row>
    <row r="63" spans="1:20" s="2" customFormat="1" ht="12.75">
      <c r="A63" s="64" t="s">
        <v>122</v>
      </c>
      <c r="B63" s="112"/>
      <c r="C63" s="28">
        <f>+'Entrate tot e finalizzati'!C63-'Entrate tot e finalizzati'!D63</f>
        <v>3939</v>
      </c>
      <c r="D63" s="28">
        <f>+'Entrate tot e finalizzati'!E63-'Entrate tot e finalizzati'!F63</f>
        <v>4905</v>
      </c>
      <c r="E63" s="28">
        <f>+'Entrate tot e finalizzati'!G63-'Entrate tot e finalizzati'!H63</f>
        <v>3863</v>
      </c>
      <c r="F63" s="28">
        <f>+'Entrate tot e finalizzati'!I63-'Entrate tot e finalizzati'!J63</f>
        <v>3111</v>
      </c>
      <c r="G63" s="28">
        <f>+'Entrate tot e finalizzati'!K63-'Entrate tot e finalizzati'!L63</f>
        <v>4225</v>
      </c>
      <c r="H63" s="28">
        <f>+'Entrate tot e finalizzati'!M63-'Entrate tot e finalizzati'!N63</f>
        <v>3702</v>
      </c>
      <c r="I63" s="28">
        <f>+'Entrate tot e finalizzati'!O63-'Entrate tot e finalizzati'!P63</f>
        <v>2912</v>
      </c>
      <c r="J63" s="28">
        <f>+'Entrate tot e finalizzati'!Q63-'Entrate tot e finalizzati'!R63</f>
        <v>2602</v>
      </c>
      <c r="K63" s="28">
        <f>+'Entrate tot e finalizzati'!S63-'Entrate tot e finalizzati'!T63</f>
        <v>2166</v>
      </c>
      <c r="L63" s="28">
        <f>+'Entrate tot e finalizzati'!U63-'Entrate tot e finalizzati'!V63</f>
        <v>2560</v>
      </c>
      <c r="M63" s="33"/>
      <c r="N63" s="33"/>
      <c r="O63" s="33"/>
      <c r="P63" s="33"/>
      <c r="Q63" s="33"/>
      <c r="R63" s="33"/>
      <c r="S63" s="33"/>
      <c r="T63" s="33"/>
    </row>
    <row r="64" spans="1:20" s="2" customFormat="1" ht="12.75">
      <c r="A64" s="43"/>
      <c r="B64" s="103" t="s">
        <v>58</v>
      </c>
      <c r="C64" s="19">
        <f>+'Entrate tot e finalizzati'!C64-'Entrate tot e finalizzati'!D64</f>
        <v>32</v>
      </c>
      <c r="D64" s="50">
        <f>+'Entrate tot e finalizzati'!E64-'Entrate tot e finalizzati'!F64</f>
        <v>10</v>
      </c>
      <c r="E64" s="31">
        <f>+'Entrate tot e finalizzati'!G64-'Entrate tot e finalizzati'!H64</f>
        <v>2</v>
      </c>
      <c r="F64" s="50">
        <f>+'Entrate tot e finalizzati'!I64-'Entrate tot e finalizzati'!J64</f>
        <v>0</v>
      </c>
      <c r="G64" s="31">
        <f>+'Entrate tot e finalizzati'!K64-'Entrate tot e finalizzati'!L64</f>
        <v>0</v>
      </c>
      <c r="H64" s="50">
        <f>+'Entrate tot e finalizzati'!M64-'Entrate tot e finalizzati'!N64</f>
        <v>0</v>
      </c>
      <c r="I64" s="31">
        <f>+'Entrate tot e finalizzati'!O64-'Entrate tot e finalizzati'!P64</f>
        <v>0</v>
      </c>
      <c r="J64" s="50">
        <f>+'Entrate tot e finalizzati'!Q64-'Entrate tot e finalizzati'!R64</f>
        <v>0</v>
      </c>
      <c r="K64" s="31">
        <f>+'Entrate tot e finalizzati'!S64-'Entrate tot e finalizzati'!T64</f>
        <v>0</v>
      </c>
      <c r="L64" s="50">
        <f>+'Entrate tot e finalizzati'!U64-'Entrate tot e finalizzati'!V64</f>
        <v>0</v>
      </c>
      <c r="M64" s="33"/>
      <c r="N64" s="33"/>
      <c r="O64" s="33"/>
      <c r="P64" s="33"/>
      <c r="Q64" s="33"/>
      <c r="R64" s="33"/>
      <c r="S64" s="33"/>
      <c r="T64" s="33"/>
    </row>
    <row r="65" spans="1:20" s="2" customFormat="1" ht="12.75">
      <c r="A65" s="43"/>
      <c r="B65" s="101" t="s">
        <v>57</v>
      </c>
      <c r="C65" s="19">
        <f>+'Entrate tot e finalizzati'!C65-'Entrate tot e finalizzati'!D65</f>
        <v>1</v>
      </c>
      <c r="D65" s="50">
        <f>+'Entrate tot e finalizzati'!E65-'Entrate tot e finalizzati'!F65</f>
        <v>1</v>
      </c>
      <c r="E65" s="31">
        <f>+'Entrate tot e finalizzati'!G65-'Entrate tot e finalizzati'!H65</f>
        <v>1</v>
      </c>
      <c r="F65" s="50">
        <f>+'Entrate tot e finalizzati'!I65-'Entrate tot e finalizzati'!J65</f>
        <v>1</v>
      </c>
      <c r="G65" s="31">
        <f>+'Entrate tot e finalizzati'!K65-'Entrate tot e finalizzati'!L65</f>
        <v>1</v>
      </c>
      <c r="H65" s="50">
        <f>+'Entrate tot e finalizzati'!M65-'Entrate tot e finalizzati'!N65</f>
        <v>1</v>
      </c>
      <c r="I65" s="31">
        <f>+'Entrate tot e finalizzati'!O65-'Entrate tot e finalizzati'!P65</f>
        <v>1</v>
      </c>
      <c r="J65" s="50">
        <f>+'Entrate tot e finalizzati'!Q65-'Entrate tot e finalizzati'!R65</f>
        <v>1</v>
      </c>
      <c r="K65" s="31">
        <f>+'Entrate tot e finalizzati'!S65-'Entrate tot e finalizzati'!T65</f>
        <v>1</v>
      </c>
      <c r="L65" s="50">
        <f>+'Entrate tot e finalizzati'!U65-'Entrate tot e finalizzati'!V65</f>
        <v>0</v>
      </c>
      <c r="M65" s="33"/>
      <c r="N65" s="33"/>
      <c r="O65" s="33"/>
      <c r="P65" s="33"/>
      <c r="Q65" s="33"/>
      <c r="R65" s="33"/>
      <c r="S65" s="33"/>
      <c r="T65" s="33"/>
    </row>
    <row r="66" spans="1:20" s="2" customFormat="1" ht="12.75">
      <c r="A66" s="43"/>
      <c r="B66" s="101" t="s">
        <v>93</v>
      </c>
      <c r="C66" s="19">
        <f>+'Entrate tot e finalizzati'!C66-'Entrate tot e finalizzati'!D66</f>
        <v>0</v>
      </c>
      <c r="D66" s="50">
        <f>+'Entrate tot e finalizzati'!E66-'Entrate tot e finalizzati'!F66</f>
        <v>0</v>
      </c>
      <c r="E66" s="31">
        <f>+'Entrate tot e finalizzati'!G66-'Entrate tot e finalizzati'!H66</f>
        <v>0</v>
      </c>
      <c r="F66" s="50">
        <f>+'Entrate tot e finalizzati'!I66-'Entrate tot e finalizzati'!J66</f>
        <v>0</v>
      </c>
      <c r="G66" s="31">
        <f>+'Entrate tot e finalizzati'!K66-'Entrate tot e finalizzati'!L66</f>
        <v>7</v>
      </c>
      <c r="H66" s="50">
        <f>+'Entrate tot e finalizzati'!M66-'Entrate tot e finalizzati'!N66</f>
        <v>31</v>
      </c>
      <c r="I66" s="31">
        <f>+'Entrate tot e finalizzati'!O66-'Entrate tot e finalizzati'!P66</f>
        <v>22</v>
      </c>
      <c r="J66" s="50">
        <f>+'Entrate tot e finalizzati'!Q66-'Entrate tot e finalizzati'!R66</f>
        <v>48</v>
      </c>
      <c r="K66" s="31">
        <f>+'Entrate tot e finalizzati'!S66-'Entrate tot e finalizzati'!T66</f>
        <v>22</v>
      </c>
      <c r="L66" s="50">
        <f>+'Entrate tot e finalizzati'!U66-'Entrate tot e finalizzati'!V66</f>
        <v>20</v>
      </c>
      <c r="M66" s="33"/>
      <c r="N66" s="33"/>
      <c r="O66" s="33"/>
      <c r="P66" s="33"/>
      <c r="Q66" s="33"/>
      <c r="R66" s="33"/>
      <c r="S66" s="33"/>
      <c r="T66" s="33"/>
    </row>
    <row r="67" spans="1:20" s="2" customFormat="1" ht="12.75">
      <c r="A67" s="43"/>
      <c r="B67" s="101" t="s">
        <v>110</v>
      </c>
      <c r="C67" s="15">
        <f>+'Entrate tot e finalizzati'!C67-'Entrate tot e finalizzati'!D67</f>
        <v>0</v>
      </c>
      <c r="D67" s="31">
        <f>+'Entrate tot e finalizzati'!E67-'Entrate tot e finalizzati'!F67</f>
        <v>0</v>
      </c>
      <c r="E67" s="31">
        <f>+'Entrate tot e finalizzati'!G67-'Entrate tot e finalizzati'!H67</f>
        <v>10</v>
      </c>
      <c r="F67" s="31">
        <f>+'Entrate tot e finalizzati'!I67-'Entrate tot e finalizzati'!J67</f>
        <v>0</v>
      </c>
      <c r="G67" s="31">
        <f>+'Entrate tot e finalizzati'!K67-'Entrate tot e finalizzati'!L67</f>
        <v>0</v>
      </c>
      <c r="H67" s="31">
        <f>+'Entrate tot e finalizzati'!M67-'Entrate tot e finalizzati'!N67</f>
        <v>0</v>
      </c>
      <c r="I67" s="31">
        <f>+'Entrate tot e finalizzati'!O67-'Entrate tot e finalizzati'!P67</f>
        <v>0</v>
      </c>
      <c r="J67" s="31">
        <f>+'Entrate tot e finalizzati'!Q67-'Entrate tot e finalizzati'!R67</f>
        <v>0</v>
      </c>
      <c r="K67" s="31">
        <f>+'Entrate tot e finalizzati'!S67-'Entrate tot e finalizzati'!T67</f>
        <v>0</v>
      </c>
      <c r="L67" s="31">
        <f>+'Entrate tot e finalizzati'!U67-'Entrate tot e finalizzati'!V67</f>
        <v>0</v>
      </c>
      <c r="M67" s="33"/>
      <c r="N67" s="33"/>
      <c r="O67" s="33"/>
      <c r="P67" s="33"/>
      <c r="Q67" s="33"/>
      <c r="R67" s="33"/>
      <c r="S67" s="33"/>
      <c r="T67" s="33"/>
    </row>
    <row r="68" spans="1:20" s="2" customFormat="1" ht="12.75">
      <c r="A68" s="43"/>
      <c r="B68" s="101" t="s">
        <v>111</v>
      </c>
      <c r="C68" s="10">
        <f>+'Entrate tot e finalizzati'!C68-'Entrate tot e finalizzati'!D68</f>
        <v>0</v>
      </c>
      <c r="D68" s="31">
        <f>+'Entrate tot e finalizzati'!E68-'Entrate tot e finalizzati'!F68</f>
        <v>0</v>
      </c>
      <c r="E68" s="31">
        <f>+'Entrate tot e finalizzati'!G68-'Entrate tot e finalizzati'!H68</f>
        <v>0</v>
      </c>
      <c r="F68" s="31">
        <f>+'Entrate tot e finalizzati'!I68-'Entrate tot e finalizzati'!J68</f>
        <v>0</v>
      </c>
      <c r="G68" s="31">
        <f>+'Entrate tot e finalizzati'!K68-'Entrate tot e finalizzati'!L68</f>
        <v>0</v>
      </c>
      <c r="H68" s="31">
        <f>+'Entrate tot e finalizzati'!M68-'Entrate tot e finalizzati'!N68</f>
        <v>0</v>
      </c>
      <c r="I68" s="31">
        <f>+'Entrate tot e finalizzati'!O68-'Entrate tot e finalizzati'!P68</f>
        <v>0</v>
      </c>
      <c r="J68" s="31">
        <f>+'Entrate tot e finalizzati'!Q68-'Entrate tot e finalizzati'!R68</f>
        <v>0</v>
      </c>
      <c r="K68" s="31">
        <f>+'Entrate tot e finalizzati'!S68-'Entrate tot e finalizzati'!T68</f>
        <v>0</v>
      </c>
      <c r="L68" s="31">
        <f>+'Entrate tot e finalizzati'!U68-'Entrate tot e finalizzati'!V68</f>
        <v>0</v>
      </c>
      <c r="M68" s="33"/>
      <c r="N68" s="33"/>
      <c r="O68" s="33"/>
      <c r="P68" s="33"/>
      <c r="Q68" s="33"/>
      <c r="R68" s="33"/>
      <c r="S68" s="33"/>
      <c r="T68" s="33"/>
    </row>
    <row r="69" spans="1:20" s="2" customFormat="1" ht="12.75">
      <c r="A69" s="43"/>
      <c r="B69" s="101" t="s">
        <v>65</v>
      </c>
      <c r="C69" s="10">
        <f>+'Entrate tot e finalizzati'!C69-'Entrate tot e finalizzati'!D69</f>
        <v>11</v>
      </c>
      <c r="D69" s="31">
        <f>+'Entrate tot e finalizzati'!E69-'Entrate tot e finalizzati'!F69</f>
        <v>11</v>
      </c>
      <c r="E69" s="31">
        <f>+'Entrate tot e finalizzati'!G69-'Entrate tot e finalizzati'!H69</f>
        <v>11</v>
      </c>
      <c r="F69" s="31">
        <f>+'Entrate tot e finalizzati'!I69-'Entrate tot e finalizzati'!J69</f>
        <v>11</v>
      </c>
      <c r="G69" s="31">
        <f>+'Entrate tot e finalizzati'!K69-'Entrate tot e finalizzati'!L69</f>
        <v>11</v>
      </c>
      <c r="H69" s="31">
        <f>+'Entrate tot e finalizzati'!M69-'Entrate tot e finalizzati'!N69</f>
        <v>12</v>
      </c>
      <c r="I69" s="31">
        <f>+'Entrate tot e finalizzati'!O69-'Entrate tot e finalizzati'!P69</f>
        <v>12</v>
      </c>
      <c r="J69" s="31">
        <f>+'Entrate tot e finalizzati'!Q69-'Entrate tot e finalizzati'!R69</f>
        <v>12</v>
      </c>
      <c r="K69" s="31">
        <f>+'Entrate tot e finalizzati'!S69-'Entrate tot e finalizzati'!T69</f>
        <v>13</v>
      </c>
      <c r="L69" s="31">
        <f>+'Entrate tot e finalizzati'!U69-'Entrate tot e finalizzati'!V69</f>
        <v>13</v>
      </c>
      <c r="M69" s="33"/>
      <c r="N69" s="33"/>
      <c r="O69" s="33"/>
      <c r="P69" s="33"/>
      <c r="Q69" s="33"/>
      <c r="R69" s="33"/>
      <c r="S69" s="33"/>
      <c r="T69" s="33"/>
    </row>
    <row r="70" spans="1:20" s="2" customFormat="1" ht="12.75">
      <c r="A70" s="43"/>
      <c r="B70" s="42" t="s">
        <v>15</v>
      </c>
      <c r="C70" s="10">
        <f>+'Entrate tot e finalizzati'!C70-'Entrate tot e finalizzati'!D70</f>
        <v>0</v>
      </c>
      <c r="D70" s="31">
        <f>+'Entrate tot e finalizzati'!E70-'Entrate tot e finalizzati'!F70</f>
        <v>0</v>
      </c>
      <c r="E70" s="31">
        <f>+'Entrate tot e finalizzati'!G70-'Entrate tot e finalizzati'!H70</f>
        <v>0</v>
      </c>
      <c r="F70" s="31">
        <f>+'Entrate tot e finalizzati'!I70-'Entrate tot e finalizzati'!J70</f>
        <v>0</v>
      </c>
      <c r="G70" s="31">
        <f>+'Entrate tot e finalizzati'!K70-'Entrate tot e finalizzati'!L70</f>
        <v>0</v>
      </c>
      <c r="H70" s="31">
        <f>+'Entrate tot e finalizzati'!M70-'Entrate tot e finalizzati'!N70</f>
        <v>0</v>
      </c>
      <c r="I70" s="31">
        <f>+'Entrate tot e finalizzati'!O70-'Entrate tot e finalizzati'!P70</f>
        <v>0</v>
      </c>
      <c r="J70" s="31">
        <f>+'Entrate tot e finalizzati'!Q70-'Entrate tot e finalizzati'!R70</f>
        <v>0</v>
      </c>
      <c r="K70" s="31">
        <f>+'Entrate tot e finalizzati'!S70-'Entrate tot e finalizzati'!T70</f>
        <v>0</v>
      </c>
      <c r="L70" s="31">
        <f>+'Entrate tot e finalizzati'!U70-'Entrate tot e finalizzati'!V70</f>
        <v>0</v>
      </c>
      <c r="M70" s="33"/>
      <c r="N70" s="33"/>
      <c r="O70" s="33"/>
      <c r="P70" s="33"/>
      <c r="Q70" s="33"/>
      <c r="R70" s="33"/>
      <c r="S70" s="33"/>
      <c r="T70" s="33"/>
    </row>
    <row r="71" spans="1:20" s="2" customFormat="1" ht="12.75">
      <c r="A71" s="43"/>
      <c r="B71" s="17" t="s">
        <v>60</v>
      </c>
      <c r="C71" s="10">
        <f>+'Entrate tot e finalizzati'!C71-'Entrate tot e finalizzati'!D71</f>
        <v>0</v>
      </c>
      <c r="D71" s="31">
        <f>+'Entrate tot e finalizzati'!E71-'Entrate tot e finalizzati'!F71</f>
        <v>1033</v>
      </c>
      <c r="E71" s="31">
        <f>+'Entrate tot e finalizzati'!G71-'Entrate tot e finalizzati'!H71</f>
        <v>160</v>
      </c>
      <c r="F71" s="31">
        <f>+'Entrate tot e finalizzati'!I71-'Entrate tot e finalizzati'!J71</f>
        <v>0</v>
      </c>
      <c r="G71" s="31">
        <f>+'Entrate tot e finalizzati'!K71-'Entrate tot e finalizzati'!L71</f>
        <v>0</v>
      </c>
      <c r="H71" s="31">
        <f>+'Entrate tot e finalizzati'!M71-'Entrate tot e finalizzati'!N71</f>
        <v>0</v>
      </c>
      <c r="I71" s="31">
        <f>+'Entrate tot e finalizzati'!O71-'Entrate tot e finalizzati'!P71</f>
        <v>0</v>
      </c>
      <c r="J71" s="31">
        <f>+'Entrate tot e finalizzati'!Q71-'Entrate tot e finalizzati'!R71</f>
        <v>0</v>
      </c>
      <c r="K71" s="31">
        <f>+'Entrate tot e finalizzati'!S71-'Entrate tot e finalizzati'!T71</f>
        <v>0</v>
      </c>
      <c r="L71" s="31">
        <f>+'Entrate tot e finalizzati'!U71-'Entrate tot e finalizzati'!V71</f>
        <v>0</v>
      </c>
      <c r="M71" s="33"/>
      <c r="N71" s="33"/>
      <c r="O71" s="33"/>
      <c r="P71" s="33"/>
      <c r="Q71" s="33"/>
      <c r="R71" s="33"/>
      <c r="S71" s="33"/>
      <c r="T71" s="33"/>
    </row>
    <row r="72" spans="1:20" s="2" customFormat="1" ht="12.75">
      <c r="A72" s="43"/>
      <c r="B72" s="17" t="s">
        <v>99</v>
      </c>
      <c r="C72" s="10">
        <f>+'Entrate tot e finalizzati'!C72-'Entrate tot e finalizzati'!D72</f>
        <v>0</v>
      </c>
      <c r="D72" s="31">
        <f>+'Entrate tot e finalizzati'!E72-'Entrate tot e finalizzati'!F72</f>
        <v>0</v>
      </c>
      <c r="E72" s="31">
        <f>+'Entrate tot e finalizzati'!G72-'Entrate tot e finalizzati'!H72</f>
        <v>0</v>
      </c>
      <c r="F72" s="31">
        <f>+'Entrate tot e finalizzati'!I72-'Entrate tot e finalizzati'!J72</f>
        <v>0</v>
      </c>
      <c r="G72" s="31">
        <f>+'Entrate tot e finalizzati'!K72-'Entrate tot e finalizzati'!L72</f>
        <v>0</v>
      </c>
      <c r="H72" s="31">
        <f>+'Entrate tot e finalizzati'!M72-'Entrate tot e finalizzati'!N72</f>
        <v>108</v>
      </c>
      <c r="I72" s="31">
        <f>+'Entrate tot e finalizzati'!O72-'Entrate tot e finalizzati'!P72</f>
        <v>108</v>
      </c>
      <c r="J72" s="31">
        <f>+'Entrate tot e finalizzati'!Q72-'Entrate tot e finalizzati'!R72</f>
        <v>240</v>
      </c>
      <c r="K72" s="31">
        <f>+'Entrate tot e finalizzati'!S72-'Entrate tot e finalizzati'!T72</f>
        <v>113</v>
      </c>
      <c r="L72" s="31">
        <f>+'Entrate tot e finalizzati'!U72-'Entrate tot e finalizzati'!V72</f>
        <v>113</v>
      </c>
      <c r="M72" s="33"/>
      <c r="N72" s="33"/>
      <c r="O72" s="33"/>
      <c r="P72" s="33"/>
      <c r="Q72" s="33"/>
      <c r="R72" s="33"/>
      <c r="S72" s="33"/>
      <c r="T72" s="33"/>
    </row>
    <row r="73" spans="1:20" s="2" customFormat="1" ht="12.75">
      <c r="A73" s="47"/>
      <c r="B73" s="110" t="s">
        <v>70</v>
      </c>
      <c r="C73" s="20">
        <f>+'Entrate tot e finalizzati'!C73-'Entrate tot e finalizzati'!D73</f>
        <v>3895</v>
      </c>
      <c r="D73" s="32">
        <f>+'Entrate tot e finalizzati'!E73-'Entrate tot e finalizzati'!F73</f>
        <v>3850</v>
      </c>
      <c r="E73" s="73">
        <f>+'Entrate tot e finalizzati'!G73-'Entrate tot e finalizzati'!H73</f>
        <v>3679</v>
      </c>
      <c r="F73" s="32">
        <f>+'Entrate tot e finalizzati'!I73-'Entrate tot e finalizzati'!J73</f>
        <v>3099</v>
      </c>
      <c r="G73" s="73">
        <f>+'Entrate tot e finalizzati'!K73-'Entrate tot e finalizzati'!L73</f>
        <v>4206</v>
      </c>
      <c r="H73" s="73">
        <f>+'Entrate tot e finalizzati'!M73-'Entrate tot e finalizzati'!N73</f>
        <v>3550</v>
      </c>
      <c r="I73" s="73">
        <f>+'Entrate tot e finalizzati'!O73-'Entrate tot e finalizzati'!P73</f>
        <v>2769</v>
      </c>
      <c r="J73" s="73">
        <f>+'Entrate tot e finalizzati'!Q73-'Entrate tot e finalizzati'!R73</f>
        <v>2301</v>
      </c>
      <c r="K73" s="73">
        <f>+'Entrate tot e finalizzati'!S73-'Entrate tot e finalizzati'!T73</f>
        <v>2017</v>
      </c>
      <c r="L73" s="73">
        <f>+'Entrate tot e finalizzati'!U73-'Entrate tot e finalizzati'!V73</f>
        <v>2414</v>
      </c>
      <c r="M73" s="33"/>
      <c r="N73" s="33"/>
      <c r="O73" s="33"/>
      <c r="P73" s="33"/>
      <c r="Q73" s="33"/>
      <c r="R73" s="33"/>
      <c r="S73" s="33"/>
      <c r="T73" s="33"/>
    </row>
    <row r="74" spans="1:20" s="2" customFormat="1" ht="12.75">
      <c r="A74" s="64" t="s">
        <v>86</v>
      </c>
      <c r="B74" s="108"/>
      <c r="C74" s="28">
        <f>+'Entrate tot e finalizzati'!C74-'Entrate tot e finalizzati'!D74</f>
        <v>771</v>
      </c>
      <c r="D74" s="28">
        <f>+'Entrate tot e finalizzati'!E74-'Entrate tot e finalizzati'!F74</f>
        <v>667</v>
      </c>
      <c r="E74" s="28">
        <f>+'Entrate tot e finalizzati'!G74-'Entrate tot e finalizzati'!H74</f>
        <v>214</v>
      </c>
      <c r="F74" s="28">
        <f>+'Entrate tot e finalizzati'!I74-'Entrate tot e finalizzati'!J74</f>
        <v>420</v>
      </c>
      <c r="G74" s="28">
        <f>+'Entrate tot e finalizzati'!K74-'Entrate tot e finalizzati'!L74</f>
        <v>378</v>
      </c>
      <c r="H74" s="28">
        <f>+'Entrate tot e finalizzati'!M74-'Entrate tot e finalizzati'!N74</f>
        <v>534</v>
      </c>
      <c r="I74" s="28">
        <f>+'Entrate tot e finalizzati'!O74-'Entrate tot e finalizzati'!P74</f>
        <v>1349</v>
      </c>
      <c r="J74" s="28">
        <f>+'Entrate tot e finalizzati'!Q74-'Entrate tot e finalizzati'!R74</f>
        <v>211</v>
      </c>
      <c r="K74" s="28">
        <f>+'Entrate tot e finalizzati'!S74-'Entrate tot e finalizzati'!T74</f>
        <v>229</v>
      </c>
      <c r="L74" s="28">
        <f>+'Entrate tot e finalizzati'!U74-'Entrate tot e finalizzati'!V74</f>
        <v>213</v>
      </c>
      <c r="M74" s="33"/>
      <c r="N74" s="33"/>
      <c r="O74" s="33"/>
      <c r="P74" s="33"/>
      <c r="Q74" s="33"/>
      <c r="R74" s="33"/>
      <c r="S74" s="33"/>
      <c r="T74" s="33"/>
    </row>
    <row r="75" spans="1:20" s="2" customFormat="1" ht="12.75">
      <c r="A75" s="43"/>
      <c r="B75" s="101" t="s">
        <v>30</v>
      </c>
      <c r="C75" s="19">
        <f>+'Entrate tot e finalizzati'!C75-'Entrate tot e finalizzati'!D75</f>
        <v>207</v>
      </c>
      <c r="D75" s="42">
        <f>+'Entrate tot e finalizzati'!E75-'Entrate tot e finalizzati'!F75</f>
        <v>207</v>
      </c>
      <c r="E75" s="31">
        <f>+'Entrate tot e finalizzati'!G75-'Entrate tot e finalizzati'!H75</f>
        <v>0</v>
      </c>
      <c r="F75" s="55">
        <f>+'Entrate tot e finalizzati'!I75-'Entrate tot e finalizzati'!J75</f>
        <v>0</v>
      </c>
      <c r="G75" s="31">
        <f>+'Entrate tot e finalizzati'!K75-'Entrate tot e finalizzati'!L75</f>
        <v>0</v>
      </c>
      <c r="H75" s="55">
        <f>+'Entrate tot e finalizzati'!M75-'Entrate tot e finalizzati'!N75</f>
        <v>0</v>
      </c>
      <c r="I75" s="31">
        <f>+'Entrate tot e finalizzati'!O75-'Entrate tot e finalizzati'!P75</f>
        <v>1100</v>
      </c>
      <c r="J75" s="55">
        <f>+'Entrate tot e finalizzati'!Q75-'Entrate tot e finalizzati'!R75</f>
        <v>0</v>
      </c>
      <c r="K75" s="31">
        <f>+'Entrate tot e finalizzati'!S75-'Entrate tot e finalizzati'!T75</f>
        <v>0</v>
      </c>
      <c r="L75" s="55">
        <f>+'Entrate tot e finalizzati'!U75-'Entrate tot e finalizzati'!V75</f>
        <v>0</v>
      </c>
      <c r="M75" s="33"/>
      <c r="N75" s="33"/>
      <c r="O75" s="33"/>
      <c r="P75" s="33"/>
      <c r="Q75" s="33"/>
      <c r="R75" s="33"/>
      <c r="S75" s="33"/>
      <c r="T75" s="33"/>
    </row>
    <row r="76" spans="1:20" s="2" customFormat="1" ht="12.75">
      <c r="A76" s="43"/>
      <c r="B76" s="101" t="s">
        <v>65</v>
      </c>
      <c r="C76" s="19">
        <f>+'Entrate tot e finalizzati'!C76-'Entrate tot e finalizzati'!D76</f>
        <v>0</v>
      </c>
      <c r="D76" s="42">
        <f>+'Entrate tot e finalizzati'!E76-'Entrate tot e finalizzati'!F76</f>
        <v>0</v>
      </c>
      <c r="E76" s="31">
        <f>+'Entrate tot e finalizzati'!G76-'Entrate tot e finalizzati'!H76</f>
        <v>0</v>
      </c>
      <c r="F76" s="55">
        <f>+'Entrate tot e finalizzati'!I76-'Entrate tot e finalizzati'!J76</f>
        <v>0</v>
      </c>
      <c r="G76" s="31">
        <f>+'Entrate tot e finalizzati'!K76-'Entrate tot e finalizzati'!L76</f>
        <v>0</v>
      </c>
      <c r="H76" s="55">
        <f>+'Entrate tot e finalizzati'!M76-'Entrate tot e finalizzati'!N76</f>
        <v>0</v>
      </c>
      <c r="I76" s="31">
        <f>+'Entrate tot e finalizzati'!O76-'Entrate tot e finalizzati'!P76</f>
        <v>0</v>
      </c>
      <c r="J76" s="55">
        <f>+'Entrate tot e finalizzati'!Q76-'Entrate tot e finalizzati'!R76</f>
        <v>0</v>
      </c>
      <c r="K76" s="31">
        <f>+'Entrate tot e finalizzati'!S76-'Entrate tot e finalizzati'!T76</f>
        <v>0</v>
      </c>
      <c r="L76" s="55">
        <f>+'Entrate tot e finalizzati'!U76-'Entrate tot e finalizzati'!V76</f>
        <v>0</v>
      </c>
      <c r="M76" s="33"/>
      <c r="N76" s="33"/>
      <c r="O76" s="33"/>
      <c r="P76" s="33"/>
      <c r="Q76" s="33"/>
      <c r="R76" s="33"/>
      <c r="S76" s="33"/>
      <c r="T76" s="33"/>
    </row>
    <row r="77" spans="1:20" s="2" customFormat="1" ht="12.75">
      <c r="A77" s="43"/>
      <c r="B77" s="103" t="s">
        <v>22</v>
      </c>
      <c r="C77" s="19">
        <f>+'Entrate tot e finalizzati'!C77-'Entrate tot e finalizzati'!D77</f>
        <v>564</v>
      </c>
      <c r="D77" s="17">
        <f>+'Entrate tot e finalizzati'!E77-'Entrate tot e finalizzati'!F77</f>
        <v>183</v>
      </c>
      <c r="E77" s="19">
        <f>+'Entrate tot e finalizzati'!G77-'Entrate tot e finalizzati'!H77</f>
        <v>163</v>
      </c>
      <c r="F77" s="17">
        <f>+'Entrate tot e finalizzati'!I77-'Entrate tot e finalizzati'!J77</f>
        <v>283</v>
      </c>
      <c r="G77" s="19">
        <f>+'Entrate tot e finalizzati'!K77-'Entrate tot e finalizzati'!L77</f>
        <v>325</v>
      </c>
      <c r="H77" s="17">
        <f>+'Entrate tot e finalizzati'!M77-'Entrate tot e finalizzati'!N77</f>
        <v>534</v>
      </c>
      <c r="I77" s="19">
        <f>+'Entrate tot e finalizzati'!O77-'Entrate tot e finalizzati'!P77</f>
        <v>249</v>
      </c>
      <c r="J77" s="17">
        <f>+'Entrate tot e finalizzati'!Q77-'Entrate tot e finalizzati'!R77</f>
        <v>202</v>
      </c>
      <c r="K77" s="19">
        <f>+'Entrate tot e finalizzati'!S77-'Entrate tot e finalizzati'!T77</f>
        <v>229</v>
      </c>
      <c r="L77" s="17">
        <f>+'Entrate tot e finalizzati'!U77-'Entrate tot e finalizzati'!V77</f>
        <v>213</v>
      </c>
      <c r="M77" s="33"/>
      <c r="N77" s="33"/>
      <c r="O77" s="33"/>
      <c r="P77" s="33"/>
      <c r="Q77" s="33"/>
      <c r="R77" s="33"/>
      <c r="S77" s="33"/>
      <c r="T77" s="33"/>
    </row>
    <row r="78" spans="1:20" s="2" customFormat="1" ht="12.75">
      <c r="A78" s="43"/>
      <c r="B78" s="42" t="s">
        <v>17</v>
      </c>
      <c r="C78" s="19">
        <f>+'Entrate tot e finalizzati'!C78-'Entrate tot e finalizzati'!D78</f>
        <v>0</v>
      </c>
      <c r="D78" s="17">
        <f>+'Entrate tot e finalizzati'!E78-'Entrate tot e finalizzati'!F78</f>
        <v>32</v>
      </c>
      <c r="E78" s="19">
        <f>+'Entrate tot e finalizzati'!G78-'Entrate tot e finalizzati'!H78</f>
        <v>51</v>
      </c>
      <c r="F78" s="61">
        <f>+'Entrate tot e finalizzati'!I78-'Entrate tot e finalizzati'!J78</f>
        <v>29</v>
      </c>
      <c r="G78" s="19">
        <f>+'Entrate tot e finalizzati'!K78-'Entrate tot e finalizzati'!L78</f>
        <v>0</v>
      </c>
      <c r="H78" s="61">
        <f>+'Entrate tot e finalizzati'!M78-'Entrate tot e finalizzati'!N78</f>
        <v>0</v>
      </c>
      <c r="I78" s="19">
        <f>+'Entrate tot e finalizzati'!O78-'Entrate tot e finalizzati'!P78</f>
        <v>0</v>
      </c>
      <c r="J78" s="61">
        <f>+'Entrate tot e finalizzati'!Q78-'Entrate tot e finalizzati'!R78</f>
        <v>0</v>
      </c>
      <c r="K78" s="19">
        <f>+'Entrate tot e finalizzati'!S78-'Entrate tot e finalizzati'!T78</f>
        <v>0</v>
      </c>
      <c r="L78" s="61">
        <f>+'Entrate tot e finalizzati'!U78-'Entrate tot e finalizzati'!V78</f>
        <v>0</v>
      </c>
      <c r="M78" s="33"/>
      <c r="N78" s="33"/>
      <c r="O78" s="33"/>
      <c r="P78" s="33"/>
      <c r="Q78" s="33"/>
      <c r="R78" s="33"/>
      <c r="S78" s="33"/>
      <c r="T78" s="33"/>
    </row>
    <row r="79" spans="1:20" s="2" customFormat="1" ht="12.75">
      <c r="A79" s="43"/>
      <c r="B79" s="101" t="s">
        <v>95</v>
      </c>
      <c r="C79" s="19">
        <f>+'Entrate tot e finalizzati'!C79-'Entrate tot e finalizzati'!D79</f>
        <v>0</v>
      </c>
      <c r="D79" s="17">
        <f>+'Entrate tot e finalizzati'!E79-'Entrate tot e finalizzati'!F79</f>
        <v>0</v>
      </c>
      <c r="E79" s="19">
        <f>+'Entrate tot e finalizzati'!G79-'Entrate tot e finalizzati'!H79</f>
        <v>0</v>
      </c>
      <c r="F79" s="17">
        <f>+'Entrate tot e finalizzati'!I79-'Entrate tot e finalizzati'!J79</f>
        <v>0</v>
      </c>
      <c r="G79" s="19">
        <f>+'Entrate tot e finalizzati'!K79-'Entrate tot e finalizzati'!L79</f>
        <v>0</v>
      </c>
      <c r="H79" s="17">
        <f>+'Entrate tot e finalizzati'!M79-'Entrate tot e finalizzati'!N79</f>
        <v>0</v>
      </c>
      <c r="I79" s="19">
        <f>+'Entrate tot e finalizzati'!O79-'Entrate tot e finalizzati'!P79</f>
        <v>0</v>
      </c>
      <c r="J79" s="17">
        <f>+'Entrate tot e finalizzati'!Q79-'Entrate tot e finalizzati'!R79</f>
        <v>0</v>
      </c>
      <c r="K79" s="19">
        <f>+'Entrate tot e finalizzati'!S79-'Entrate tot e finalizzati'!T79</f>
        <v>0</v>
      </c>
      <c r="L79" s="17">
        <f>+'Entrate tot e finalizzati'!U79-'Entrate tot e finalizzati'!V79</f>
        <v>0</v>
      </c>
      <c r="M79" s="94"/>
      <c r="N79" s="94"/>
      <c r="O79" s="94"/>
      <c r="P79" s="94"/>
      <c r="Q79" s="94"/>
      <c r="R79" s="94"/>
      <c r="S79" s="94"/>
      <c r="T79" s="94"/>
    </row>
    <row r="80" spans="1:20" s="2" customFormat="1" ht="12.75">
      <c r="A80" s="43"/>
      <c r="B80" s="101" t="s">
        <v>12</v>
      </c>
      <c r="C80" s="19">
        <f>+'Entrate tot e finalizzati'!C80-'Entrate tot e finalizzati'!D80</f>
        <v>0</v>
      </c>
      <c r="D80" s="17">
        <f>+'Entrate tot e finalizzati'!E80-'Entrate tot e finalizzati'!F80</f>
        <v>0</v>
      </c>
      <c r="E80" s="19">
        <f>+'Entrate tot e finalizzati'!G80-'Entrate tot e finalizzati'!H80</f>
        <v>0</v>
      </c>
      <c r="F80" s="61">
        <f>+'Entrate tot e finalizzati'!I80-'Entrate tot e finalizzati'!J80</f>
        <v>108</v>
      </c>
      <c r="G80" s="19">
        <f>+'Entrate tot e finalizzati'!K80-'Entrate tot e finalizzati'!L80</f>
        <v>53</v>
      </c>
      <c r="H80" s="61">
        <f>+'Entrate tot e finalizzati'!M80-'Entrate tot e finalizzati'!N80</f>
        <v>0</v>
      </c>
      <c r="I80" s="19">
        <f>+'Entrate tot e finalizzati'!O80-'Entrate tot e finalizzati'!P80</f>
        <v>0</v>
      </c>
      <c r="J80" s="61">
        <f>+'Entrate tot e finalizzati'!Q80-'Entrate tot e finalizzati'!R80</f>
        <v>9</v>
      </c>
      <c r="K80" s="19">
        <f>+'Entrate tot e finalizzati'!S80-'Entrate tot e finalizzati'!T80</f>
        <v>0</v>
      </c>
      <c r="L80" s="61">
        <f>+'Entrate tot e finalizzati'!U80-'Entrate tot e finalizzati'!V80</f>
        <v>0</v>
      </c>
      <c r="M80" s="33"/>
      <c r="N80" s="33"/>
      <c r="O80" s="33"/>
      <c r="P80" s="33"/>
      <c r="Q80" s="33"/>
      <c r="R80" s="33"/>
      <c r="S80" s="33"/>
      <c r="T80" s="33"/>
    </row>
    <row r="81" spans="1:20" s="2" customFormat="1" ht="12.75">
      <c r="A81" s="47"/>
      <c r="B81" s="102" t="s">
        <v>57</v>
      </c>
      <c r="C81" s="20">
        <f>+'Entrate tot e finalizzati'!C81-'Entrate tot e finalizzati'!D81</f>
        <v>0</v>
      </c>
      <c r="D81" s="18">
        <f>+'Entrate tot e finalizzati'!E81-'Entrate tot e finalizzati'!F81</f>
        <v>245</v>
      </c>
      <c r="E81" s="20">
        <f>+'Entrate tot e finalizzati'!G81-'Entrate tot e finalizzati'!H81</f>
        <v>0</v>
      </c>
      <c r="F81" s="78">
        <f>+'Entrate tot e finalizzati'!I81-'Entrate tot e finalizzati'!J81</f>
        <v>0</v>
      </c>
      <c r="G81" s="20">
        <f>+'Entrate tot e finalizzati'!K81-'Entrate tot e finalizzati'!L81</f>
        <v>0</v>
      </c>
      <c r="H81" s="78">
        <f>+'Entrate tot e finalizzati'!M81-'Entrate tot e finalizzati'!N81</f>
        <v>0</v>
      </c>
      <c r="I81" s="20">
        <f>+'Entrate tot e finalizzati'!O81-'Entrate tot e finalizzati'!P81</f>
        <v>0</v>
      </c>
      <c r="J81" s="78">
        <f>+'Entrate tot e finalizzati'!Q81-'Entrate tot e finalizzati'!R81</f>
        <v>0</v>
      </c>
      <c r="K81" s="20">
        <f>+'Entrate tot e finalizzati'!S81-'Entrate tot e finalizzati'!T81</f>
        <v>0</v>
      </c>
      <c r="L81" s="78">
        <f>+'Entrate tot e finalizzati'!U81-'Entrate tot e finalizzati'!V81</f>
        <v>0</v>
      </c>
      <c r="M81" s="33"/>
      <c r="N81" s="33"/>
      <c r="O81" s="33"/>
      <c r="P81" s="33"/>
      <c r="Q81" s="33"/>
      <c r="R81" s="33"/>
      <c r="S81" s="33"/>
      <c r="T81" s="33"/>
    </row>
    <row r="82" spans="1:20" s="2" customFormat="1" ht="12.75">
      <c r="A82" s="64" t="s">
        <v>105</v>
      </c>
      <c r="B82" s="112"/>
      <c r="C82" s="28">
        <f>+'Entrate tot e finalizzati'!C82-'Entrate tot e finalizzati'!D82</f>
        <v>11402</v>
      </c>
      <c r="D82" s="28">
        <f>+'Entrate tot e finalizzati'!E82-'Entrate tot e finalizzati'!F82</f>
        <v>11895</v>
      </c>
      <c r="E82" s="28">
        <f>+'Entrate tot e finalizzati'!G82-'Entrate tot e finalizzati'!H82</f>
        <v>11648</v>
      </c>
      <c r="F82" s="28">
        <f>+'Entrate tot e finalizzati'!I82-'Entrate tot e finalizzati'!J82</f>
        <v>11738</v>
      </c>
      <c r="G82" s="28">
        <f>+'Entrate tot e finalizzati'!K82-'Entrate tot e finalizzati'!L82</f>
        <v>11809</v>
      </c>
      <c r="H82" s="28">
        <f>+'Entrate tot e finalizzati'!M82-'Entrate tot e finalizzati'!N82</f>
        <v>11745</v>
      </c>
      <c r="I82" s="28">
        <f>+'Entrate tot e finalizzati'!O82-'Entrate tot e finalizzati'!P82</f>
        <v>12319</v>
      </c>
      <c r="J82" s="28">
        <f>+'Entrate tot e finalizzati'!Q82-'Entrate tot e finalizzati'!R82</f>
        <v>12633</v>
      </c>
      <c r="K82" s="28">
        <f>+'Entrate tot e finalizzati'!S82-'Entrate tot e finalizzati'!T82</f>
        <v>13146</v>
      </c>
      <c r="L82" s="28">
        <f>+'Entrate tot e finalizzati'!U82-'Entrate tot e finalizzati'!V82</f>
        <v>10878</v>
      </c>
      <c r="M82" s="33"/>
      <c r="N82" s="33"/>
      <c r="O82" s="33"/>
      <c r="P82" s="33"/>
      <c r="Q82" s="33"/>
      <c r="R82" s="33"/>
      <c r="S82" s="33"/>
      <c r="T82" s="33"/>
    </row>
    <row r="83" spans="1:20" s="2" customFormat="1" ht="12.75">
      <c r="A83" s="43"/>
      <c r="B83" s="101" t="s">
        <v>89</v>
      </c>
      <c r="C83" s="19">
        <f>+'Entrate tot e finalizzati'!C83-'Entrate tot e finalizzati'!D83</f>
        <v>0</v>
      </c>
      <c r="D83" s="42">
        <f>+'Entrate tot e finalizzati'!E83-'Entrate tot e finalizzati'!F83</f>
        <v>0</v>
      </c>
      <c r="E83" s="30">
        <f>+'Entrate tot e finalizzati'!G83-'Entrate tot e finalizzati'!H83</f>
        <v>0</v>
      </c>
      <c r="F83" s="42">
        <f>+'Entrate tot e finalizzati'!I83-'Entrate tot e finalizzati'!J83</f>
        <v>0</v>
      </c>
      <c r="G83" s="30">
        <f>+'Entrate tot e finalizzati'!K83-'Entrate tot e finalizzati'!L83</f>
        <v>0</v>
      </c>
      <c r="H83" s="42">
        <f>+'Entrate tot e finalizzati'!M83-'Entrate tot e finalizzati'!N83</f>
        <v>0</v>
      </c>
      <c r="I83" s="30">
        <f>+'Entrate tot e finalizzati'!O83-'Entrate tot e finalizzati'!P83</f>
        <v>0</v>
      </c>
      <c r="J83" s="42">
        <f>+'Entrate tot e finalizzati'!Q83-'Entrate tot e finalizzati'!R83</f>
        <v>0</v>
      </c>
      <c r="K83" s="30">
        <f>+'Entrate tot e finalizzati'!S83-'Entrate tot e finalizzati'!T83</f>
        <v>0</v>
      </c>
      <c r="L83" s="42">
        <f>+'Entrate tot e finalizzati'!U83-'Entrate tot e finalizzati'!V83</f>
        <v>0</v>
      </c>
      <c r="M83" s="33"/>
      <c r="N83" s="33"/>
      <c r="O83" s="33"/>
      <c r="P83" s="33"/>
      <c r="Q83" s="33"/>
      <c r="R83" s="33"/>
      <c r="S83" s="33"/>
      <c r="T83" s="33"/>
    </row>
    <row r="84" spans="1:20" s="2" customFormat="1" ht="12.75">
      <c r="A84" s="43"/>
      <c r="B84" s="101" t="s">
        <v>48</v>
      </c>
      <c r="C84" s="19">
        <f>+'Entrate tot e finalizzati'!C84-'Entrate tot e finalizzati'!D84</f>
        <v>5460</v>
      </c>
      <c r="D84" s="42">
        <f>+'Entrate tot e finalizzati'!E84-'Entrate tot e finalizzati'!F84</f>
        <v>5457</v>
      </c>
      <c r="E84" s="30">
        <f>+'Entrate tot e finalizzati'!G84-'Entrate tot e finalizzati'!H84</f>
        <v>5686</v>
      </c>
      <c r="F84" s="42">
        <f>+'Entrate tot e finalizzati'!I84-'Entrate tot e finalizzati'!J84</f>
        <v>5615</v>
      </c>
      <c r="G84" s="30">
        <f>+'Entrate tot e finalizzati'!K84-'Entrate tot e finalizzati'!L84</f>
        <v>5702</v>
      </c>
      <c r="H84" s="42">
        <f>+'Entrate tot e finalizzati'!M84-'Entrate tot e finalizzati'!N84</f>
        <v>5656</v>
      </c>
      <c r="I84" s="30">
        <f>+'Entrate tot e finalizzati'!O84-'Entrate tot e finalizzati'!P84</f>
        <v>5907</v>
      </c>
      <c r="J84" s="42">
        <f>+'Entrate tot e finalizzati'!Q84-'Entrate tot e finalizzati'!R84</f>
        <v>6040</v>
      </c>
      <c r="K84" s="30">
        <f>+'Entrate tot e finalizzati'!S84-'Entrate tot e finalizzati'!T84</f>
        <v>6554</v>
      </c>
      <c r="L84" s="42">
        <f>+'Entrate tot e finalizzati'!U84-'Entrate tot e finalizzati'!V84</f>
        <v>6611</v>
      </c>
      <c r="M84" s="33"/>
      <c r="N84" s="33"/>
      <c r="O84" s="33"/>
      <c r="P84" s="33"/>
      <c r="Q84" s="33"/>
      <c r="R84" s="33"/>
      <c r="S84" s="33"/>
      <c r="T84" s="33"/>
    </row>
    <row r="85" spans="1:20" s="2" customFormat="1" ht="12.75">
      <c r="A85" s="43"/>
      <c r="B85" s="101" t="s">
        <v>90</v>
      </c>
      <c r="C85" s="19">
        <f>+'Entrate tot e finalizzati'!C85-'Entrate tot e finalizzati'!D85</f>
        <v>0</v>
      </c>
      <c r="D85" s="42">
        <f>+'Entrate tot e finalizzati'!E85-'Entrate tot e finalizzati'!F85</f>
        <v>0</v>
      </c>
      <c r="E85" s="30">
        <f>+'Entrate tot e finalizzati'!G85-'Entrate tot e finalizzati'!H85</f>
        <v>0</v>
      </c>
      <c r="F85" s="42">
        <f>+'Entrate tot e finalizzati'!I85-'Entrate tot e finalizzati'!J85</f>
        <v>0</v>
      </c>
      <c r="G85" s="30">
        <f>+'Entrate tot e finalizzati'!K85-'Entrate tot e finalizzati'!L85</f>
        <v>0</v>
      </c>
      <c r="H85" s="42">
        <f>+'Entrate tot e finalizzati'!M85-'Entrate tot e finalizzati'!N85</f>
        <v>0</v>
      </c>
      <c r="I85" s="30">
        <f>+'Entrate tot e finalizzati'!O85-'Entrate tot e finalizzati'!P85</f>
        <v>0</v>
      </c>
      <c r="J85" s="42">
        <f>+'Entrate tot e finalizzati'!Q85-'Entrate tot e finalizzati'!R85</f>
        <v>0</v>
      </c>
      <c r="K85" s="30">
        <f>+'Entrate tot e finalizzati'!S85-'Entrate tot e finalizzati'!T85</f>
        <v>0</v>
      </c>
      <c r="L85" s="42">
        <f>+'Entrate tot e finalizzati'!U85-'Entrate tot e finalizzati'!V85</f>
        <v>0</v>
      </c>
      <c r="M85" s="33"/>
      <c r="N85" s="33"/>
      <c r="O85" s="33"/>
      <c r="P85" s="33"/>
      <c r="Q85" s="33"/>
      <c r="R85" s="33"/>
      <c r="S85" s="33"/>
      <c r="T85" s="33"/>
    </row>
    <row r="86" spans="1:20" s="2" customFormat="1" ht="12.75">
      <c r="A86" s="43"/>
      <c r="B86" s="101" t="s">
        <v>49</v>
      </c>
      <c r="C86" s="19">
        <f>+'Entrate tot e finalizzati'!C86-'Entrate tot e finalizzati'!D86</f>
        <v>36</v>
      </c>
      <c r="D86" s="42">
        <f>+'Entrate tot e finalizzati'!E86-'Entrate tot e finalizzati'!F86</f>
        <v>27</v>
      </c>
      <c r="E86" s="30">
        <f>+'Entrate tot e finalizzati'!G86-'Entrate tot e finalizzati'!H86</f>
        <v>18</v>
      </c>
      <c r="F86" s="42">
        <f>+'Entrate tot e finalizzati'!I86-'Entrate tot e finalizzati'!J86</f>
        <v>0</v>
      </c>
      <c r="G86" s="30">
        <f>+'Entrate tot e finalizzati'!K86-'Entrate tot e finalizzati'!L86</f>
        <v>0</v>
      </c>
      <c r="H86" s="42">
        <f>+'Entrate tot e finalizzati'!M86-'Entrate tot e finalizzati'!N86</f>
        <v>0</v>
      </c>
      <c r="I86" s="30">
        <f>+'Entrate tot e finalizzati'!O86-'Entrate tot e finalizzati'!P86</f>
        <v>0</v>
      </c>
      <c r="J86" s="42">
        <f>+'Entrate tot e finalizzati'!Q86-'Entrate tot e finalizzati'!R86</f>
        <v>0</v>
      </c>
      <c r="K86" s="30">
        <f>+'Entrate tot e finalizzati'!S86-'Entrate tot e finalizzati'!T86</f>
        <v>0</v>
      </c>
      <c r="L86" s="42">
        <f>+'Entrate tot e finalizzati'!U86-'Entrate tot e finalizzati'!V86</f>
        <v>0</v>
      </c>
      <c r="M86" s="33"/>
      <c r="N86" s="33"/>
      <c r="O86" s="33"/>
      <c r="P86" s="33"/>
      <c r="Q86" s="33"/>
      <c r="R86" s="33"/>
      <c r="S86" s="33"/>
      <c r="T86" s="33"/>
    </row>
    <row r="87" spans="1:20" s="2" customFormat="1" ht="12.75">
      <c r="A87" s="43"/>
      <c r="B87" s="101" t="s">
        <v>50</v>
      </c>
      <c r="C87" s="19">
        <f>+'Entrate tot e finalizzati'!C87-'Entrate tot e finalizzati'!D87</f>
        <v>290</v>
      </c>
      <c r="D87" s="42">
        <f>+'Entrate tot e finalizzati'!E87-'Entrate tot e finalizzati'!F87</f>
        <v>792</v>
      </c>
      <c r="E87" s="30">
        <f>+'Entrate tot e finalizzati'!G87-'Entrate tot e finalizzati'!H87</f>
        <v>304</v>
      </c>
      <c r="F87" s="42">
        <f>+'Entrate tot e finalizzati'!I87-'Entrate tot e finalizzati'!J87</f>
        <v>311</v>
      </c>
      <c r="G87" s="30">
        <f>+'Entrate tot e finalizzati'!K87-'Entrate tot e finalizzati'!L87</f>
        <v>317</v>
      </c>
      <c r="H87" s="42">
        <f>+'Entrate tot e finalizzati'!M87-'Entrate tot e finalizzati'!N87</f>
        <v>323</v>
      </c>
      <c r="I87" s="30">
        <f>+'Entrate tot e finalizzati'!O87-'Entrate tot e finalizzati'!P87</f>
        <v>328</v>
      </c>
      <c r="J87" s="42">
        <f>+'Entrate tot e finalizzati'!Q87-'Entrate tot e finalizzati'!R87</f>
        <v>337</v>
      </c>
      <c r="K87" s="30">
        <f>+'Entrate tot e finalizzati'!S87-'Entrate tot e finalizzati'!T87</f>
        <v>343</v>
      </c>
      <c r="L87" s="42">
        <f>+'Entrate tot e finalizzati'!U87-'Entrate tot e finalizzati'!V87</f>
        <v>347</v>
      </c>
      <c r="M87" s="33"/>
      <c r="N87" s="33"/>
      <c r="O87" s="33"/>
      <c r="P87" s="33"/>
      <c r="Q87" s="33"/>
      <c r="R87" s="33"/>
      <c r="S87" s="33"/>
      <c r="T87" s="33"/>
    </row>
    <row r="88" spans="1:20" s="2" customFormat="1" ht="12.75">
      <c r="A88" s="43"/>
      <c r="B88" s="101" t="s">
        <v>83</v>
      </c>
      <c r="C88" s="19">
        <f>+'Entrate tot e finalizzati'!C88-'Entrate tot e finalizzati'!D88</f>
        <v>0</v>
      </c>
      <c r="D88" s="42">
        <f>+'Entrate tot e finalizzati'!E88-'Entrate tot e finalizzati'!F88</f>
        <v>0</v>
      </c>
      <c r="E88" s="30">
        <f>+'Entrate tot e finalizzati'!G88-'Entrate tot e finalizzati'!H88</f>
        <v>0</v>
      </c>
      <c r="F88" s="42">
        <f>+'Entrate tot e finalizzati'!I88-'Entrate tot e finalizzati'!J88</f>
        <v>0</v>
      </c>
      <c r="G88" s="30">
        <f>+'Entrate tot e finalizzati'!K88-'Entrate tot e finalizzati'!L88</f>
        <v>0</v>
      </c>
      <c r="H88" s="42">
        <f>+'Entrate tot e finalizzati'!M88-'Entrate tot e finalizzati'!N88</f>
        <v>0</v>
      </c>
      <c r="I88" s="30">
        <f>+'Entrate tot e finalizzati'!O88-'Entrate tot e finalizzati'!P88</f>
        <v>0</v>
      </c>
      <c r="J88" s="42">
        <f>+'Entrate tot e finalizzati'!Q88-'Entrate tot e finalizzati'!R88</f>
        <v>16</v>
      </c>
      <c r="K88" s="30">
        <f>+'Entrate tot e finalizzati'!S88-'Entrate tot e finalizzati'!T88</f>
        <v>38</v>
      </c>
      <c r="L88" s="42">
        <f>+'Entrate tot e finalizzati'!U88-'Entrate tot e finalizzati'!V88</f>
        <v>38</v>
      </c>
      <c r="M88" s="33"/>
      <c r="N88" s="33"/>
      <c r="O88" s="33"/>
      <c r="P88" s="33"/>
      <c r="Q88" s="33"/>
      <c r="R88" s="33"/>
      <c r="S88" s="33"/>
      <c r="T88" s="33"/>
    </row>
    <row r="89" spans="1:20" s="2" customFormat="1" ht="12.75">
      <c r="A89" s="43"/>
      <c r="B89" s="103" t="s">
        <v>31</v>
      </c>
      <c r="C89" s="19">
        <f>+'Entrate tot e finalizzati'!C89-'Entrate tot e finalizzati'!D89</f>
        <v>374</v>
      </c>
      <c r="D89" s="42">
        <f>+'Entrate tot e finalizzati'!E89-'Entrate tot e finalizzati'!F89</f>
        <v>219</v>
      </c>
      <c r="E89" s="30">
        <f>+'Entrate tot e finalizzati'!G89-'Entrate tot e finalizzati'!H89</f>
        <v>212</v>
      </c>
      <c r="F89" s="42">
        <f>+'Entrate tot e finalizzati'!I89-'Entrate tot e finalizzati'!J89</f>
        <v>284</v>
      </c>
      <c r="G89" s="30">
        <f>+'Entrate tot e finalizzati'!K89-'Entrate tot e finalizzati'!L89</f>
        <v>198</v>
      </c>
      <c r="H89" s="42">
        <f>+'Entrate tot e finalizzati'!M89-'Entrate tot e finalizzati'!N89</f>
        <v>171</v>
      </c>
      <c r="I89" s="30">
        <f>+'Entrate tot e finalizzati'!O89-'Entrate tot e finalizzati'!P89</f>
        <v>270</v>
      </c>
      <c r="J89" s="42">
        <f>+'Entrate tot e finalizzati'!Q89-'Entrate tot e finalizzati'!R89</f>
        <v>290</v>
      </c>
      <c r="K89" s="30">
        <f>+'Entrate tot e finalizzati'!S89-'Entrate tot e finalizzati'!T89</f>
        <v>337</v>
      </c>
      <c r="L89" s="42">
        <f>+'Entrate tot e finalizzati'!U89-'Entrate tot e finalizzati'!V89</f>
        <v>300</v>
      </c>
      <c r="M89" s="33"/>
      <c r="N89" s="33"/>
      <c r="O89" s="33"/>
      <c r="P89" s="33"/>
      <c r="Q89" s="33"/>
      <c r="R89" s="33"/>
      <c r="S89" s="33"/>
      <c r="T89" s="33"/>
    </row>
    <row r="90" spans="1:20" s="2" customFormat="1" ht="12.75">
      <c r="A90" s="43"/>
      <c r="B90" s="42" t="s">
        <v>143</v>
      </c>
      <c r="C90" s="19">
        <f>+'Entrate tot e finalizzati'!C90-'Entrate tot e finalizzati'!D90</f>
        <v>0</v>
      </c>
      <c r="D90" s="42">
        <f>+'Entrate tot e finalizzati'!E90-'Entrate tot e finalizzati'!F90</f>
        <v>0</v>
      </c>
      <c r="E90" s="30">
        <f>+'Entrate tot e finalizzati'!G90-'Entrate tot e finalizzati'!H90</f>
        <v>0</v>
      </c>
      <c r="F90" s="42">
        <f>+'Entrate tot e finalizzati'!I90-'Entrate tot e finalizzati'!J90</f>
        <v>0</v>
      </c>
      <c r="G90" s="30">
        <f>+'Entrate tot e finalizzati'!K90-'Entrate tot e finalizzati'!L90</f>
        <v>0</v>
      </c>
      <c r="H90" s="42">
        <f>+'Entrate tot e finalizzati'!M90-'Entrate tot e finalizzati'!N90</f>
        <v>0</v>
      </c>
      <c r="I90" s="30">
        <f>+'Entrate tot e finalizzati'!O90-'Entrate tot e finalizzati'!P90</f>
        <v>0</v>
      </c>
      <c r="J90" s="42">
        <f>+'Entrate tot e finalizzati'!Q90-'Entrate tot e finalizzati'!R90</f>
        <v>0</v>
      </c>
      <c r="K90" s="30">
        <f>+'Entrate tot e finalizzati'!S90-'Entrate tot e finalizzati'!T90</f>
        <v>0</v>
      </c>
      <c r="L90" s="42">
        <f>+'Entrate tot e finalizzati'!U90-'Entrate tot e finalizzati'!V90</f>
        <v>3</v>
      </c>
      <c r="M90" s="33"/>
      <c r="N90" s="33"/>
      <c r="O90" s="33"/>
      <c r="P90" s="33"/>
      <c r="Q90" s="33"/>
      <c r="R90" s="33"/>
      <c r="S90" s="33"/>
      <c r="T90" s="33"/>
    </row>
    <row r="91" spans="1:20" s="2" customFormat="1" ht="12.75">
      <c r="A91" s="43"/>
      <c r="B91" s="101" t="s">
        <v>52</v>
      </c>
      <c r="C91" s="19">
        <f>+'Entrate tot e finalizzati'!C91-'Entrate tot e finalizzati'!D91</f>
        <v>0</v>
      </c>
      <c r="D91" s="42">
        <f>+'Entrate tot e finalizzati'!E91-'Entrate tot e finalizzati'!F91</f>
        <v>162</v>
      </c>
      <c r="E91" s="30">
        <f>+'Entrate tot e finalizzati'!G91-'Entrate tot e finalizzati'!H91</f>
        <v>114</v>
      </c>
      <c r="F91" s="42">
        <f>+'Entrate tot e finalizzati'!I91-'Entrate tot e finalizzati'!J91</f>
        <v>145</v>
      </c>
      <c r="G91" s="30">
        <f>+'Entrate tot e finalizzati'!K91-'Entrate tot e finalizzati'!L91</f>
        <v>145</v>
      </c>
      <c r="H91" s="42">
        <f>+'Entrate tot e finalizzati'!M91-'Entrate tot e finalizzati'!N91</f>
        <v>87</v>
      </c>
      <c r="I91" s="30">
        <f>+'Entrate tot e finalizzati'!O91-'Entrate tot e finalizzati'!P91</f>
        <v>136</v>
      </c>
      <c r="J91" s="42">
        <f>+'Entrate tot e finalizzati'!Q91-'Entrate tot e finalizzati'!R91</f>
        <v>156</v>
      </c>
      <c r="K91" s="30">
        <f>+'Entrate tot e finalizzati'!S91-'Entrate tot e finalizzati'!T91</f>
        <v>175</v>
      </c>
      <c r="L91" s="42">
        <f>+'Entrate tot e finalizzati'!U91-'Entrate tot e finalizzati'!V91</f>
        <v>167</v>
      </c>
      <c r="M91" s="33"/>
      <c r="N91" s="33"/>
      <c r="O91" s="33"/>
      <c r="P91" s="33"/>
      <c r="Q91" s="33"/>
      <c r="R91" s="33"/>
      <c r="S91" s="33"/>
      <c r="T91" s="33"/>
    </row>
    <row r="92" spans="1:20" s="2" customFormat="1" ht="12.75">
      <c r="A92" s="43"/>
      <c r="B92" s="101" t="s">
        <v>51</v>
      </c>
      <c r="C92" s="19">
        <f>+'Entrate tot e finalizzati'!C92-'Entrate tot e finalizzati'!D92</f>
        <v>0</v>
      </c>
      <c r="D92" s="42">
        <f>+'Entrate tot e finalizzati'!E92-'Entrate tot e finalizzati'!F92</f>
        <v>0</v>
      </c>
      <c r="E92" s="30">
        <f>+'Entrate tot e finalizzati'!G92-'Entrate tot e finalizzati'!H92</f>
        <v>0</v>
      </c>
      <c r="F92" s="42">
        <f>+'Entrate tot e finalizzati'!I92-'Entrate tot e finalizzati'!J92</f>
        <v>0</v>
      </c>
      <c r="G92" s="30">
        <f>+'Entrate tot e finalizzati'!K92-'Entrate tot e finalizzati'!L92</f>
        <v>0</v>
      </c>
      <c r="H92" s="55">
        <f>+'Entrate tot e finalizzati'!M92-'Entrate tot e finalizzati'!N92</f>
        <v>0</v>
      </c>
      <c r="I92" s="30">
        <f>+'Entrate tot e finalizzati'!O92-'Entrate tot e finalizzati'!P92</f>
        <v>0</v>
      </c>
      <c r="J92" s="55">
        <f>+'Entrate tot e finalizzati'!Q92-'Entrate tot e finalizzati'!R92</f>
        <v>0</v>
      </c>
      <c r="K92" s="30">
        <f>+'Entrate tot e finalizzati'!S92-'Entrate tot e finalizzati'!T92</f>
        <v>0</v>
      </c>
      <c r="L92" s="55">
        <f>+'Entrate tot e finalizzati'!U92-'Entrate tot e finalizzati'!V92</f>
        <v>0</v>
      </c>
      <c r="M92" s="33"/>
      <c r="N92" s="33"/>
      <c r="O92" s="33"/>
      <c r="P92" s="33"/>
      <c r="Q92" s="33"/>
      <c r="R92" s="33"/>
      <c r="S92" s="33"/>
      <c r="T92" s="33"/>
    </row>
    <row r="93" spans="1:20" s="2" customFormat="1" ht="12.75">
      <c r="A93" s="47"/>
      <c r="B93" s="102" t="s">
        <v>91</v>
      </c>
      <c r="C93" s="20">
        <f>+'Entrate tot e finalizzati'!C93-'Entrate tot e finalizzati'!D93</f>
        <v>5242</v>
      </c>
      <c r="D93" s="48">
        <f>+'Entrate tot e finalizzati'!E93-'Entrate tot e finalizzati'!F93</f>
        <v>5238</v>
      </c>
      <c r="E93" s="52">
        <f>+'Entrate tot e finalizzati'!G93-'Entrate tot e finalizzati'!H93</f>
        <v>5314</v>
      </c>
      <c r="F93" s="48">
        <f>+'Entrate tot e finalizzati'!I93-'Entrate tot e finalizzati'!J93</f>
        <v>5383</v>
      </c>
      <c r="G93" s="52">
        <f>+'Entrate tot e finalizzati'!K93-'Entrate tot e finalizzati'!L93</f>
        <v>5447</v>
      </c>
      <c r="H93" s="48">
        <f>+'Entrate tot e finalizzati'!M93-'Entrate tot e finalizzati'!N93</f>
        <v>5508</v>
      </c>
      <c r="I93" s="52">
        <f>+'Entrate tot e finalizzati'!O93-'Entrate tot e finalizzati'!P93</f>
        <v>5678</v>
      </c>
      <c r="J93" s="48">
        <f>+'Entrate tot e finalizzati'!Q93-'Entrate tot e finalizzati'!R93</f>
        <v>5794</v>
      </c>
      <c r="K93" s="52">
        <f>+'Entrate tot e finalizzati'!S93-'Entrate tot e finalizzati'!T93</f>
        <v>5699</v>
      </c>
      <c r="L93" s="48">
        <f>+'Entrate tot e finalizzati'!U93-'Entrate tot e finalizzati'!V93</f>
        <v>3412</v>
      </c>
      <c r="M93" s="33"/>
      <c r="N93" s="33"/>
      <c r="O93" s="33"/>
      <c r="P93" s="33"/>
      <c r="Q93" s="33"/>
      <c r="R93" s="33"/>
      <c r="S93" s="33"/>
      <c r="T93" s="33"/>
    </row>
    <row r="94" spans="1:20" s="2" customFormat="1" ht="12.75">
      <c r="A94" s="114" t="s">
        <v>123</v>
      </c>
      <c r="B94" s="115"/>
      <c r="C94" s="116">
        <f>+'Entrate tot e finalizzati'!C94-'Entrate tot e finalizzati'!D94</f>
        <v>19098</v>
      </c>
      <c r="D94" s="116">
        <f>+'Entrate tot e finalizzati'!E94-'Entrate tot e finalizzati'!F94</f>
        <v>11590</v>
      </c>
      <c r="E94" s="116">
        <f>+'Entrate tot e finalizzati'!G94-'Entrate tot e finalizzati'!H94</f>
        <v>5050</v>
      </c>
      <c r="F94" s="116">
        <f>+'Entrate tot e finalizzati'!I94-'Entrate tot e finalizzati'!J94</f>
        <v>1586</v>
      </c>
      <c r="G94" s="116">
        <f>+'Entrate tot e finalizzati'!K94-'Entrate tot e finalizzati'!L94</f>
        <v>1901</v>
      </c>
      <c r="H94" s="116">
        <f>+'Entrate tot e finalizzati'!M94-'Entrate tot e finalizzati'!N94</f>
        <v>1286</v>
      </c>
      <c r="I94" s="116">
        <f>+'Entrate tot e finalizzati'!O94-'Entrate tot e finalizzati'!P94</f>
        <v>1155</v>
      </c>
      <c r="J94" s="116">
        <f>+'Entrate tot e finalizzati'!Q94-'Entrate tot e finalizzati'!R94</f>
        <v>1101</v>
      </c>
      <c r="K94" s="116">
        <f>+'Entrate tot e finalizzati'!S94-'Entrate tot e finalizzati'!T94</f>
        <v>1129</v>
      </c>
      <c r="L94" s="116">
        <f>+'Entrate tot e finalizzati'!U94-'Entrate tot e finalizzati'!V94</f>
        <v>720</v>
      </c>
      <c r="M94" s="33"/>
      <c r="N94" s="33"/>
      <c r="O94" s="33"/>
      <c r="P94" s="33"/>
      <c r="Q94" s="33"/>
      <c r="R94" s="33"/>
      <c r="S94" s="33"/>
      <c r="T94" s="33"/>
    </row>
    <row r="95" spans="1:20" s="2" customFormat="1" ht="12.75">
      <c r="A95" s="64" t="s">
        <v>137</v>
      </c>
      <c r="B95" s="108"/>
      <c r="C95" s="28">
        <f>+'Entrate tot e finalizzati'!C95-'Entrate tot e finalizzati'!D95</f>
        <v>0</v>
      </c>
      <c r="D95" s="28">
        <f>+'Entrate tot e finalizzati'!E95-'Entrate tot e finalizzati'!F95</f>
        <v>0</v>
      </c>
      <c r="E95" s="28">
        <f>+'Entrate tot e finalizzati'!G95-'Entrate tot e finalizzati'!H95</f>
        <v>0</v>
      </c>
      <c r="F95" s="28">
        <f>+'Entrate tot e finalizzati'!I95-'Entrate tot e finalizzati'!J95</f>
        <v>0</v>
      </c>
      <c r="G95" s="28">
        <f>+'Entrate tot e finalizzati'!K95-'Entrate tot e finalizzati'!L95</f>
        <v>0</v>
      </c>
      <c r="H95" s="28">
        <f>+'Entrate tot e finalizzati'!M95-'Entrate tot e finalizzati'!N95</f>
        <v>0</v>
      </c>
      <c r="I95" s="28">
        <f>+'Entrate tot e finalizzati'!O95-'Entrate tot e finalizzati'!P95</f>
        <v>0</v>
      </c>
      <c r="J95" s="28">
        <f>+'Entrate tot e finalizzati'!Q95-'Entrate tot e finalizzati'!R95</f>
        <v>0</v>
      </c>
      <c r="K95" s="28">
        <f>+'Entrate tot e finalizzati'!S95-'Entrate tot e finalizzati'!T95</f>
        <v>0</v>
      </c>
      <c r="L95" s="28">
        <f>+'Entrate tot e finalizzati'!U95-'Entrate tot e finalizzati'!V95</f>
        <v>0</v>
      </c>
      <c r="M95" s="33"/>
      <c r="N95" s="33"/>
      <c r="O95" s="33"/>
      <c r="P95" s="33"/>
      <c r="Q95" s="33"/>
      <c r="R95" s="33"/>
      <c r="S95" s="33"/>
      <c r="T95" s="33"/>
    </row>
    <row r="96" spans="1:20" s="2" customFormat="1" ht="12.75">
      <c r="A96" s="41"/>
      <c r="B96" s="101" t="s">
        <v>33</v>
      </c>
      <c r="C96" s="19">
        <f>+'Entrate tot e finalizzati'!C96-'Entrate tot e finalizzati'!D96</f>
        <v>0</v>
      </c>
      <c r="D96" s="42">
        <f>+'Entrate tot e finalizzati'!E96-'Entrate tot e finalizzati'!F96</f>
        <v>0</v>
      </c>
      <c r="E96" s="31">
        <f>+'Entrate tot e finalizzati'!G96-'Entrate tot e finalizzati'!H96</f>
        <v>0</v>
      </c>
      <c r="F96" s="42">
        <f>+'Entrate tot e finalizzati'!I96-'Entrate tot e finalizzati'!J96</f>
        <v>0</v>
      </c>
      <c r="G96" s="31">
        <f>+'Entrate tot e finalizzati'!K96-'Entrate tot e finalizzati'!L96</f>
        <v>0</v>
      </c>
      <c r="H96" s="42">
        <f>+'Entrate tot e finalizzati'!M96-'Entrate tot e finalizzati'!N96</f>
        <v>0</v>
      </c>
      <c r="I96" s="31">
        <f>+'Entrate tot e finalizzati'!O96-'Entrate tot e finalizzati'!P96</f>
        <v>0</v>
      </c>
      <c r="J96" s="42">
        <f>+'Entrate tot e finalizzati'!Q96-'Entrate tot e finalizzati'!R96</f>
        <v>0</v>
      </c>
      <c r="K96" s="31">
        <f>+'Entrate tot e finalizzati'!S96-'Entrate tot e finalizzati'!T96</f>
        <v>0</v>
      </c>
      <c r="L96" s="42">
        <f>+'Entrate tot e finalizzati'!U96-'Entrate tot e finalizzati'!V96</f>
        <v>0</v>
      </c>
      <c r="M96" s="33"/>
      <c r="N96" s="33"/>
      <c r="O96" s="33"/>
      <c r="P96" s="33"/>
      <c r="Q96" s="33"/>
      <c r="R96" s="33"/>
      <c r="S96" s="33"/>
      <c r="T96" s="33"/>
    </row>
    <row r="97" spans="1:20" s="2" customFormat="1" ht="12.75">
      <c r="A97" s="41"/>
      <c r="B97" s="101" t="s">
        <v>95</v>
      </c>
      <c r="C97" s="19">
        <f>+'Entrate tot e finalizzati'!C97-'Entrate tot e finalizzati'!D97</f>
        <v>0</v>
      </c>
      <c r="D97" s="42">
        <f>+'Entrate tot e finalizzati'!E97-'Entrate tot e finalizzati'!F97</f>
        <v>0</v>
      </c>
      <c r="E97" s="31">
        <f>+'Entrate tot e finalizzati'!G97-'Entrate tot e finalizzati'!H97</f>
        <v>0</v>
      </c>
      <c r="F97" s="42">
        <f>+'Entrate tot e finalizzati'!I97-'Entrate tot e finalizzati'!J97</f>
        <v>0</v>
      </c>
      <c r="G97" s="31">
        <f>+'Entrate tot e finalizzati'!K97-'Entrate tot e finalizzati'!L97</f>
        <v>0</v>
      </c>
      <c r="H97" s="42">
        <f>+'Entrate tot e finalizzati'!M97-'Entrate tot e finalizzati'!N97</f>
        <v>0</v>
      </c>
      <c r="I97" s="31">
        <f>+'Entrate tot e finalizzati'!O97-'Entrate tot e finalizzati'!P97</f>
        <v>0</v>
      </c>
      <c r="J97" s="42">
        <f>+'Entrate tot e finalizzati'!Q97-'Entrate tot e finalizzati'!R97</f>
        <v>0</v>
      </c>
      <c r="K97" s="31">
        <f>+'Entrate tot e finalizzati'!S97-'Entrate tot e finalizzati'!T97</f>
        <v>0</v>
      </c>
      <c r="L97" s="42">
        <f>+'Entrate tot e finalizzati'!U97-'Entrate tot e finalizzati'!V97</f>
        <v>0</v>
      </c>
      <c r="M97" s="33"/>
      <c r="N97" s="33"/>
      <c r="O97" s="33"/>
      <c r="P97" s="33"/>
      <c r="Q97" s="33"/>
      <c r="R97" s="33"/>
      <c r="S97" s="33"/>
      <c r="T97" s="33"/>
    </row>
    <row r="98" spans="1:20" s="2" customFormat="1" ht="12.75">
      <c r="A98" s="14"/>
      <c r="B98" s="42" t="s">
        <v>15</v>
      </c>
      <c r="C98" s="19">
        <f>+'Entrate tot e finalizzati'!C98-'Entrate tot e finalizzati'!D98</f>
        <v>0</v>
      </c>
      <c r="D98" s="17">
        <f>+'Entrate tot e finalizzati'!E98-'Entrate tot e finalizzati'!F98</f>
        <v>0</v>
      </c>
      <c r="E98" s="19">
        <f>+'Entrate tot e finalizzati'!G98-'Entrate tot e finalizzati'!H98</f>
        <v>0</v>
      </c>
      <c r="F98" s="61">
        <f>+'Entrate tot e finalizzati'!I98-'Entrate tot e finalizzati'!J98</f>
        <v>0</v>
      </c>
      <c r="G98" s="19">
        <f>+'Entrate tot e finalizzati'!K98-'Entrate tot e finalizzati'!L98</f>
        <v>0</v>
      </c>
      <c r="H98" s="61">
        <f>+'Entrate tot e finalizzati'!M98-'Entrate tot e finalizzati'!N98</f>
        <v>0</v>
      </c>
      <c r="I98" s="19">
        <f>+'Entrate tot e finalizzati'!O98-'Entrate tot e finalizzati'!P98</f>
        <v>0</v>
      </c>
      <c r="J98" s="61">
        <f>+'Entrate tot e finalizzati'!Q98-'Entrate tot e finalizzati'!R98</f>
        <v>0</v>
      </c>
      <c r="K98" s="19">
        <f>+'Entrate tot e finalizzati'!S98-'Entrate tot e finalizzati'!T98</f>
        <v>0</v>
      </c>
      <c r="L98" s="61">
        <f>+'Entrate tot e finalizzati'!U98-'Entrate tot e finalizzati'!V98</f>
        <v>0</v>
      </c>
      <c r="M98" s="33"/>
      <c r="N98" s="33"/>
      <c r="O98" s="33"/>
      <c r="P98" s="33"/>
      <c r="Q98" s="33"/>
      <c r="R98" s="33"/>
      <c r="S98" s="33"/>
      <c r="T98" s="33"/>
    </row>
    <row r="99" spans="1:20" s="2" customFormat="1" ht="12.75">
      <c r="A99" s="23" t="s">
        <v>106</v>
      </c>
      <c r="B99" s="109"/>
      <c r="C99" s="25">
        <f>+'Entrate tot e finalizzati'!C99-'Entrate tot e finalizzati'!D99</f>
        <v>8973</v>
      </c>
      <c r="D99" s="25">
        <f>+'Entrate tot e finalizzati'!E99-'Entrate tot e finalizzati'!F99</f>
        <v>7939</v>
      </c>
      <c r="E99" s="25">
        <f>+'Entrate tot e finalizzati'!G99-'Entrate tot e finalizzati'!H99</f>
        <v>511</v>
      </c>
      <c r="F99" s="25">
        <f>+'Entrate tot e finalizzati'!I99-'Entrate tot e finalizzati'!J99</f>
        <v>29</v>
      </c>
      <c r="G99" s="25">
        <f>+'Entrate tot e finalizzati'!K99-'Entrate tot e finalizzati'!L99</f>
        <v>29</v>
      </c>
      <c r="H99" s="25">
        <f>+'Entrate tot e finalizzati'!M99-'Entrate tot e finalizzati'!N99</f>
        <v>0</v>
      </c>
      <c r="I99" s="25">
        <f>+'Entrate tot e finalizzati'!O99-'Entrate tot e finalizzati'!P99</f>
        <v>0</v>
      </c>
      <c r="J99" s="25">
        <f>+'Entrate tot e finalizzati'!Q99-'Entrate tot e finalizzati'!R99</f>
        <v>0</v>
      </c>
      <c r="K99" s="25">
        <f>+'Entrate tot e finalizzati'!S99-'Entrate tot e finalizzati'!T99</f>
        <v>0</v>
      </c>
      <c r="L99" s="25">
        <f>+'Entrate tot e finalizzati'!U99-'Entrate tot e finalizzati'!V99</f>
        <v>0</v>
      </c>
      <c r="M99" s="33"/>
      <c r="N99" s="33"/>
      <c r="O99" s="33"/>
      <c r="P99" s="33"/>
      <c r="Q99" s="33"/>
      <c r="R99" s="33"/>
      <c r="S99" s="33"/>
      <c r="T99" s="33"/>
    </row>
    <row r="100" spans="1:20" s="2" customFormat="1" ht="12.75">
      <c r="A100" s="43"/>
      <c r="B100" s="42" t="s">
        <v>60</v>
      </c>
      <c r="C100" s="31">
        <f>+'Entrate tot e finalizzati'!C100-'Entrate tot e finalizzati'!D100</f>
        <v>0</v>
      </c>
      <c r="D100" s="39">
        <f>+'Entrate tot e finalizzati'!E100-'Entrate tot e finalizzati'!F100</f>
        <v>0</v>
      </c>
      <c r="E100" s="30">
        <f>+'Entrate tot e finalizzati'!G100-'Entrate tot e finalizzati'!H100</f>
        <v>0</v>
      </c>
      <c r="F100" s="31">
        <f>+'Entrate tot e finalizzati'!I100-'Entrate tot e finalizzati'!J100</f>
        <v>0</v>
      </c>
      <c r="G100" s="30">
        <f>+'Entrate tot e finalizzati'!K100-'Entrate tot e finalizzati'!L100</f>
        <v>0</v>
      </c>
      <c r="H100" s="30">
        <f>+'Entrate tot e finalizzati'!M100-'Entrate tot e finalizzati'!N100</f>
        <v>0</v>
      </c>
      <c r="I100" s="30">
        <f>+'Entrate tot e finalizzati'!O100-'Entrate tot e finalizzati'!P100</f>
        <v>0</v>
      </c>
      <c r="J100" s="30">
        <f>+'Entrate tot e finalizzati'!Q100-'Entrate tot e finalizzati'!R100</f>
        <v>0</v>
      </c>
      <c r="K100" s="30">
        <f>+'Entrate tot e finalizzati'!S100-'Entrate tot e finalizzati'!T100</f>
        <v>0</v>
      </c>
      <c r="L100" s="30">
        <f>+'Entrate tot e finalizzati'!U100-'Entrate tot e finalizzati'!V100</f>
        <v>0</v>
      </c>
      <c r="M100" s="33"/>
      <c r="N100" s="33"/>
      <c r="O100" s="33"/>
      <c r="P100" s="33"/>
      <c r="Q100" s="33"/>
      <c r="R100" s="33"/>
      <c r="S100" s="33"/>
      <c r="T100" s="33"/>
    </row>
    <row r="101" spans="1:20" s="2" customFormat="1" ht="12.75">
      <c r="A101" s="43"/>
      <c r="B101" s="101" t="s">
        <v>95</v>
      </c>
      <c r="C101" s="31">
        <f>+'Entrate tot e finalizzati'!C101-'Entrate tot e finalizzati'!D101</f>
        <v>0</v>
      </c>
      <c r="D101" s="39">
        <f>+'Entrate tot e finalizzati'!E101-'Entrate tot e finalizzati'!F101</f>
        <v>0</v>
      </c>
      <c r="E101" s="30">
        <f>+'Entrate tot e finalizzati'!G101-'Entrate tot e finalizzati'!H101</f>
        <v>0</v>
      </c>
      <c r="F101" s="31">
        <f>+'Entrate tot e finalizzati'!I101-'Entrate tot e finalizzati'!J101</f>
        <v>0</v>
      </c>
      <c r="G101" s="30">
        <f>+'Entrate tot e finalizzati'!K101-'Entrate tot e finalizzati'!L101</f>
        <v>0</v>
      </c>
      <c r="H101" s="31">
        <f>+'Entrate tot e finalizzati'!M101-'Entrate tot e finalizzati'!N101</f>
        <v>0</v>
      </c>
      <c r="I101" s="30">
        <f>+'Entrate tot e finalizzati'!O101-'Entrate tot e finalizzati'!P101</f>
        <v>0</v>
      </c>
      <c r="J101" s="31">
        <f>+'Entrate tot e finalizzati'!Q101-'Entrate tot e finalizzati'!R101</f>
        <v>0</v>
      </c>
      <c r="K101" s="30">
        <f>+'Entrate tot e finalizzati'!S101-'Entrate tot e finalizzati'!T101</f>
        <v>0</v>
      </c>
      <c r="L101" s="30">
        <f>+'Entrate tot e finalizzati'!U101-'Entrate tot e finalizzati'!V101</f>
        <v>0</v>
      </c>
      <c r="M101" s="33"/>
      <c r="N101" s="33"/>
      <c r="O101" s="33"/>
      <c r="P101" s="33"/>
      <c r="Q101" s="33"/>
      <c r="R101" s="33"/>
      <c r="S101" s="33"/>
      <c r="T101" s="33"/>
    </row>
    <row r="102" spans="1:20" s="2" customFormat="1" ht="12.75">
      <c r="A102" s="43"/>
      <c r="B102" s="101" t="s">
        <v>59</v>
      </c>
      <c r="C102" s="31">
        <f>+'Entrate tot e finalizzati'!C102-'Entrate tot e finalizzati'!D102</f>
        <v>0</v>
      </c>
      <c r="D102" s="39">
        <f>+'Entrate tot e finalizzati'!E102-'Entrate tot e finalizzati'!F102</f>
        <v>0</v>
      </c>
      <c r="E102" s="30">
        <f>+'Entrate tot e finalizzati'!G102-'Entrate tot e finalizzati'!H102</f>
        <v>21</v>
      </c>
      <c r="F102" s="31">
        <f>+'Entrate tot e finalizzati'!I102-'Entrate tot e finalizzati'!J102</f>
        <v>29</v>
      </c>
      <c r="G102" s="30">
        <f>+'Entrate tot e finalizzati'!K102-'Entrate tot e finalizzati'!L102</f>
        <v>29</v>
      </c>
      <c r="H102" s="31">
        <f>+'Entrate tot e finalizzati'!M102-'Entrate tot e finalizzati'!N102</f>
        <v>0</v>
      </c>
      <c r="I102" s="30">
        <f>+'Entrate tot e finalizzati'!O102-'Entrate tot e finalizzati'!P102</f>
        <v>0</v>
      </c>
      <c r="J102" s="31">
        <f>+'Entrate tot e finalizzati'!Q102-'Entrate tot e finalizzati'!R102</f>
        <v>0</v>
      </c>
      <c r="K102" s="30">
        <f>+'Entrate tot e finalizzati'!S102-'Entrate tot e finalizzati'!T102</f>
        <v>0</v>
      </c>
      <c r="L102" s="31">
        <f>+'Entrate tot e finalizzati'!U102-'Entrate tot e finalizzati'!V102</f>
        <v>0</v>
      </c>
      <c r="M102" s="33"/>
      <c r="N102" s="33"/>
      <c r="O102" s="33"/>
      <c r="P102" s="33"/>
      <c r="Q102" s="33"/>
      <c r="R102" s="33"/>
      <c r="S102" s="33"/>
      <c r="T102" s="33"/>
    </row>
    <row r="103" spans="1:20" s="2" customFormat="1" ht="12.75">
      <c r="A103" s="43"/>
      <c r="B103" s="101" t="s">
        <v>14</v>
      </c>
      <c r="C103" s="31">
        <f>+'Entrate tot e finalizzati'!C103-'Entrate tot e finalizzati'!D103</f>
        <v>697</v>
      </c>
      <c r="D103" s="39">
        <f>+'Entrate tot e finalizzati'!E103-'Entrate tot e finalizzati'!F103</f>
        <v>697</v>
      </c>
      <c r="E103" s="30">
        <f>+'Entrate tot e finalizzati'!G103-'Entrate tot e finalizzati'!H103</f>
        <v>490</v>
      </c>
      <c r="F103" s="39">
        <f>+'Entrate tot e finalizzati'!I103-'Entrate tot e finalizzati'!J103</f>
        <v>0</v>
      </c>
      <c r="G103" s="30">
        <f>+'Entrate tot e finalizzati'!K103-'Entrate tot e finalizzati'!L103</f>
        <v>0</v>
      </c>
      <c r="H103" s="39">
        <f>+'Entrate tot e finalizzati'!M103-'Entrate tot e finalizzati'!N103</f>
        <v>0</v>
      </c>
      <c r="I103" s="30">
        <f>+'Entrate tot e finalizzati'!O103-'Entrate tot e finalizzati'!P103</f>
        <v>0</v>
      </c>
      <c r="J103" s="39">
        <f>+'Entrate tot e finalizzati'!Q103-'Entrate tot e finalizzati'!R103</f>
        <v>0</v>
      </c>
      <c r="K103" s="30">
        <f>+'Entrate tot e finalizzati'!S103-'Entrate tot e finalizzati'!T103</f>
        <v>0</v>
      </c>
      <c r="L103" s="30">
        <f>+'Entrate tot e finalizzati'!U103-'Entrate tot e finalizzati'!V103</f>
        <v>0</v>
      </c>
      <c r="M103" s="33"/>
      <c r="N103" s="33"/>
      <c r="O103" s="33"/>
      <c r="P103" s="33"/>
      <c r="Q103" s="33"/>
      <c r="R103" s="33"/>
      <c r="S103" s="33"/>
      <c r="T103" s="33"/>
    </row>
    <row r="104" spans="1:20" s="2" customFormat="1" ht="12.75">
      <c r="A104" s="43"/>
      <c r="B104" s="42" t="s">
        <v>15</v>
      </c>
      <c r="C104" s="31">
        <f>+'Entrate tot e finalizzati'!C104-'Entrate tot e finalizzati'!D104</f>
        <v>0</v>
      </c>
      <c r="D104" s="39">
        <f>+'Entrate tot e finalizzati'!E104-'Entrate tot e finalizzati'!F104</f>
        <v>0</v>
      </c>
      <c r="E104" s="30">
        <f>+'Entrate tot e finalizzati'!G104-'Entrate tot e finalizzati'!H104</f>
        <v>0</v>
      </c>
      <c r="F104" s="39">
        <f>+'Entrate tot e finalizzati'!I104-'Entrate tot e finalizzati'!J104</f>
        <v>0</v>
      </c>
      <c r="G104" s="30">
        <f>+'Entrate tot e finalizzati'!K104-'Entrate tot e finalizzati'!L104</f>
        <v>0</v>
      </c>
      <c r="H104" s="39">
        <f>+'Entrate tot e finalizzati'!M104-'Entrate tot e finalizzati'!N104</f>
        <v>0</v>
      </c>
      <c r="I104" s="30">
        <f>+'Entrate tot e finalizzati'!O104-'Entrate tot e finalizzati'!P104</f>
        <v>0</v>
      </c>
      <c r="J104" s="39">
        <f>+'Entrate tot e finalizzati'!Q104-'Entrate tot e finalizzati'!R104</f>
        <v>0</v>
      </c>
      <c r="K104" s="30">
        <f>+'Entrate tot e finalizzati'!S104-'Entrate tot e finalizzati'!T104</f>
        <v>0</v>
      </c>
      <c r="L104" s="39">
        <f>+'Entrate tot e finalizzati'!U104-'Entrate tot e finalizzati'!V104</f>
        <v>0</v>
      </c>
      <c r="M104" s="33"/>
      <c r="N104" s="33"/>
      <c r="O104" s="33"/>
      <c r="P104" s="33"/>
      <c r="Q104" s="33"/>
      <c r="R104" s="33"/>
      <c r="S104" s="33"/>
      <c r="T104" s="33"/>
    </row>
    <row r="105" spans="1:20" s="2" customFormat="1" ht="12.75">
      <c r="A105" s="43"/>
      <c r="B105" s="101" t="s">
        <v>12</v>
      </c>
      <c r="C105" s="31">
        <f>+'Entrate tot e finalizzati'!C105-'Entrate tot e finalizzati'!D105</f>
        <v>0</v>
      </c>
      <c r="D105" s="39">
        <f>+'Entrate tot e finalizzati'!E105-'Entrate tot e finalizzati'!F105</f>
        <v>0</v>
      </c>
      <c r="E105" s="30">
        <f>+'Entrate tot e finalizzati'!G105-'Entrate tot e finalizzati'!H105</f>
        <v>0</v>
      </c>
      <c r="F105" s="39">
        <f>+'Entrate tot e finalizzati'!I105-'Entrate tot e finalizzati'!J105</f>
        <v>0</v>
      </c>
      <c r="G105" s="30">
        <f>+'Entrate tot e finalizzati'!K105-'Entrate tot e finalizzati'!L105</f>
        <v>0</v>
      </c>
      <c r="H105" s="39">
        <f>+'Entrate tot e finalizzati'!M105-'Entrate tot e finalizzati'!N105</f>
        <v>0</v>
      </c>
      <c r="I105" s="30">
        <f>+'Entrate tot e finalizzati'!O105-'Entrate tot e finalizzati'!P105</f>
        <v>0</v>
      </c>
      <c r="J105" s="39">
        <f>+'Entrate tot e finalizzati'!Q105-'Entrate tot e finalizzati'!R105</f>
        <v>0</v>
      </c>
      <c r="K105" s="30">
        <f>+'Entrate tot e finalizzati'!S105-'Entrate tot e finalizzati'!T105</f>
        <v>0</v>
      </c>
      <c r="L105" s="39">
        <f>+'Entrate tot e finalizzati'!U105-'Entrate tot e finalizzati'!V105</f>
        <v>0</v>
      </c>
      <c r="M105" s="33"/>
      <c r="N105" s="33"/>
      <c r="O105" s="33"/>
      <c r="P105" s="33"/>
      <c r="Q105" s="33"/>
      <c r="R105" s="33"/>
      <c r="S105" s="33"/>
      <c r="T105" s="33"/>
    </row>
    <row r="106" spans="1:20" s="2" customFormat="1" ht="12.75">
      <c r="A106" s="43"/>
      <c r="B106" s="42" t="s">
        <v>53</v>
      </c>
      <c r="C106" s="31">
        <f>+'Entrate tot e finalizzati'!C106-'Entrate tot e finalizzati'!D106</f>
        <v>2868</v>
      </c>
      <c r="D106" s="39">
        <f>+'Entrate tot e finalizzati'!E106-'Entrate tot e finalizzati'!F106</f>
        <v>3326</v>
      </c>
      <c r="E106" s="30">
        <f>+'Entrate tot e finalizzati'!G106-'Entrate tot e finalizzati'!H106</f>
        <v>0</v>
      </c>
      <c r="F106" s="39">
        <f>+'Entrate tot e finalizzati'!I106-'Entrate tot e finalizzati'!J106</f>
        <v>0</v>
      </c>
      <c r="G106" s="30">
        <f>+'Entrate tot e finalizzati'!K106-'Entrate tot e finalizzati'!L106</f>
        <v>0</v>
      </c>
      <c r="H106" s="39">
        <f>+'Entrate tot e finalizzati'!M106-'Entrate tot e finalizzati'!N106</f>
        <v>0</v>
      </c>
      <c r="I106" s="30">
        <f>+'Entrate tot e finalizzati'!O106-'Entrate tot e finalizzati'!P106</f>
        <v>0</v>
      </c>
      <c r="J106" s="39">
        <f>+'Entrate tot e finalizzati'!Q106-'Entrate tot e finalizzati'!R106</f>
        <v>0</v>
      </c>
      <c r="K106" s="30">
        <f>+'Entrate tot e finalizzati'!S106-'Entrate tot e finalizzati'!T106</f>
        <v>0</v>
      </c>
      <c r="L106" s="39">
        <f>+'Entrate tot e finalizzati'!U106-'Entrate tot e finalizzati'!V106</f>
        <v>0</v>
      </c>
      <c r="M106" s="33"/>
      <c r="N106" s="33"/>
      <c r="O106" s="33"/>
      <c r="P106" s="33"/>
      <c r="Q106" s="33"/>
      <c r="R106" s="33"/>
      <c r="S106" s="33"/>
      <c r="T106" s="33"/>
    </row>
    <row r="107" spans="1:20" s="2" customFormat="1" ht="12.75">
      <c r="A107" s="43"/>
      <c r="B107" s="42" t="s">
        <v>54</v>
      </c>
      <c r="C107" s="31">
        <f>+'Entrate tot e finalizzati'!C107-'Entrate tot e finalizzati'!D107</f>
        <v>1241</v>
      </c>
      <c r="D107" s="39">
        <f>+'Entrate tot e finalizzati'!E107-'Entrate tot e finalizzati'!F107</f>
        <v>974</v>
      </c>
      <c r="E107" s="30">
        <f>+'Entrate tot e finalizzati'!G107-'Entrate tot e finalizzati'!H107</f>
        <v>0</v>
      </c>
      <c r="F107" s="39">
        <f>+'Entrate tot e finalizzati'!I107-'Entrate tot e finalizzati'!J107</f>
        <v>0</v>
      </c>
      <c r="G107" s="30">
        <f>+'Entrate tot e finalizzati'!K107-'Entrate tot e finalizzati'!L107</f>
        <v>0</v>
      </c>
      <c r="H107" s="39">
        <f>+'Entrate tot e finalizzati'!M107-'Entrate tot e finalizzati'!N107</f>
        <v>0</v>
      </c>
      <c r="I107" s="30">
        <f>+'Entrate tot e finalizzati'!O107-'Entrate tot e finalizzati'!P107</f>
        <v>0</v>
      </c>
      <c r="J107" s="39">
        <f>+'Entrate tot e finalizzati'!Q107-'Entrate tot e finalizzati'!R107</f>
        <v>0</v>
      </c>
      <c r="K107" s="30">
        <f>+'Entrate tot e finalizzati'!S107-'Entrate tot e finalizzati'!T107</f>
        <v>0</v>
      </c>
      <c r="L107" s="39">
        <f>+'Entrate tot e finalizzati'!U107-'Entrate tot e finalizzati'!V107</f>
        <v>0</v>
      </c>
      <c r="M107" s="33"/>
      <c r="N107" s="33"/>
      <c r="O107" s="33"/>
      <c r="P107" s="33"/>
      <c r="Q107" s="33"/>
      <c r="R107" s="33"/>
      <c r="S107" s="33"/>
      <c r="T107" s="33"/>
    </row>
    <row r="108" spans="1:20" s="2" customFormat="1" ht="12.75">
      <c r="A108" s="43"/>
      <c r="B108" s="42" t="s">
        <v>55</v>
      </c>
      <c r="C108" s="31">
        <f>+'Entrate tot e finalizzati'!C108-'Entrate tot e finalizzati'!D108</f>
        <v>989</v>
      </c>
      <c r="D108" s="39">
        <f>+'Entrate tot e finalizzati'!E108-'Entrate tot e finalizzati'!F108</f>
        <v>0</v>
      </c>
      <c r="E108" s="30">
        <f>+'Entrate tot e finalizzati'!G108-'Entrate tot e finalizzati'!H108</f>
        <v>0</v>
      </c>
      <c r="F108" s="39">
        <f>+'Entrate tot e finalizzati'!I108-'Entrate tot e finalizzati'!J108</f>
        <v>0</v>
      </c>
      <c r="G108" s="30">
        <f>+'Entrate tot e finalizzati'!K108-'Entrate tot e finalizzati'!L108</f>
        <v>0</v>
      </c>
      <c r="H108" s="39">
        <f>+'Entrate tot e finalizzati'!M108-'Entrate tot e finalizzati'!N108</f>
        <v>0</v>
      </c>
      <c r="I108" s="30">
        <f>+'Entrate tot e finalizzati'!O108-'Entrate tot e finalizzati'!P108</f>
        <v>0</v>
      </c>
      <c r="J108" s="39">
        <f>+'Entrate tot e finalizzati'!Q108-'Entrate tot e finalizzati'!R108</f>
        <v>0</v>
      </c>
      <c r="K108" s="30">
        <f>+'Entrate tot e finalizzati'!S108-'Entrate tot e finalizzati'!T108</f>
        <v>0</v>
      </c>
      <c r="L108" s="39">
        <f>+'Entrate tot e finalizzati'!U108-'Entrate tot e finalizzati'!V108</f>
        <v>0</v>
      </c>
      <c r="M108" s="33"/>
      <c r="N108" s="33"/>
      <c r="O108" s="33"/>
      <c r="P108" s="33"/>
      <c r="Q108" s="33"/>
      <c r="R108" s="33"/>
      <c r="S108" s="33"/>
      <c r="T108" s="33"/>
    </row>
    <row r="109" spans="1:20" s="2" customFormat="1" ht="12.75">
      <c r="A109" s="43"/>
      <c r="B109" s="42" t="s">
        <v>56</v>
      </c>
      <c r="C109" s="31">
        <f>+'Entrate tot e finalizzati'!C109-'Entrate tot e finalizzati'!D109</f>
        <v>3149</v>
      </c>
      <c r="D109" s="39">
        <f>+'Entrate tot e finalizzati'!E109-'Entrate tot e finalizzati'!F109</f>
        <v>2942</v>
      </c>
      <c r="E109" s="30">
        <f>+'Entrate tot e finalizzati'!G109-'Entrate tot e finalizzati'!H109</f>
        <v>0</v>
      </c>
      <c r="F109" s="39">
        <f>+'Entrate tot e finalizzati'!I109-'Entrate tot e finalizzati'!J109</f>
        <v>0</v>
      </c>
      <c r="G109" s="30">
        <f>+'Entrate tot e finalizzati'!K109-'Entrate tot e finalizzati'!L109</f>
        <v>0</v>
      </c>
      <c r="H109" s="39">
        <f>+'Entrate tot e finalizzati'!M109-'Entrate tot e finalizzati'!N109</f>
        <v>0</v>
      </c>
      <c r="I109" s="30">
        <f>+'Entrate tot e finalizzati'!O109-'Entrate tot e finalizzati'!P109</f>
        <v>0</v>
      </c>
      <c r="J109" s="39">
        <f>+'Entrate tot e finalizzati'!Q109-'Entrate tot e finalizzati'!R109</f>
        <v>0</v>
      </c>
      <c r="K109" s="30">
        <f>+'Entrate tot e finalizzati'!S109-'Entrate tot e finalizzati'!T109</f>
        <v>0</v>
      </c>
      <c r="L109" s="39">
        <f>+'Entrate tot e finalizzati'!U109-'Entrate tot e finalizzati'!V109</f>
        <v>0</v>
      </c>
      <c r="M109" s="33"/>
      <c r="N109" s="33"/>
      <c r="O109" s="33"/>
      <c r="P109" s="33"/>
      <c r="Q109" s="33"/>
      <c r="R109" s="33"/>
      <c r="S109" s="33"/>
      <c r="T109" s="33"/>
    </row>
    <row r="110" spans="1:20" s="2" customFormat="1" ht="12.75">
      <c r="A110" s="47"/>
      <c r="B110" s="102" t="s">
        <v>57</v>
      </c>
      <c r="C110" s="32">
        <f>+'Entrate tot e finalizzati'!C110-'Entrate tot e finalizzati'!D110</f>
        <v>29</v>
      </c>
      <c r="D110" s="46">
        <f>+'Entrate tot e finalizzati'!E110-'Entrate tot e finalizzati'!F110</f>
        <v>0</v>
      </c>
      <c r="E110" s="52">
        <f>+'Entrate tot e finalizzati'!G110-'Entrate tot e finalizzati'!H110</f>
        <v>0</v>
      </c>
      <c r="F110" s="46">
        <f>+'Entrate tot e finalizzati'!I110-'Entrate tot e finalizzati'!J110</f>
        <v>0</v>
      </c>
      <c r="G110" s="52">
        <f>+'Entrate tot e finalizzati'!K110-'Entrate tot e finalizzati'!L110</f>
        <v>0</v>
      </c>
      <c r="H110" s="46">
        <f>+'Entrate tot e finalizzati'!M110-'Entrate tot e finalizzati'!N110</f>
        <v>0</v>
      </c>
      <c r="I110" s="52">
        <f>+'Entrate tot e finalizzati'!O110-'Entrate tot e finalizzati'!P110</f>
        <v>0</v>
      </c>
      <c r="J110" s="46">
        <f>+'Entrate tot e finalizzati'!Q110-'Entrate tot e finalizzati'!R110</f>
        <v>0</v>
      </c>
      <c r="K110" s="52">
        <f>+'Entrate tot e finalizzati'!S110-'Entrate tot e finalizzati'!T110</f>
        <v>0</v>
      </c>
      <c r="L110" s="46">
        <f>+'Entrate tot e finalizzati'!U110-'Entrate tot e finalizzati'!V110</f>
        <v>0</v>
      </c>
      <c r="M110" s="33"/>
      <c r="N110" s="33"/>
      <c r="O110" s="33"/>
      <c r="P110" s="33"/>
      <c r="Q110" s="33"/>
      <c r="R110" s="33"/>
      <c r="S110" s="33"/>
      <c r="T110" s="33"/>
    </row>
    <row r="111" spans="1:20" s="2" customFormat="1" ht="12.75">
      <c r="A111" s="64" t="s">
        <v>124</v>
      </c>
      <c r="B111" s="112"/>
      <c r="C111" s="28">
        <f>+'Entrate tot e finalizzati'!C111-'Entrate tot e finalizzati'!D111</f>
        <v>3467</v>
      </c>
      <c r="D111" s="28">
        <f>+'Entrate tot e finalizzati'!E111-'Entrate tot e finalizzati'!F111</f>
        <v>2994</v>
      </c>
      <c r="E111" s="28">
        <f>+'Entrate tot e finalizzati'!G111-'Entrate tot e finalizzati'!H111</f>
        <v>3845</v>
      </c>
      <c r="F111" s="28">
        <f>+'Entrate tot e finalizzati'!I111-'Entrate tot e finalizzati'!J111</f>
        <v>788</v>
      </c>
      <c r="G111" s="28">
        <f>+'Entrate tot e finalizzati'!K111-'Entrate tot e finalizzati'!L111</f>
        <v>798</v>
      </c>
      <c r="H111" s="28">
        <f>+'Entrate tot e finalizzati'!M111-'Entrate tot e finalizzati'!N111</f>
        <v>782</v>
      </c>
      <c r="I111" s="28">
        <f>+'Entrate tot e finalizzati'!O111-'Entrate tot e finalizzati'!P111</f>
        <v>804</v>
      </c>
      <c r="J111" s="28">
        <f>+'Entrate tot e finalizzati'!Q111-'Entrate tot e finalizzati'!R111</f>
        <v>763</v>
      </c>
      <c r="K111" s="28">
        <f>+'Entrate tot e finalizzati'!S111-'Entrate tot e finalizzati'!T111</f>
        <v>751</v>
      </c>
      <c r="L111" s="28">
        <f>+'Entrate tot e finalizzati'!U111-'Entrate tot e finalizzati'!V111</f>
        <v>720</v>
      </c>
      <c r="M111" s="33"/>
      <c r="N111" s="33"/>
      <c r="O111" s="33"/>
      <c r="P111" s="33"/>
      <c r="Q111" s="33"/>
      <c r="R111" s="33"/>
      <c r="S111" s="33"/>
      <c r="T111" s="33"/>
    </row>
    <row r="112" spans="1:20" s="2" customFormat="1" ht="12.75">
      <c r="A112" s="43"/>
      <c r="B112" s="42" t="s">
        <v>60</v>
      </c>
      <c r="C112" s="31">
        <f>+'Entrate tot e finalizzati'!C112-'Entrate tot e finalizzati'!D112</f>
        <v>0</v>
      </c>
      <c r="D112" s="31">
        <f>+'Entrate tot e finalizzati'!E112-'Entrate tot e finalizzati'!F112</f>
        <v>0</v>
      </c>
      <c r="E112" s="50">
        <f>+'Entrate tot e finalizzati'!G112-'Entrate tot e finalizzati'!H112</f>
        <v>0</v>
      </c>
      <c r="F112" s="31">
        <f>+'Entrate tot e finalizzati'!I112-'Entrate tot e finalizzati'!J112</f>
        <v>0</v>
      </c>
      <c r="G112" s="50">
        <f>+'Entrate tot e finalizzati'!K112-'Entrate tot e finalizzati'!L112</f>
        <v>0</v>
      </c>
      <c r="H112" s="31">
        <f>+'Entrate tot e finalizzati'!M112-'Entrate tot e finalizzati'!N112</f>
        <v>0</v>
      </c>
      <c r="I112" s="50">
        <f>+'Entrate tot e finalizzati'!O112-'Entrate tot e finalizzati'!P112</f>
        <v>0</v>
      </c>
      <c r="J112" s="31">
        <f>+'Entrate tot e finalizzati'!Q112-'Entrate tot e finalizzati'!R112</f>
        <v>0</v>
      </c>
      <c r="K112" s="50">
        <f>+'Entrate tot e finalizzati'!S112-'Entrate tot e finalizzati'!T112</f>
        <v>0</v>
      </c>
      <c r="L112" s="31">
        <f>+'Entrate tot e finalizzati'!U112-'Entrate tot e finalizzati'!V112</f>
        <v>0</v>
      </c>
      <c r="M112" s="33"/>
      <c r="N112" s="33"/>
      <c r="O112" s="33"/>
      <c r="P112" s="33"/>
      <c r="Q112" s="33"/>
      <c r="R112" s="33"/>
      <c r="S112" s="33"/>
      <c r="T112" s="33"/>
    </row>
    <row r="113" spans="1:20" s="2" customFormat="1" ht="12.75">
      <c r="A113" s="43"/>
      <c r="B113" s="42" t="s">
        <v>15</v>
      </c>
      <c r="C113" s="31">
        <f>+'Entrate tot e finalizzati'!C113-'Entrate tot e finalizzati'!D113</f>
        <v>0</v>
      </c>
      <c r="D113" s="31">
        <f>+'Entrate tot e finalizzati'!E113-'Entrate tot e finalizzati'!F113</f>
        <v>0</v>
      </c>
      <c r="E113" s="50">
        <f>+'Entrate tot e finalizzati'!G113-'Entrate tot e finalizzati'!H113</f>
        <v>0</v>
      </c>
      <c r="F113" s="31">
        <f>+'Entrate tot e finalizzati'!I113-'Entrate tot e finalizzati'!J113</f>
        <v>0</v>
      </c>
      <c r="G113" s="50">
        <f>+'Entrate tot e finalizzati'!K113-'Entrate tot e finalizzati'!L113</f>
        <v>0</v>
      </c>
      <c r="H113" s="31">
        <f>+'Entrate tot e finalizzati'!M113-'Entrate tot e finalizzati'!N113</f>
        <v>0</v>
      </c>
      <c r="I113" s="50">
        <f>+'Entrate tot e finalizzati'!O113-'Entrate tot e finalizzati'!P113</f>
        <v>0</v>
      </c>
      <c r="J113" s="31">
        <f>+'Entrate tot e finalizzati'!Q113-'Entrate tot e finalizzati'!R113</f>
        <v>0</v>
      </c>
      <c r="K113" s="50">
        <f>+'Entrate tot e finalizzati'!S113-'Entrate tot e finalizzati'!T113</f>
        <v>0</v>
      </c>
      <c r="L113" s="31">
        <f>+'Entrate tot e finalizzati'!U113-'Entrate tot e finalizzati'!V113</f>
        <v>0</v>
      </c>
      <c r="M113" s="33"/>
      <c r="N113" s="33"/>
      <c r="O113" s="33"/>
      <c r="P113" s="33"/>
      <c r="Q113" s="33"/>
      <c r="R113" s="33"/>
      <c r="S113" s="33"/>
      <c r="T113" s="33"/>
    </row>
    <row r="114" spans="1:20" s="2" customFormat="1" ht="12.75">
      <c r="A114" s="43"/>
      <c r="B114" s="101" t="s">
        <v>95</v>
      </c>
      <c r="C114" s="31">
        <f>+'Entrate tot e finalizzati'!C114-'Entrate tot e finalizzati'!D114</f>
        <v>0</v>
      </c>
      <c r="D114" s="31">
        <f>+'Entrate tot e finalizzati'!E114-'Entrate tot e finalizzati'!F114</f>
        <v>0</v>
      </c>
      <c r="E114" s="50">
        <f>+'Entrate tot e finalizzati'!G114-'Entrate tot e finalizzati'!H114</f>
        <v>0</v>
      </c>
      <c r="F114" s="31">
        <f>+'Entrate tot e finalizzati'!I114-'Entrate tot e finalizzati'!J114</f>
        <v>0</v>
      </c>
      <c r="G114" s="50">
        <f>+'Entrate tot e finalizzati'!K114-'Entrate tot e finalizzati'!L114</f>
        <v>0</v>
      </c>
      <c r="H114" s="31">
        <f>+'Entrate tot e finalizzati'!M114-'Entrate tot e finalizzati'!N114</f>
        <v>0</v>
      </c>
      <c r="I114" s="50">
        <f>+'Entrate tot e finalizzati'!O114-'Entrate tot e finalizzati'!P114</f>
        <v>0</v>
      </c>
      <c r="J114" s="31">
        <f>+'Entrate tot e finalizzati'!Q114-'Entrate tot e finalizzati'!R114</f>
        <v>0</v>
      </c>
      <c r="K114" s="60">
        <f>+'Entrate tot e finalizzati'!S114-'Entrate tot e finalizzati'!T114</f>
        <v>0</v>
      </c>
      <c r="L114" s="31">
        <f>+'Entrate tot e finalizzati'!U114-'Entrate tot e finalizzati'!V114</f>
        <v>0</v>
      </c>
      <c r="M114" s="33"/>
      <c r="N114" s="33"/>
      <c r="O114" s="33"/>
      <c r="P114" s="33"/>
      <c r="Q114" s="33"/>
      <c r="R114" s="33"/>
      <c r="S114" s="33"/>
      <c r="T114" s="33"/>
    </row>
    <row r="115" spans="1:20" s="2" customFormat="1" ht="12.75">
      <c r="A115" s="43"/>
      <c r="B115" s="101" t="s">
        <v>59</v>
      </c>
      <c r="C115" s="31">
        <f>+'Entrate tot e finalizzati'!C115-'Entrate tot e finalizzati'!D115</f>
        <v>2276</v>
      </c>
      <c r="D115" s="31">
        <f>+'Entrate tot e finalizzati'!E115-'Entrate tot e finalizzati'!F115</f>
        <v>2374</v>
      </c>
      <c r="E115" s="60">
        <f>+'Entrate tot e finalizzati'!G115-'Entrate tot e finalizzati'!H115</f>
        <v>3104</v>
      </c>
      <c r="F115" s="31">
        <f>+'Entrate tot e finalizzati'!I115-'Entrate tot e finalizzati'!J115</f>
        <v>0</v>
      </c>
      <c r="G115" s="60">
        <f>+'Entrate tot e finalizzati'!K115-'Entrate tot e finalizzati'!L115</f>
        <v>0</v>
      </c>
      <c r="H115" s="31">
        <f>+'Entrate tot e finalizzati'!M115-'Entrate tot e finalizzati'!N115</f>
        <v>0</v>
      </c>
      <c r="I115" s="60">
        <f>+'Entrate tot e finalizzati'!O115-'Entrate tot e finalizzati'!P115</f>
        <v>0</v>
      </c>
      <c r="J115" s="31">
        <f>+'Entrate tot e finalizzati'!Q115-'Entrate tot e finalizzati'!R115</f>
        <v>0</v>
      </c>
      <c r="K115" s="60">
        <f>+'Entrate tot e finalizzati'!S115-'Entrate tot e finalizzati'!T115</f>
        <v>0</v>
      </c>
      <c r="L115" s="31">
        <f>+'Entrate tot e finalizzati'!U115-'Entrate tot e finalizzati'!V115</f>
        <v>0</v>
      </c>
      <c r="M115" s="33"/>
      <c r="N115" s="33"/>
      <c r="O115" s="33"/>
      <c r="P115" s="33"/>
      <c r="Q115" s="33"/>
      <c r="R115" s="33"/>
      <c r="S115" s="33"/>
      <c r="T115" s="33"/>
    </row>
    <row r="116" spans="1:20" s="2" customFormat="1" ht="12.75">
      <c r="A116" s="43"/>
      <c r="B116" s="101" t="s">
        <v>14</v>
      </c>
      <c r="C116" s="31">
        <f>+'Entrate tot e finalizzati'!C116-'Entrate tot e finalizzati'!D116</f>
        <v>310</v>
      </c>
      <c r="D116" s="31">
        <f>+'Entrate tot e finalizzati'!E116-'Entrate tot e finalizzati'!F116</f>
        <v>310</v>
      </c>
      <c r="E116" s="60">
        <f>+'Entrate tot e finalizzati'!G116-'Entrate tot e finalizzati'!H116</f>
        <v>436</v>
      </c>
      <c r="F116" s="31">
        <f>+'Entrate tot e finalizzati'!I116-'Entrate tot e finalizzati'!J116</f>
        <v>444</v>
      </c>
      <c r="G116" s="60">
        <f>+'Entrate tot e finalizzati'!K116-'Entrate tot e finalizzati'!L116</f>
        <v>423</v>
      </c>
      <c r="H116" s="31">
        <f>+'Entrate tot e finalizzati'!M116-'Entrate tot e finalizzati'!N116</f>
        <v>432</v>
      </c>
      <c r="I116" s="60">
        <f>+'Entrate tot e finalizzati'!O116-'Entrate tot e finalizzati'!P116</f>
        <v>474</v>
      </c>
      <c r="J116" s="31">
        <f>+'Entrate tot e finalizzati'!Q116-'Entrate tot e finalizzati'!R116</f>
        <v>433</v>
      </c>
      <c r="K116" s="60">
        <f>+'Entrate tot e finalizzati'!S116-'Entrate tot e finalizzati'!T116</f>
        <v>421</v>
      </c>
      <c r="L116" s="31">
        <f>+'Entrate tot e finalizzati'!U116-'Entrate tot e finalizzati'!V116</f>
        <v>390</v>
      </c>
      <c r="M116" s="33"/>
      <c r="N116" s="33"/>
      <c r="O116" s="33"/>
      <c r="P116" s="33"/>
      <c r="Q116" s="33"/>
      <c r="R116" s="33"/>
      <c r="S116" s="33"/>
      <c r="T116" s="33"/>
    </row>
    <row r="117" spans="1:20" s="2" customFormat="1" ht="12.75">
      <c r="A117" s="47"/>
      <c r="B117" s="102" t="s">
        <v>58</v>
      </c>
      <c r="C117" s="32">
        <f>+'Entrate tot e finalizzati'!C117-'Entrate tot e finalizzati'!D117</f>
        <v>881</v>
      </c>
      <c r="D117" s="46">
        <f>+'Entrate tot e finalizzati'!E117-'Entrate tot e finalizzati'!F117</f>
        <v>310</v>
      </c>
      <c r="E117" s="52">
        <f>+'Entrate tot e finalizzati'!G117-'Entrate tot e finalizzati'!H117</f>
        <v>305</v>
      </c>
      <c r="F117" s="46">
        <f>+'Entrate tot e finalizzati'!I117-'Entrate tot e finalizzati'!J117</f>
        <v>344</v>
      </c>
      <c r="G117" s="52">
        <f>+'Entrate tot e finalizzati'!K117-'Entrate tot e finalizzati'!L117</f>
        <v>375</v>
      </c>
      <c r="H117" s="46">
        <f>+'Entrate tot e finalizzati'!M117-'Entrate tot e finalizzati'!N117</f>
        <v>350</v>
      </c>
      <c r="I117" s="52">
        <f>+'Entrate tot e finalizzati'!O117-'Entrate tot e finalizzati'!P117</f>
        <v>330</v>
      </c>
      <c r="J117" s="46">
        <f>+'Entrate tot e finalizzati'!Q117-'Entrate tot e finalizzati'!R117</f>
        <v>330</v>
      </c>
      <c r="K117" s="52">
        <f>+'Entrate tot e finalizzati'!S117-'Entrate tot e finalizzati'!T117</f>
        <v>330</v>
      </c>
      <c r="L117" s="46">
        <f>+'Entrate tot e finalizzati'!U117-'Entrate tot e finalizzati'!V117</f>
        <v>330</v>
      </c>
      <c r="M117" s="33"/>
      <c r="N117" s="33"/>
      <c r="O117" s="33"/>
      <c r="P117" s="33"/>
      <c r="Q117" s="33"/>
      <c r="R117" s="33"/>
      <c r="S117" s="33"/>
      <c r="T117" s="33"/>
    </row>
    <row r="118" spans="1:20" s="2" customFormat="1" ht="12.75">
      <c r="A118" s="64" t="s">
        <v>125</v>
      </c>
      <c r="B118" s="112"/>
      <c r="C118" s="28">
        <f>+'Entrate tot e finalizzati'!C118-'Entrate tot e finalizzati'!D118</f>
        <v>6658</v>
      </c>
      <c r="D118" s="28">
        <f>+'Entrate tot e finalizzati'!E118-'Entrate tot e finalizzati'!F118</f>
        <v>657</v>
      </c>
      <c r="E118" s="28">
        <f>+'Entrate tot e finalizzati'!G118-'Entrate tot e finalizzati'!H118</f>
        <v>694</v>
      </c>
      <c r="F118" s="28">
        <f>+'Entrate tot e finalizzati'!I118-'Entrate tot e finalizzati'!J118</f>
        <v>769</v>
      </c>
      <c r="G118" s="28">
        <f>+'Entrate tot e finalizzati'!K118-'Entrate tot e finalizzati'!L118</f>
        <v>1074</v>
      </c>
      <c r="H118" s="28">
        <f>+'Entrate tot e finalizzati'!M118-'Entrate tot e finalizzati'!N118</f>
        <v>504</v>
      </c>
      <c r="I118" s="28">
        <f>+'Entrate tot e finalizzati'!O118-'Entrate tot e finalizzati'!P118</f>
        <v>351</v>
      </c>
      <c r="J118" s="28">
        <f>+'Entrate tot e finalizzati'!Q118-'Entrate tot e finalizzati'!R118</f>
        <v>338</v>
      </c>
      <c r="K118" s="28">
        <f>+'Entrate tot e finalizzati'!S118-'Entrate tot e finalizzati'!T118</f>
        <v>378</v>
      </c>
      <c r="L118" s="28">
        <f>+'Entrate tot e finalizzati'!U118-'Entrate tot e finalizzati'!V118</f>
        <v>0</v>
      </c>
      <c r="M118" s="33"/>
      <c r="N118" s="33"/>
      <c r="O118" s="33"/>
      <c r="P118" s="33"/>
      <c r="Q118" s="33"/>
      <c r="R118" s="33"/>
      <c r="S118" s="33"/>
      <c r="T118" s="33"/>
    </row>
    <row r="119" spans="1:20" s="2" customFormat="1" ht="12.75">
      <c r="A119" s="43"/>
      <c r="B119" s="101" t="s">
        <v>95</v>
      </c>
      <c r="C119" s="10">
        <f>+'Entrate tot e finalizzati'!C119-'Entrate tot e finalizzati'!D119</f>
        <v>0</v>
      </c>
      <c r="D119" s="31">
        <f>+'Entrate tot e finalizzati'!E119-'Entrate tot e finalizzati'!F119</f>
        <v>0</v>
      </c>
      <c r="E119" s="31">
        <f>+'Entrate tot e finalizzati'!G119-'Entrate tot e finalizzati'!H119</f>
        <v>0</v>
      </c>
      <c r="F119" s="31">
        <f>+'Entrate tot e finalizzati'!I119-'Entrate tot e finalizzati'!J119</f>
        <v>0</v>
      </c>
      <c r="G119" s="31">
        <f>+'Entrate tot e finalizzati'!K119-'Entrate tot e finalizzati'!L119</f>
        <v>0</v>
      </c>
      <c r="H119" s="31">
        <f>+'Entrate tot e finalizzati'!M119-'Entrate tot e finalizzati'!N119</f>
        <v>0</v>
      </c>
      <c r="I119" s="31">
        <f>+'Entrate tot e finalizzati'!O119-'Entrate tot e finalizzati'!P119</f>
        <v>0</v>
      </c>
      <c r="J119" s="31">
        <f>+'Entrate tot e finalizzati'!Q119-'Entrate tot e finalizzati'!R119</f>
        <v>0</v>
      </c>
      <c r="K119" s="31">
        <f>+'Entrate tot e finalizzati'!S119-'Entrate tot e finalizzati'!T119</f>
        <v>0</v>
      </c>
      <c r="L119" s="31">
        <f>+'Entrate tot e finalizzati'!U119-'Entrate tot e finalizzati'!V119</f>
        <v>0</v>
      </c>
      <c r="M119" s="33"/>
      <c r="N119" s="33"/>
      <c r="O119" s="33"/>
      <c r="P119" s="33"/>
      <c r="Q119" s="33"/>
      <c r="R119" s="33"/>
      <c r="S119" s="33"/>
      <c r="T119" s="33"/>
    </row>
    <row r="120" spans="1:20" s="2" customFormat="1" ht="12.75">
      <c r="A120" s="43"/>
      <c r="B120" s="101" t="s">
        <v>59</v>
      </c>
      <c r="C120" s="10">
        <f>+'Entrate tot e finalizzati'!C120-'Entrate tot e finalizzati'!D120</f>
        <v>0</v>
      </c>
      <c r="D120" s="31">
        <f>+'Entrate tot e finalizzati'!E120-'Entrate tot e finalizzati'!F120</f>
        <v>0</v>
      </c>
      <c r="E120" s="31">
        <f>+'Entrate tot e finalizzati'!G120-'Entrate tot e finalizzati'!H120</f>
        <v>0</v>
      </c>
      <c r="F120" s="31">
        <f>+'Entrate tot e finalizzati'!I120-'Entrate tot e finalizzati'!J120</f>
        <v>0</v>
      </c>
      <c r="G120" s="31">
        <f>+'Entrate tot e finalizzati'!K120-'Entrate tot e finalizzati'!L120</f>
        <v>0</v>
      </c>
      <c r="H120" s="31">
        <f>+'Entrate tot e finalizzati'!M120-'Entrate tot e finalizzati'!N120</f>
        <v>0</v>
      </c>
      <c r="I120" s="31">
        <f>+'Entrate tot e finalizzati'!O120-'Entrate tot e finalizzati'!P120</f>
        <v>0</v>
      </c>
      <c r="J120" s="31">
        <f>+'Entrate tot e finalizzati'!Q120-'Entrate tot e finalizzati'!R120</f>
        <v>0</v>
      </c>
      <c r="K120" s="31">
        <f>+'Entrate tot e finalizzati'!S120-'Entrate tot e finalizzati'!T120</f>
        <v>0</v>
      </c>
      <c r="L120" s="31">
        <f>+'Entrate tot e finalizzati'!U120-'Entrate tot e finalizzati'!V120</f>
        <v>0</v>
      </c>
      <c r="M120" s="33"/>
      <c r="N120" s="33"/>
      <c r="O120" s="33"/>
      <c r="P120" s="33"/>
      <c r="Q120" s="33"/>
      <c r="R120" s="33"/>
      <c r="S120" s="33"/>
      <c r="T120" s="33"/>
    </row>
    <row r="121" spans="1:20" s="2" customFormat="1" ht="12.75">
      <c r="A121" s="43"/>
      <c r="B121" s="17" t="s">
        <v>60</v>
      </c>
      <c r="C121" s="10">
        <f>+'Entrate tot e finalizzati'!C121-'Entrate tot e finalizzati'!D121</f>
        <v>0</v>
      </c>
      <c r="D121" s="31">
        <f>+'Entrate tot e finalizzati'!E121-'Entrate tot e finalizzati'!F121</f>
        <v>0</v>
      </c>
      <c r="E121" s="31">
        <f>+'Entrate tot e finalizzati'!G121-'Entrate tot e finalizzati'!H121</f>
        <v>0</v>
      </c>
      <c r="F121" s="31">
        <f>+'Entrate tot e finalizzati'!I121-'Entrate tot e finalizzati'!J121</f>
        <v>0</v>
      </c>
      <c r="G121" s="31">
        <f>+'Entrate tot e finalizzati'!K121-'Entrate tot e finalizzati'!L121</f>
        <v>0</v>
      </c>
      <c r="H121" s="31">
        <f>+'Entrate tot e finalizzati'!M121-'Entrate tot e finalizzati'!N121</f>
        <v>0</v>
      </c>
      <c r="I121" s="31">
        <f>+'Entrate tot e finalizzati'!O121-'Entrate tot e finalizzati'!P121</f>
        <v>0</v>
      </c>
      <c r="J121" s="31">
        <f>+'Entrate tot e finalizzati'!Q121-'Entrate tot e finalizzati'!R121</f>
        <v>0</v>
      </c>
      <c r="K121" s="31">
        <f>+'Entrate tot e finalizzati'!S121-'Entrate tot e finalizzati'!T121</f>
        <v>0</v>
      </c>
      <c r="L121" s="31">
        <f>+'Entrate tot e finalizzati'!U121-'Entrate tot e finalizzati'!V121</f>
        <v>0</v>
      </c>
      <c r="M121" s="33"/>
      <c r="N121" s="33"/>
      <c r="O121" s="33"/>
      <c r="P121" s="33"/>
      <c r="Q121" s="33"/>
      <c r="R121" s="33"/>
      <c r="S121" s="33"/>
      <c r="T121" s="33"/>
    </row>
    <row r="122" spans="1:20" s="2" customFormat="1" ht="12.75">
      <c r="A122" s="43"/>
      <c r="B122" s="101" t="s">
        <v>78</v>
      </c>
      <c r="C122" s="19">
        <f>+'Entrate tot e finalizzati'!C122-'Entrate tot e finalizzati'!D122</f>
        <v>647</v>
      </c>
      <c r="D122" s="42">
        <f>+'Entrate tot e finalizzati'!E122-'Entrate tot e finalizzati'!F122</f>
        <v>652</v>
      </c>
      <c r="E122" s="30">
        <f>+'Entrate tot e finalizzati'!G122-'Entrate tot e finalizzati'!H122</f>
        <v>689</v>
      </c>
      <c r="F122" s="42">
        <f>+'Entrate tot e finalizzati'!I122-'Entrate tot e finalizzati'!J122</f>
        <v>764</v>
      </c>
      <c r="G122" s="30">
        <f>+'Entrate tot e finalizzati'!K122-'Entrate tot e finalizzati'!L122</f>
        <v>1069</v>
      </c>
      <c r="H122" s="42">
        <f>+'Entrate tot e finalizzati'!M122-'Entrate tot e finalizzati'!N122</f>
        <v>504</v>
      </c>
      <c r="I122" s="30">
        <f>+'Entrate tot e finalizzati'!O122-'Entrate tot e finalizzati'!P122</f>
        <v>351</v>
      </c>
      <c r="J122" s="42">
        <f>+'Entrate tot e finalizzati'!Q122-'Entrate tot e finalizzati'!R122</f>
        <v>338</v>
      </c>
      <c r="K122" s="30">
        <f>+'Entrate tot e finalizzati'!S122-'Entrate tot e finalizzati'!T122</f>
        <v>378</v>
      </c>
      <c r="L122" s="42">
        <f>+'Entrate tot e finalizzati'!U122-'Entrate tot e finalizzati'!V122</f>
        <v>0</v>
      </c>
      <c r="M122" s="33"/>
      <c r="N122" s="33"/>
      <c r="O122" s="33"/>
      <c r="P122" s="33"/>
      <c r="Q122" s="33"/>
      <c r="R122" s="33"/>
      <c r="S122" s="33"/>
      <c r="T122" s="33"/>
    </row>
    <row r="123" spans="1:20" s="2" customFormat="1" ht="12.75">
      <c r="A123" s="43"/>
      <c r="B123" s="101" t="s">
        <v>112</v>
      </c>
      <c r="C123" s="19">
        <f>+'Entrate tot e finalizzati'!C123-'Entrate tot e finalizzati'!D123</f>
        <v>6011</v>
      </c>
      <c r="D123" s="42">
        <f>+'Entrate tot e finalizzati'!E123-'Entrate tot e finalizzati'!F123</f>
        <v>5</v>
      </c>
      <c r="E123" s="30">
        <f>+'Entrate tot e finalizzati'!G123-'Entrate tot e finalizzati'!H123</f>
        <v>5</v>
      </c>
      <c r="F123" s="42">
        <f>+'Entrate tot e finalizzati'!I123-'Entrate tot e finalizzati'!J123</f>
        <v>5</v>
      </c>
      <c r="G123" s="30">
        <f>+'Entrate tot e finalizzati'!K123-'Entrate tot e finalizzati'!L123</f>
        <v>5</v>
      </c>
      <c r="H123" s="42">
        <f>+'Entrate tot e finalizzati'!M123-'Entrate tot e finalizzati'!N123</f>
        <v>0</v>
      </c>
      <c r="I123" s="30">
        <f>+'Entrate tot e finalizzati'!O123-'Entrate tot e finalizzati'!P123</f>
        <v>0</v>
      </c>
      <c r="J123" s="42">
        <f>+'Entrate tot e finalizzati'!Q123-'Entrate tot e finalizzati'!R123</f>
        <v>0</v>
      </c>
      <c r="K123" s="30">
        <f>+'Entrate tot e finalizzati'!S123-'Entrate tot e finalizzati'!T123</f>
        <v>0</v>
      </c>
      <c r="L123" s="42">
        <f>+'Entrate tot e finalizzati'!U123-'Entrate tot e finalizzati'!V123</f>
        <v>0</v>
      </c>
      <c r="M123" s="33"/>
      <c r="N123" s="33"/>
      <c r="O123" s="33"/>
      <c r="P123" s="33"/>
      <c r="Q123" s="33"/>
      <c r="R123" s="33"/>
      <c r="S123" s="33"/>
      <c r="T123" s="33"/>
    </row>
    <row r="124" spans="1:20" s="2" customFormat="1" ht="12.75">
      <c r="A124" s="47"/>
      <c r="B124" s="110" t="s">
        <v>97</v>
      </c>
      <c r="C124" s="20">
        <f>+'Entrate tot e finalizzati'!C124-'Entrate tot e finalizzati'!D124</f>
        <v>0</v>
      </c>
      <c r="D124" s="32">
        <f>+'Entrate tot e finalizzati'!E124-'Entrate tot e finalizzati'!F124</f>
        <v>0</v>
      </c>
      <c r="E124" s="73">
        <f>+'Entrate tot e finalizzati'!G124-'Entrate tot e finalizzati'!H124</f>
        <v>0</v>
      </c>
      <c r="F124" s="32">
        <f>+'Entrate tot e finalizzati'!I124-'Entrate tot e finalizzati'!J124</f>
        <v>0</v>
      </c>
      <c r="G124" s="73">
        <f>+'Entrate tot e finalizzati'!K124-'Entrate tot e finalizzati'!L124</f>
        <v>0</v>
      </c>
      <c r="H124" s="73">
        <f>+'Entrate tot e finalizzati'!M124-'Entrate tot e finalizzati'!N124</f>
        <v>0</v>
      </c>
      <c r="I124" s="73">
        <f>+'Entrate tot e finalizzati'!O124-'Entrate tot e finalizzati'!P124</f>
        <v>0</v>
      </c>
      <c r="J124" s="73">
        <f>+'Entrate tot e finalizzati'!Q124-'Entrate tot e finalizzati'!R124</f>
        <v>0</v>
      </c>
      <c r="K124" s="73">
        <f>+'Entrate tot e finalizzati'!S124-'Entrate tot e finalizzati'!T124</f>
        <v>0</v>
      </c>
      <c r="L124" s="73">
        <f>+'Entrate tot e finalizzati'!U124-'Entrate tot e finalizzati'!V124</f>
        <v>0</v>
      </c>
      <c r="M124" s="33"/>
      <c r="N124" s="33"/>
      <c r="O124" s="33"/>
      <c r="P124" s="33"/>
      <c r="Q124" s="33"/>
      <c r="R124" s="33"/>
      <c r="S124" s="33"/>
      <c r="T124" s="33"/>
    </row>
    <row r="125" spans="1:20" s="2" customFormat="1" ht="12.75">
      <c r="A125" s="65" t="s">
        <v>126</v>
      </c>
      <c r="B125" s="107"/>
      <c r="C125" s="89">
        <f>+'Entrate tot e finalizzati'!C125-'Entrate tot e finalizzati'!D125</f>
        <v>329</v>
      </c>
      <c r="D125" s="89">
        <f>+'Entrate tot e finalizzati'!E125-'Entrate tot e finalizzati'!F125</f>
        <v>1740</v>
      </c>
      <c r="E125" s="89">
        <f>+'Entrate tot e finalizzati'!G125-'Entrate tot e finalizzati'!H125</f>
        <v>2778</v>
      </c>
      <c r="F125" s="89">
        <f>+'Entrate tot e finalizzati'!I125-'Entrate tot e finalizzati'!J125</f>
        <v>3119</v>
      </c>
      <c r="G125" s="89">
        <f>+'Entrate tot e finalizzati'!K125-'Entrate tot e finalizzati'!L125</f>
        <v>3298</v>
      </c>
      <c r="H125" s="89">
        <f>+'Entrate tot e finalizzati'!M125-'Entrate tot e finalizzati'!N125</f>
        <v>1234</v>
      </c>
      <c r="I125" s="89">
        <f>+'Entrate tot e finalizzati'!O125-'Entrate tot e finalizzati'!P125</f>
        <v>1128</v>
      </c>
      <c r="J125" s="89">
        <f>+'Entrate tot e finalizzati'!Q125-'Entrate tot e finalizzati'!R125</f>
        <v>1220</v>
      </c>
      <c r="K125" s="89">
        <f>+'Entrate tot e finalizzati'!S125-'Entrate tot e finalizzati'!T125</f>
        <v>998</v>
      </c>
      <c r="L125" s="89">
        <f>+'Entrate tot e finalizzati'!U125-'Entrate tot e finalizzati'!V125</f>
        <v>0</v>
      </c>
      <c r="M125" s="33"/>
      <c r="N125" s="33"/>
      <c r="O125" s="33"/>
      <c r="P125" s="33"/>
      <c r="Q125" s="33"/>
      <c r="R125" s="33"/>
      <c r="S125" s="33"/>
      <c r="T125" s="33"/>
    </row>
    <row r="126" spans="1:20" s="2" customFormat="1" ht="12.75">
      <c r="A126" s="43"/>
      <c r="B126" s="101" t="s">
        <v>59</v>
      </c>
      <c r="C126" s="19">
        <f>+'Entrate tot e finalizzati'!C126-'Entrate tot e finalizzati'!D126</f>
        <v>0</v>
      </c>
      <c r="D126" s="42">
        <f>+'Entrate tot e finalizzati'!E126-'Entrate tot e finalizzati'!F126</f>
        <v>0</v>
      </c>
      <c r="E126" s="54">
        <f>+'Entrate tot e finalizzati'!G126-'Entrate tot e finalizzati'!H126</f>
        <v>0</v>
      </c>
      <c r="F126" s="31">
        <f>+'Entrate tot e finalizzati'!I126-'Entrate tot e finalizzati'!J126</f>
        <v>0</v>
      </c>
      <c r="G126" s="54">
        <f>+'Entrate tot e finalizzati'!K126-'Entrate tot e finalizzati'!L126</f>
        <v>0</v>
      </c>
      <c r="H126" s="31">
        <f>+'Entrate tot e finalizzati'!M126-'Entrate tot e finalizzati'!N126</f>
        <v>0</v>
      </c>
      <c r="I126" s="54">
        <f>+'Entrate tot e finalizzati'!O126-'Entrate tot e finalizzati'!P126</f>
        <v>0</v>
      </c>
      <c r="J126" s="31">
        <f>+'Entrate tot e finalizzati'!Q126-'Entrate tot e finalizzati'!R126</f>
        <v>0</v>
      </c>
      <c r="K126" s="54">
        <f>+'Entrate tot e finalizzati'!S126-'Entrate tot e finalizzati'!T126</f>
        <v>0</v>
      </c>
      <c r="L126" s="31">
        <f>+'Entrate tot e finalizzati'!U126-'Entrate tot e finalizzati'!V126</f>
        <v>0</v>
      </c>
      <c r="M126" s="33"/>
      <c r="N126" s="33"/>
      <c r="O126" s="33"/>
      <c r="P126" s="33"/>
      <c r="Q126" s="33"/>
      <c r="R126" s="33"/>
      <c r="S126" s="33"/>
      <c r="T126" s="33"/>
    </row>
    <row r="127" spans="1:20" s="2" customFormat="1" ht="12.75">
      <c r="A127" s="43"/>
      <c r="B127" s="101" t="s">
        <v>64</v>
      </c>
      <c r="C127" s="19">
        <f>+'Entrate tot e finalizzati'!C127-'Entrate tot e finalizzati'!D127</f>
        <v>314</v>
      </c>
      <c r="D127" s="42">
        <f>+'Entrate tot e finalizzati'!E127-'Entrate tot e finalizzati'!F127</f>
        <v>137</v>
      </c>
      <c r="E127" s="54">
        <f>+'Entrate tot e finalizzati'!G127-'Entrate tot e finalizzati'!H127</f>
        <v>139</v>
      </c>
      <c r="F127" s="31">
        <f>+'Entrate tot e finalizzati'!I127-'Entrate tot e finalizzati'!J127</f>
        <v>151</v>
      </c>
      <c r="G127" s="54">
        <f>+'Entrate tot e finalizzati'!K127-'Entrate tot e finalizzati'!L127</f>
        <v>167</v>
      </c>
      <c r="H127" s="31">
        <f>+'Entrate tot e finalizzati'!M127-'Entrate tot e finalizzati'!N127</f>
        <v>116</v>
      </c>
      <c r="I127" s="54">
        <f>+'Entrate tot e finalizzati'!O127-'Entrate tot e finalizzati'!P127</f>
        <v>4</v>
      </c>
      <c r="J127" s="31">
        <f>+'Entrate tot e finalizzati'!Q127-'Entrate tot e finalizzati'!R127</f>
        <v>0</v>
      </c>
      <c r="K127" s="54">
        <f>+'Entrate tot e finalizzati'!S127-'Entrate tot e finalizzati'!T127</f>
        <v>82</v>
      </c>
      <c r="L127" s="31">
        <f>+'Entrate tot e finalizzati'!U127-'Entrate tot e finalizzati'!V127</f>
        <v>0</v>
      </c>
      <c r="M127" s="33"/>
      <c r="N127" s="33"/>
      <c r="O127" s="33"/>
      <c r="P127" s="33"/>
      <c r="Q127" s="33"/>
      <c r="R127" s="33"/>
      <c r="S127" s="33"/>
      <c r="T127" s="33"/>
    </row>
    <row r="128" spans="1:20" s="2" customFormat="1" ht="12.75">
      <c r="A128" s="43"/>
      <c r="B128" s="101" t="s">
        <v>95</v>
      </c>
      <c r="C128" s="19">
        <f>+'Entrate tot e finalizzati'!C128-'Entrate tot e finalizzati'!D128</f>
        <v>0</v>
      </c>
      <c r="D128" s="55">
        <f>+'Entrate tot e finalizzati'!E128-'Entrate tot e finalizzati'!F128</f>
        <v>0</v>
      </c>
      <c r="E128" s="51">
        <f>+'Entrate tot e finalizzati'!G128-'Entrate tot e finalizzati'!H128</f>
        <v>0</v>
      </c>
      <c r="F128" s="31">
        <f>+'Entrate tot e finalizzati'!I128-'Entrate tot e finalizzati'!J128</f>
        <v>0</v>
      </c>
      <c r="G128" s="54">
        <f>+'Entrate tot e finalizzati'!K128-'Entrate tot e finalizzati'!L128</f>
        <v>0</v>
      </c>
      <c r="H128" s="60">
        <f>+'Entrate tot e finalizzati'!M128-'Entrate tot e finalizzati'!N128</f>
        <v>0</v>
      </c>
      <c r="I128" s="54">
        <f>+'Entrate tot e finalizzati'!O128-'Entrate tot e finalizzati'!P128</f>
        <v>0</v>
      </c>
      <c r="J128" s="60">
        <f>+'Entrate tot e finalizzati'!Q128-'Entrate tot e finalizzati'!R128</f>
        <v>0</v>
      </c>
      <c r="K128" s="54">
        <f>+'Entrate tot e finalizzati'!S128-'Entrate tot e finalizzati'!T128</f>
        <v>0</v>
      </c>
      <c r="L128" s="60">
        <f>+'Entrate tot e finalizzati'!U128-'Entrate tot e finalizzati'!V128</f>
        <v>0</v>
      </c>
      <c r="M128" s="33"/>
      <c r="N128" s="33"/>
      <c r="O128" s="33"/>
      <c r="P128" s="33"/>
      <c r="Q128" s="33"/>
      <c r="R128" s="33"/>
      <c r="S128" s="33"/>
      <c r="T128" s="33"/>
    </row>
    <row r="129" spans="1:20" s="2" customFormat="1" ht="12.75">
      <c r="A129" s="43"/>
      <c r="B129" s="17" t="s">
        <v>60</v>
      </c>
      <c r="C129" s="19">
        <f>+'Entrate tot e finalizzati'!C129-'Entrate tot e finalizzati'!D129</f>
        <v>15</v>
      </c>
      <c r="D129" s="55">
        <f>+'Entrate tot e finalizzati'!E129-'Entrate tot e finalizzati'!F129</f>
        <v>1032</v>
      </c>
      <c r="E129" s="51">
        <f>+'Entrate tot e finalizzati'!G129-'Entrate tot e finalizzati'!H129</f>
        <v>1432</v>
      </c>
      <c r="F129" s="31">
        <f>+'Entrate tot e finalizzati'!I129-'Entrate tot e finalizzati'!J129</f>
        <v>1522</v>
      </c>
      <c r="G129" s="54">
        <f>+'Entrate tot e finalizzati'!K129-'Entrate tot e finalizzati'!L129</f>
        <v>1150</v>
      </c>
      <c r="H129" s="31">
        <f>+'Entrate tot e finalizzati'!M129-'Entrate tot e finalizzati'!N129</f>
        <v>600</v>
      </c>
      <c r="I129" s="54">
        <f>+'Entrate tot e finalizzati'!O129-'Entrate tot e finalizzati'!P129</f>
        <v>600</v>
      </c>
      <c r="J129" s="31">
        <f>+'Entrate tot e finalizzati'!Q129-'Entrate tot e finalizzati'!R129</f>
        <v>700</v>
      </c>
      <c r="K129" s="54">
        <f>+'Entrate tot e finalizzati'!S129-'Entrate tot e finalizzati'!T129</f>
        <v>400</v>
      </c>
      <c r="L129" s="31">
        <f>+'Entrate tot e finalizzati'!U129-'Entrate tot e finalizzati'!V129</f>
        <v>0</v>
      </c>
      <c r="M129" s="33"/>
      <c r="N129" s="33"/>
      <c r="O129" s="33"/>
      <c r="P129" s="33"/>
      <c r="Q129" s="33"/>
      <c r="R129" s="33"/>
      <c r="S129" s="33"/>
      <c r="T129" s="33"/>
    </row>
    <row r="130" spans="1:20" s="2" customFormat="1" ht="12.75">
      <c r="A130" s="43"/>
      <c r="B130" s="42" t="s">
        <v>15</v>
      </c>
      <c r="C130" s="31">
        <f>+'Entrate tot e finalizzati'!C130-'Entrate tot e finalizzati'!D130</f>
        <v>0</v>
      </c>
      <c r="D130" s="42">
        <f>+'Entrate tot e finalizzati'!E130-'Entrate tot e finalizzati'!F130</f>
        <v>0</v>
      </c>
      <c r="E130" s="51">
        <f>+'Entrate tot e finalizzati'!G130-'Entrate tot e finalizzati'!H130</f>
        <v>0</v>
      </c>
      <c r="F130" s="31">
        <f>+'Entrate tot e finalizzati'!I130-'Entrate tot e finalizzati'!J130</f>
        <v>0</v>
      </c>
      <c r="G130" s="51">
        <f>+'Entrate tot e finalizzati'!K130-'Entrate tot e finalizzati'!L130</f>
        <v>0</v>
      </c>
      <c r="H130" s="31">
        <f>+'Entrate tot e finalizzati'!M130-'Entrate tot e finalizzati'!N130</f>
        <v>0</v>
      </c>
      <c r="I130" s="51">
        <f>+'Entrate tot e finalizzati'!O130-'Entrate tot e finalizzati'!P130</f>
        <v>0</v>
      </c>
      <c r="J130" s="31">
        <f>+'Entrate tot e finalizzati'!Q130-'Entrate tot e finalizzati'!R130</f>
        <v>0</v>
      </c>
      <c r="K130" s="51">
        <f>+'Entrate tot e finalizzati'!S130-'Entrate tot e finalizzati'!T130</f>
        <v>0</v>
      </c>
      <c r="L130" s="31">
        <f>+'Entrate tot e finalizzati'!U130-'Entrate tot e finalizzati'!V130</f>
        <v>0</v>
      </c>
      <c r="M130" s="33"/>
      <c r="N130" s="33"/>
      <c r="O130" s="33"/>
      <c r="P130" s="33"/>
      <c r="Q130" s="33"/>
      <c r="R130" s="33"/>
      <c r="S130" s="33"/>
      <c r="T130" s="33"/>
    </row>
    <row r="131" spans="1:20" s="2" customFormat="1" ht="12.75">
      <c r="A131" s="43"/>
      <c r="B131" s="101" t="s">
        <v>57</v>
      </c>
      <c r="C131" s="31">
        <f>+'Entrate tot e finalizzati'!C131-'Entrate tot e finalizzati'!D131</f>
        <v>0</v>
      </c>
      <c r="D131" s="42">
        <f>+'Entrate tot e finalizzati'!E131-'Entrate tot e finalizzati'!F131</f>
        <v>0</v>
      </c>
      <c r="E131" s="51">
        <f>+'Entrate tot e finalizzati'!G131-'Entrate tot e finalizzati'!H131</f>
        <v>0</v>
      </c>
      <c r="F131" s="31">
        <f>+'Entrate tot e finalizzati'!I131-'Entrate tot e finalizzati'!J131</f>
        <v>0</v>
      </c>
      <c r="G131" s="51">
        <f>+'Entrate tot e finalizzati'!K131-'Entrate tot e finalizzati'!L131</f>
        <v>0</v>
      </c>
      <c r="H131" s="31">
        <f>+'Entrate tot e finalizzati'!M131-'Entrate tot e finalizzati'!N131</f>
        <v>0</v>
      </c>
      <c r="I131" s="51">
        <f>+'Entrate tot e finalizzati'!O131-'Entrate tot e finalizzati'!P131</f>
        <v>0</v>
      </c>
      <c r="J131" s="31">
        <f>+'Entrate tot e finalizzati'!Q131-'Entrate tot e finalizzati'!R131</f>
        <v>0</v>
      </c>
      <c r="K131" s="51">
        <f>+'Entrate tot e finalizzati'!S131-'Entrate tot e finalizzati'!T131</f>
        <v>0</v>
      </c>
      <c r="L131" s="31">
        <f>+'Entrate tot e finalizzati'!U131-'Entrate tot e finalizzati'!V131</f>
        <v>0</v>
      </c>
      <c r="M131" s="33"/>
      <c r="N131" s="33"/>
      <c r="O131" s="33"/>
      <c r="P131" s="33"/>
      <c r="Q131" s="33"/>
      <c r="R131" s="33"/>
      <c r="S131" s="33"/>
      <c r="T131" s="33"/>
    </row>
    <row r="132" spans="1:20" s="2" customFormat="1" ht="12.75">
      <c r="A132" s="43"/>
      <c r="B132" s="101" t="s">
        <v>96</v>
      </c>
      <c r="C132" s="19">
        <f>+'Entrate tot e finalizzati'!C132-'Entrate tot e finalizzati'!D132</f>
        <v>0</v>
      </c>
      <c r="D132" s="42">
        <f>+'Entrate tot e finalizzati'!E132-'Entrate tot e finalizzati'!F132</f>
        <v>0</v>
      </c>
      <c r="E132" s="51">
        <f>+'Entrate tot e finalizzati'!G132-'Entrate tot e finalizzati'!H132</f>
        <v>0</v>
      </c>
      <c r="F132" s="31">
        <f>+'Entrate tot e finalizzati'!I132-'Entrate tot e finalizzati'!J132</f>
        <v>0</v>
      </c>
      <c r="G132" s="51">
        <f>+'Entrate tot e finalizzati'!K132-'Entrate tot e finalizzati'!L132</f>
        <v>0</v>
      </c>
      <c r="H132" s="31">
        <f>+'Entrate tot e finalizzati'!M132-'Entrate tot e finalizzati'!N132</f>
        <v>0</v>
      </c>
      <c r="I132" s="51">
        <f>+'Entrate tot e finalizzati'!O132-'Entrate tot e finalizzati'!P132</f>
        <v>0</v>
      </c>
      <c r="J132" s="31">
        <f>+'Entrate tot e finalizzati'!Q132-'Entrate tot e finalizzati'!R132</f>
        <v>0</v>
      </c>
      <c r="K132" s="51">
        <f>+'Entrate tot e finalizzati'!S132-'Entrate tot e finalizzati'!T132</f>
        <v>0</v>
      </c>
      <c r="L132" s="31">
        <f>+'Entrate tot e finalizzati'!U132-'Entrate tot e finalizzati'!V132</f>
        <v>0</v>
      </c>
      <c r="M132" s="33"/>
      <c r="N132" s="33"/>
      <c r="O132" s="33"/>
      <c r="P132" s="33"/>
      <c r="Q132" s="33"/>
      <c r="R132" s="33"/>
      <c r="S132" s="33"/>
      <c r="T132" s="33"/>
    </row>
    <row r="133" spans="1:20" s="2" customFormat="1" ht="12.75">
      <c r="A133" s="43"/>
      <c r="B133" s="101" t="s">
        <v>65</v>
      </c>
      <c r="C133" s="19">
        <f>+'Entrate tot e finalizzati'!C133-'Entrate tot e finalizzati'!D133</f>
        <v>0</v>
      </c>
      <c r="D133" s="42">
        <f>+'Entrate tot e finalizzati'!E133-'Entrate tot e finalizzati'!F133</f>
        <v>516</v>
      </c>
      <c r="E133" s="54">
        <f>+'Entrate tot e finalizzati'!G133-'Entrate tot e finalizzati'!H133</f>
        <v>517</v>
      </c>
      <c r="F133" s="31">
        <f>+'Entrate tot e finalizzati'!I133-'Entrate tot e finalizzati'!J133</f>
        <v>516</v>
      </c>
      <c r="G133" s="51">
        <f>+'Entrate tot e finalizzati'!K133-'Entrate tot e finalizzati'!L133</f>
        <v>515</v>
      </c>
      <c r="H133" s="31">
        <f>+'Entrate tot e finalizzati'!M133-'Entrate tot e finalizzati'!N133</f>
        <v>516</v>
      </c>
      <c r="I133" s="51">
        <f>+'Entrate tot e finalizzati'!O133-'Entrate tot e finalizzati'!P133</f>
        <v>517</v>
      </c>
      <c r="J133" s="31">
        <f>+'Entrate tot e finalizzati'!Q133-'Entrate tot e finalizzati'!R133</f>
        <v>517</v>
      </c>
      <c r="K133" s="51">
        <f>+'Entrate tot e finalizzati'!S133-'Entrate tot e finalizzati'!T133</f>
        <v>516</v>
      </c>
      <c r="L133" s="31">
        <f>+'Entrate tot e finalizzati'!U133-'Entrate tot e finalizzati'!V133</f>
        <v>0</v>
      </c>
      <c r="M133" s="33"/>
      <c r="N133" s="33"/>
      <c r="O133" s="33"/>
      <c r="P133" s="33"/>
      <c r="Q133" s="33"/>
      <c r="R133" s="33"/>
      <c r="S133" s="33"/>
      <c r="T133" s="33"/>
    </row>
    <row r="134" spans="1:20" s="2" customFormat="1" ht="12.75">
      <c r="A134" s="43"/>
      <c r="B134" s="103" t="s">
        <v>58</v>
      </c>
      <c r="C134" s="19">
        <f>+'Entrate tot e finalizzati'!C134-'Entrate tot e finalizzati'!D134</f>
        <v>0</v>
      </c>
      <c r="D134" s="42">
        <f>+'Entrate tot e finalizzati'!E134-'Entrate tot e finalizzati'!F134</f>
        <v>55</v>
      </c>
      <c r="E134" s="54">
        <f>+'Entrate tot e finalizzati'!G134-'Entrate tot e finalizzati'!H134</f>
        <v>90</v>
      </c>
      <c r="F134" s="31">
        <f>+'Entrate tot e finalizzati'!I134-'Entrate tot e finalizzati'!J134</f>
        <v>181</v>
      </c>
      <c r="G134" s="54">
        <f>+'Entrate tot e finalizzati'!K134-'Entrate tot e finalizzati'!L134</f>
        <v>0</v>
      </c>
      <c r="H134" s="31">
        <f>+'Entrate tot e finalizzati'!M134-'Entrate tot e finalizzati'!N134</f>
        <v>2</v>
      </c>
      <c r="I134" s="54">
        <f>+'Entrate tot e finalizzati'!O134-'Entrate tot e finalizzati'!P134</f>
        <v>7</v>
      </c>
      <c r="J134" s="31">
        <f>+'Entrate tot e finalizzati'!Q134-'Entrate tot e finalizzati'!R134</f>
        <v>3</v>
      </c>
      <c r="K134" s="54">
        <f>+'Entrate tot e finalizzati'!S134-'Entrate tot e finalizzati'!T134</f>
        <v>0</v>
      </c>
      <c r="L134" s="31">
        <f>+'Entrate tot e finalizzati'!U134-'Entrate tot e finalizzati'!V134</f>
        <v>0</v>
      </c>
      <c r="M134" s="33"/>
      <c r="N134" s="33"/>
      <c r="O134" s="33"/>
      <c r="P134" s="33"/>
      <c r="Q134" s="33"/>
      <c r="R134" s="33"/>
      <c r="S134" s="33"/>
      <c r="T134" s="33"/>
    </row>
    <row r="135" spans="1:20" s="2" customFormat="1" ht="12.75">
      <c r="A135" s="43"/>
      <c r="B135" s="103" t="s">
        <v>83</v>
      </c>
      <c r="C135" s="19">
        <f>+'Entrate tot e finalizzati'!C135-'Entrate tot e finalizzati'!D135</f>
        <v>0</v>
      </c>
      <c r="D135" s="42">
        <f>+'Entrate tot e finalizzati'!E135-'Entrate tot e finalizzati'!F135</f>
        <v>0</v>
      </c>
      <c r="E135" s="54">
        <f>+'Entrate tot e finalizzati'!G135-'Entrate tot e finalizzati'!H135</f>
        <v>600</v>
      </c>
      <c r="F135" s="31">
        <f>+'Entrate tot e finalizzati'!I135-'Entrate tot e finalizzati'!J135</f>
        <v>749</v>
      </c>
      <c r="G135" s="54">
        <f>+'Entrate tot e finalizzati'!K135-'Entrate tot e finalizzati'!L135</f>
        <v>1466</v>
      </c>
      <c r="H135" s="31">
        <f>+'Entrate tot e finalizzati'!M135-'Entrate tot e finalizzati'!N135</f>
        <v>0</v>
      </c>
      <c r="I135" s="54">
        <f>+'Entrate tot e finalizzati'!O135-'Entrate tot e finalizzati'!P135</f>
        <v>0</v>
      </c>
      <c r="J135" s="31">
        <f>+'Entrate tot e finalizzati'!Q135-'Entrate tot e finalizzati'!R135</f>
        <v>0</v>
      </c>
      <c r="K135" s="54">
        <f>+'Entrate tot e finalizzati'!S135-'Entrate tot e finalizzati'!T135</f>
        <v>0</v>
      </c>
      <c r="L135" s="31">
        <f>+'Entrate tot e finalizzati'!U135-'Entrate tot e finalizzati'!V135</f>
        <v>0</v>
      </c>
      <c r="M135" s="33"/>
      <c r="N135" s="33"/>
      <c r="O135" s="33"/>
      <c r="P135" s="33"/>
      <c r="Q135" s="33"/>
      <c r="R135" s="33"/>
      <c r="S135" s="33"/>
      <c r="T135" s="33"/>
    </row>
    <row r="136" spans="1:20" s="2" customFormat="1" ht="12.75">
      <c r="A136" s="47"/>
      <c r="B136" s="102" t="s">
        <v>66</v>
      </c>
      <c r="C136" s="20">
        <f>+'Entrate tot e finalizzati'!C136-'Entrate tot e finalizzati'!D136</f>
        <v>0</v>
      </c>
      <c r="D136" s="46">
        <f>+'Entrate tot e finalizzati'!E136-'Entrate tot e finalizzati'!F136</f>
        <v>0</v>
      </c>
      <c r="E136" s="52">
        <f>+'Entrate tot e finalizzati'!G136-'Entrate tot e finalizzati'!H136</f>
        <v>0</v>
      </c>
      <c r="F136" s="46">
        <f>+'Entrate tot e finalizzati'!I136-'Entrate tot e finalizzati'!J136</f>
        <v>0</v>
      </c>
      <c r="G136" s="52">
        <f>+'Entrate tot e finalizzati'!K136-'Entrate tot e finalizzati'!L136</f>
        <v>0</v>
      </c>
      <c r="H136" s="46">
        <f>+'Entrate tot e finalizzati'!M136-'Entrate tot e finalizzati'!N136</f>
        <v>0</v>
      </c>
      <c r="I136" s="52">
        <f>+'Entrate tot e finalizzati'!O136-'Entrate tot e finalizzati'!P136</f>
        <v>0</v>
      </c>
      <c r="J136" s="46">
        <f>+'Entrate tot e finalizzati'!Q136-'Entrate tot e finalizzati'!R136</f>
        <v>0</v>
      </c>
      <c r="K136" s="52">
        <f>+'Entrate tot e finalizzati'!S136-'Entrate tot e finalizzati'!T136</f>
        <v>0</v>
      </c>
      <c r="L136" s="46">
        <f>+'Entrate tot e finalizzati'!U136-'Entrate tot e finalizzati'!V136</f>
        <v>0</v>
      </c>
      <c r="M136" s="33"/>
      <c r="N136" s="33"/>
      <c r="O136" s="33"/>
      <c r="P136" s="33"/>
      <c r="Q136" s="33"/>
      <c r="R136" s="33"/>
      <c r="S136" s="33"/>
      <c r="T136" s="33"/>
    </row>
    <row r="137" spans="1:20" s="2" customFormat="1" ht="12.75">
      <c r="A137" s="65" t="s">
        <v>116</v>
      </c>
      <c r="B137" s="107"/>
      <c r="C137" s="89">
        <f>+'Entrate tot e finalizzati'!C137-'Entrate tot e finalizzati'!D137</f>
        <v>1965</v>
      </c>
      <c r="D137" s="89">
        <f>+'Entrate tot e finalizzati'!E137-'Entrate tot e finalizzati'!F137</f>
        <v>1100</v>
      </c>
      <c r="E137" s="89">
        <f>+'Entrate tot e finalizzati'!G137-'Entrate tot e finalizzati'!H137</f>
        <v>884</v>
      </c>
      <c r="F137" s="89">
        <f>+'Entrate tot e finalizzati'!I137-'Entrate tot e finalizzati'!J137</f>
        <v>532</v>
      </c>
      <c r="G137" s="89">
        <f>+'Entrate tot e finalizzati'!K137-'Entrate tot e finalizzati'!L137</f>
        <v>791</v>
      </c>
      <c r="H137" s="89">
        <f>+'Entrate tot e finalizzati'!M137-'Entrate tot e finalizzati'!N137</f>
        <v>266</v>
      </c>
      <c r="I137" s="89">
        <f>+'Entrate tot e finalizzati'!O137-'Entrate tot e finalizzati'!P137</f>
        <v>178</v>
      </c>
      <c r="J137" s="89">
        <f>+'Entrate tot e finalizzati'!Q137-'Entrate tot e finalizzati'!R137</f>
        <v>101</v>
      </c>
      <c r="K137" s="89">
        <f>+'Entrate tot e finalizzati'!S137-'Entrate tot e finalizzati'!T137</f>
        <v>31</v>
      </c>
      <c r="L137" s="89">
        <f>+'Entrate tot e finalizzati'!U137-'Entrate tot e finalizzati'!V137</f>
        <v>28</v>
      </c>
      <c r="M137" s="33"/>
      <c r="N137" s="33"/>
      <c r="O137" s="33"/>
      <c r="P137" s="33"/>
      <c r="Q137" s="33"/>
      <c r="R137" s="33"/>
      <c r="S137" s="33"/>
      <c r="T137" s="33"/>
    </row>
    <row r="138" spans="1:20" s="2" customFormat="1" ht="12.75">
      <c r="A138" s="43"/>
      <c r="B138" s="101" t="s">
        <v>57</v>
      </c>
      <c r="C138" s="19">
        <f>+'Entrate tot e finalizzati'!C138-'Entrate tot e finalizzati'!D138</f>
        <v>0</v>
      </c>
      <c r="D138" s="15">
        <f>+'Entrate tot e finalizzati'!E138-'Entrate tot e finalizzati'!F138</f>
        <v>0</v>
      </c>
      <c r="E138" s="26">
        <f>+'Entrate tot e finalizzati'!G138-'Entrate tot e finalizzati'!H138</f>
        <v>0</v>
      </c>
      <c r="F138" s="19">
        <f>+'Entrate tot e finalizzati'!I138-'Entrate tot e finalizzati'!J138</f>
        <v>0</v>
      </c>
      <c r="G138" s="26">
        <f>+'Entrate tot e finalizzati'!K138-'Entrate tot e finalizzati'!L138</f>
        <v>0</v>
      </c>
      <c r="H138" s="19">
        <f>+'Entrate tot e finalizzati'!M138-'Entrate tot e finalizzati'!N138</f>
        <v>0</v>
      </c>
      <c r="I138" s="26">
        <f>+'Entrate tot e finalizzati'!O138-'Entrate tot e finalizzati'!P138</f>
        <v>0</v>
      </c>
      <c r="J138" s="19">
        <f>+'Entrate tot e finalizzati'!Q138-'Entrate tot e finalizzati'!R138</f>
        <v>0</v>
      </c>
      <c r="K138" s="26">
        <f>+'Entrate tot e finalizzati'!S138-'Entrate tot e finalizzati'!T138</f>
        <v>0</v>
      </c>
      <c r="L138" s="19">
        <f>+'Entrate tot e finalizzati'!U138-'Entrate tot e finalizzati'!V138</f>
        <v>0</v>
      </c>
      <c r="M138" s="33"/>
      <c r="N138" s="33"/>
      <c r="O138" s="33"/>
      <c r="P138" s="33"/>
      <c r="Q138" s="33"/>
      <c r="R138" s="33"/>
      <c r="S138" s="33"/>
      <c r="T138" s="33"/>
    </row>
    <row r="139" spans="1:20" s="2" customFormat="1" ht="12.75">
      <c r="A139" s="43"/>
      <c r="B139" s="101" t="s">
        <v>68</v>
      </c>
      <c r="C139" s="19">
        <f>+'Entrate tot e finalizzati'!C139-'Entrate tot e finalizzati'!D139</f>
        <v>880</v>
      </c>
      <c r="D139" s="31">
        <f>+'Entrate tot e finalizzati'!E139-'Entrate tot e finalizzati'!F139</f>
        <v>1100</v>
      </c>
      <c r="E139" s="50">
        <f>+'Entrate tot e finalizzati'!G139-'Entrate tot e finalizzati'!H139</f>
        <v>884</v>
      </c>
      <c r="F139" s="31">
        <f>+'Entrate tot e finalizzati'!I139-'Entrate tot e finalizzati'!J139</f>
        <v>488</v>
      </c>
      <c r="G139" s="60">
        <f>+'Entrate tot e finalizzati'!K139-'Entrate tot e finalizzati'!L139</f>
        <v>435</v>
      </c>
      <c r="H139" s="60">
        <f>+'Entrate tot e finalizzati'!M139-'Entrate tot e finalizzati'!N139</f>
        <v>218</v>
      </c>
      <c r="I139" s="60">
        <f>+'Entrate tot e finalizzati'!O139-'Entrate tot e finalizzati'!P139</f>
        <v>145</v>
      </c>
      <c r="J139" s="60">
        <f>+'Entrate tot e finalizzati'!Q139-'Entrate tot e finalizzati'!R139</f>
        <v>70</v>
      </c>
      <c r="K139" s="60">
        <f>+'Entrate tot e finalizzati'!S139-'Entrate tot e finalizzati'!T139</f>
        <v>0</v>
      </c>
      <c r="L139" s="60">
        <f>+'Entrate tot e finalizzati'!U139-'Entrate tot e finalizzati'!V139</f>
        <v>0</v>
      </c>
      <c r="M139" s="33"/>
      <c r="N139" s="33"/>
      <c r="O139" s="33"/>
      <c r="P139" s="33"/>
      <c r="Q139" s="33"/>
      <c r="R139" s="33"/>
      <c r="S139" s="33"/>
      <c r="T139" s="33"/>
    </row>
    <row r="140" spans="1:20" s="2" customFormat="1" ht="12.75">
      <c r="A140" s="43"/>
      <c r="B140" s="101" t="s">
        <v>59</v>
      </c>
      <c r="C140" s="19">
        <f>+'Entrate tot e finalizzati'!C140-'Entrate tot e finalizzati'!D140</f>
        <v>0</v>
      </c>
      <c r="D140" s="15">
        <f>+'Entrate tot e finalizzati'!E140-'Entrate tot e finalizzati'!F140</f>
        <v>0</v>
      </c>
      <c r="E140" s="60">
        <f>+'Entrate tot e finalizzati'!G140-'Entrate tot e finalizzati'!H140</f>
        <v>0</v>
      </c>
      <c r="F140" s="31">
        <f>+'Entrate tot e finalizzati'!I140-'Entrate tot e finalizzati'!J140</f>
        <v>0</v>
      </c>
      <c r="G140" s="60">
        <f>+'Entrate tot e finalizzati'!K140-'Entrate tot e finalizzati'!L140</f>
        <v>0</v>
      </c>
      <c r="H140" s="31">
        <f>+'Entrate tot e finalizzati'!M140-'Entrate tot e finalizzati'!N140</f>
        <v>0</v>
      </c>
      <c r="I140" s="26">
        <f>+'Entrate tot e finalizzati'!O140-'Entrate tot e finalizzati'!P140</f>
        <v>0</v>
      </c>
      <c r="J140" s="19">
        <f>+'Entrate tot e finalizzati'!Q140-'Entrate tot e finalizzati'!R140</f>
        <v>0</v>
      </c>
      <c r="K140" s="26">
        <f>+'Entrate tot e finalizzati'!S140-'Entrate tot e finalizzati'!T140</f>
        <v>0</v>
      </c>
      <c r="L140" s="19">
        <f>+'Entrate tot e finalizzati'!U140-'Entrate tot e finalizzati'!V140</f>
        <v>0</v>
      </c>
      <c r="M140" s="33"/>
      <c r="N140" s="33"/>
      <c r="O140" s="33"/>
      <c r="P140" s="33"/>
      <c r="Q140" s="33"/>
      <c r="R140" s="33"/>
      <c r="S140" s="33"/>
      <c r="T140" s="33"/>
    </row>
    <row r="141" spans="1:20" s="2" customFormat="1" ht="12.75">
      <c r="A141" s="43"/>
      <c r="B141" s="101" t="s">
        <v>95</v>
      </c>
      <c r="C141" s="19">
        <f>+'Entrate tot e finalizzati'!C141-'Entrate tot e finalizzati'!D141</f>
        <v>0</v>
      </c>
      <c r="D141" s="15">
        <f>+'Entrate tot e finalizzati'!E141-'Entrate tot e finalizzati'!F141</f>
        <v>0</v>
      </c>
      <c r="E141" s="60">
        <f>+'Entrate tot e finalizzati'!G141-'Entrate tot e finalizzati'!H141</f>
        <v>0</v>
      </c>
      <c r="F141" s="31">
        <f>+'Entrate tot e finalizzati'!I141-'Entrate tot e finalizzati'!J141</f>
        <v>0</v>
      </c>
      <c r="G141" s="26">
        <f>+'Entrate tot e finalizzati'!K141-'Entrate tot e finalizzati'!L141</f>
        <v>0</v>
      </c>
      <c r="H141" s="19">
        <f>+'Entrate tot e finalizzati'!M141-'Entrate tot e finalizzati'!N141</f>
        <v>0</v>
      </c>
      <c r="I141" s="26">
        <f>+'Entrate tot e finalizzati'!O141-'Entrate tot e finalizzati'!P141</f>
        <v>0</v>
      </c>
      <c r="J141" s="19">
        <f>+'Entrate tot e finalizzati'!Q141-'Entrate tot e finalizzati'!R141</f>
        <v>0</v>
      </c>
      <c r="K141" s="26">
        <f>+'Entrate tot e finalizzati'!S141-'Entrate tot e finalizzati'!T141</f>
        <v>0</v>
      </c>
      <c r="L141" s="19">
        <f>+'Entrate tot e finalizzati'!U141-'Entrate tot e finalizzati'!V141</f>
        <v>0</v>
      </c>
      <c r="M141" s="33"/>
      <c r="N141" s="33"/>
      <c r="O141" s="33"/>
      <c r="P141" s="33"/>
      <c r="Q141" s="33"/>
      <c r="R141" s="33"/>
      <c r="S141" s="33"/>
      <c r="T141" s="33"/>
    </row>
    <row r="142" spans="1:20" s="2" customFormat="1" ht="12.75">
      <c r="A142" s="43"/>
      <c r="B142" s="101" t="s">
        <v>62</v>
      </c>
      <c r="C142" s="31">
        <f>+'Entrate tot e finalizzati'!C142-'Entrate tot e finalizzati'!D142</f>
        <v>0</v>
      </c>
      <c r="D142" s="39">
        <f>+'Entrate tot e finalizzati'!E142-'Entrate tot e finalizzati'!F142</f>
        <v>0</v>
      </c>
      <c r="E142" s="50">
        <f>+'Entrate tot e finalizzati'!G142-'Entrate tot e finalizzati'!H142</f>
        <v>0</v>
      </c>
      <c r="F142" s="31">
        <f>+'Entrate tot e finalizzati'!I142-'Entrate tot e finalizzati'!J142</f>
        <v>0</v>
      </c>
      <c r="G142" s="50">
        <f>+'Entrate tot e finalizzati'!K142-'Entrate tot e finalizzati'!L142</f>
        <v>0</v>
      </c>
      <c r="H142" s="31">
        <f>+'Entrate tot e finalizzati'!M142-'Entrate tot e finalizzati'!N142</f>
        <v>0</v>
      </c>
      <c r="I142" s="50">
        <f>+'Entrate tot e finalizzati'!O142-'Entrate tot e finalizzati'!P142</f>
        <v>0</v>
      </c>
      <c r="J142" s="31">
        <f>+'Entrate tot e finalizzati'!Q142-'Entrate tot e finalizzati'!R142</f>
        <v>0</v>
      </c>
      <c r="K142" s="50">
        <f>+'Entrate tot e finalizzati'!S142-'Entrate tot e finalizzati'!T142</f>
        <v>0</v>
      </c>
      <c r="L142" s="31">
        <f>+'Entrate tot e finalizzati'!U142-'Entrate tot e finalizzati'!V142</f>
        <v>0</v>
      </c>
      <c r="M142" s="33"/>
      <c r="N142" s="33"/>
      <c r="O142" s="33"/>
      <c r="P142" s="33"/>
      <c r="Q142" s="33"/>
      <c r="R142" s="33"/>
      <c r="S142" s="33"/>
      <c r="T142" s="33"/>
    </row>
    <row r="143" spans="1:20" s="2" customFormat="1" ht="12.75">
      <c r="A143" s="43"/>
      <c r="B143" s="42" t="s">
        <v>15</v>
      </c>
      <c r="C143" s="19">
        <f>+'Entrate tot e finalizzati'!C143-'Entrate tot e finalizzati'!D143</f>
        <v>0</v>
      </c>
      <c r="D143" s="19">
        <f>+'Entrate tot e finalizzati'!E143-'Entrate tot e finalizzati'!F143</f>
        <v>0</v>
      </c>
      <c r="E143" s="60">
        <f>+'Entrate tot e finalizzati'!G143-'Entrate tot e finalizzati'!H143</f>
        <v>0</v>
      </c>
      <c r="F143" s="31">
        <f>+'Entrate tot e finalizzati'!I143-'Entrate tot e finalizzati'!J143</f>
        <v>0</v>
      </c>
      <c r="G143" s="60">
        <f>+'Entrate tot e finalizzati'!K143-'Entrate tot e finalizzati'!L143</f>
        <v>0</v>
      </c>
      <c r="H143" s="31">
        <f>+'Entrate tot e finalizzati'!M143-'Entrate tot e finalizzati'!N143</f>
        <v>0</v>
      </c>
      <c r="I143" s="60">
        <f>+'Entrate tot e finalizzati'!O143-'Entrate tot e finalizzati'!P143</f>
        <v>0</v>
      </c>
      <c r="J143" s="31">
        <f>+'Entrate tot e finalizzati'!Q143-'Entrate tot e finalizzati'!R143</f>
        <v>0</v>
      </c>
      <c r="K143" s="60">
        <f>+'Entrate tot e finalizzati'!S143-'Entrate tot e finalizzati'!T143</f>
        <v>0</v>
      </c>
      <c r="L143" s="31">
        <f>+'Entrate tot e finalizzati'!U143-'Entrate tot e finalizzati'!V143</f>
        <v>0</v>
      </c>
      <c r="M143" s="33"/>
      <c r="N143" s="33"/>
      <c r="O143" s="33"/>
      <c r="P143" s="33"/>
      <c r="Q143" s="33"/>
      <c r="R143" s="33"/>
      <c r="S143" s="33"/>
      <c r="T143" s="33"/>
    </row>
    <row r="144" spans="1:20" s="2" customFormat="1" ht="12.75">
      <c r="A144" s="44"/>
      <c r="B144" s="101" t="s">
        <v>14</v>
      </c>
      <c r="C144" s="31">
        <f>+'Entrate tot e finalizzati'!C144-'Entrate tot e finalizzati'!D144</f>
        <v>1085</v>
      </c>
      <c r="D144" s="42">
        <f>+'Entrate tot e finalizzati'!E144-'Entrate tot e finalizzati'!F144</f>
        <v>0</v>
      </c>
      <c r="E144" s="31">
        <f>+'Entrate tot e finalizzati'!G144-'Entrate tot e finalizzati'!H144</f>
        <v>0</v>
      </c>
      <c r="F144" s="42">
        <f>+'Entrate tot e finalizzati'!I144-'Entrate tot e finalizzati'!J144</f>
        <v>0</v>
      </c>
      <c r="G144" s="31">
        <f>+'Entrate tot e finalizzati'!K144-'Entrate tot e finalizzati'!L144</f>
        <v>0</v>
      </c>
      <c r="H144" s="42">
        <f>+'Entrate tot e finalizzati'!M144-'Entrate tot e finalizzati'!N144</f>
        <v>0</v>
      </c>
      <c r="I144" s="31">
        <f>+'Entrate tot e finalizzati'!O144-'Entrate tot e finalizzati'!P144</f>
        <v>0</v>
      </c>
      <c r="J144" s="42">
        <f>+'Entrate tot e finalizzati'!Q144-'Entrate tot e finalizzati'!R144</f>
        <v>0</v>
      </c>
      <c r="K144" s="31">
        <f>+'Entrate tot e finalizzati'!S144-'Entrate tot e finalizzati'!T144</f>
        <v>0</v>
      </c>
      <c r="L144" s="42">
        <f>+'Entrate tot e finalizzati'!U144-'Entrate tot e finalizzati'!V144</f>
        <v>0</v>
      </c>
      <c r="M144" s="33"/>
      <c r="N144" s="33"/>
      <c r="O144" s="33"/>
      <c r="P144" s="33"/>
      <c r="Q144" s="33"/>
      <c r="R144" s="33"/>
      <c r="S144" s="33"/>
      <c r="T144" s="33"/>
    </row>
    <row r="145" spans="1:20" s="2" customFormat="1" ht="12.75">
      <c r="A145" s="9"/>
      <c r="B145" s="101" t="s">
        <v>19</v>
      </c>
      <c r="C145" s="66">
        <f>+'Entrate tot e finalizzati'!C145-'Entrate tot e finalizzati'!D145</f>
        <v>0</v>
      </c>
      <c r="D145" s="63">
        <f>+'Entrate tot e finalizzati'!E145-'Entrate tot e finalizzati'!F145</f>
        <v>0</v>
      </c>
      <c r="E145" s="21">
        <f>+'Entrate tot e finalizzati'!G145-'Entrate tot e finalizzati'!H145</f>
        <v>0</v>
      </c>
      <c r="F145" s="17">
        <f>+'Entrate tot e finalizzati'!I145-'Entrate tot e finalizzati'!J145</f>
        <v>44</v>
      </c>
      <c r="G145" s="21">
        <f>+'Entrate tot e finalizzati'!K145-'Entrate tot e finalizzati'!L145</f>
        <v>41</v>
      </c>
      <c r="H145" s="17">
        <f>+'Entrate tot e finalizzati'!M145-'Entrate tot e finalizzati'!N145</f>
        <v>47</v>
      </c>
      <c r="I145" s="21">
        <f>+'Entrate tot e finalizzati'!O145-'Entrate tot e finalizzati'!P145</f>
        <v>33</v>
      </c>
      <c r="J145" s="17">
        <f>+'Entrate tot e finalizzati'!Q145-'Entrate tot e finalizzati'!R145</f>
        <v>30</v>
      </c>
      <c r="K145" s="21">
        <f>+'Entrate tot e finalizzati'!S145-'Entrate tot e finalizzati'!T145</f>
        <v>30</v>
      </c>
      <c r="L145" s="17">
        <f>+'Entrate tot e finalizzati'!U145-'Entrate tot e finalizzati'!V145</f>
        <v>27</v>
      </c>
      <c r="M145" s="33"/>
      <c r="N145" s="33"/>
      <c r="O145" s="33"/>
      <c r="P145" s="33"/>
      <c r="Q145" s="33"/>
      <c r="R145" s="33"/>
      <c r="S145" s="33"/>
      <c r="T145" s="33"/>
    </row>
    <row r="146" spans="1:20" s="2" customFormat="1" ht="12.75">
      <c r="A146" s="43"/>
      <c r="B146" s="101" t="s">
        <v>58</v>
      </c>
      <c r="C146" s="31">
        <f>+'Entrate tot e finalizzati'!C146-'Entrate tot e finalizzati'!D146</f>
        <v>0</v>
      </c>
      <c r="D146" s="39">
        <f>+'Entrate tot e finalizzati'!E146-'Entrate tot e finalizzati'!F146</f>
        <v>0</v>
      </c>
      <c r="E146" s="50">
        <f>+'Entrate tot e finalizzati'!G146-'Entrate tot e finalizzati'!H146</f>
        <v>0</v>
      </c>
      <c r="F146" s="31">
        <f>+'Entrate tot e finalizzati'!I146-'Entrate tot e finalizzati'!J146</f>
        <v>0</v>
      </c>
      <c r="G146" s="50">
        <f>+'Entrate tot e finalizzati'!K146-'Entrate tot e finalizzati'!L146</f>
        <v>315</v>
      </c>
      <c r="H146" s="31">
        <f>+'Entrate tot e finalizzati'!M146-'Entrate tot e finalizzati'!N146</f>
        <v>1</v>
      </c>
      <c r="I146" s="50">
        <f>+'Entrate tot e finalizzati'!O146-'Entrate tot e finalizzati'!P146</f>
        <v>0</v>
      </c>
      <c r="J146" s="31">
        <f>+'Entrate tot e finalizzati'!Q146-'Entrate tot e finalizzati'!R146</f>
        <v>1</v>
      </c>
      <c r="K146" s="50">
        <f>+'Entrate tot e finalizzati'!S146-'Entrate tot e finalizzati'!T146</f>
        <v>0</v>
      </c>
      <c r="L146" s="31">
        <f>+'Entrate tot e finalizzati'!U146-'Entrate tot e finalizzati'!V146</f>
        <v>1</v>
      </c>
      <c r="M146" s="33"/>
      <c r="N146" s="33"/>
      <c r="O146" s="33"/>
      <c r="P146" s="33"/>
      <c r="Q146" s="33"/>
      <c r="R146" s="33"/>
      <c r="S146" s="33"/>
      <c r="T146" s="33"/>
    </row>
    <row r="147" spans="1:20" s="2" customFormat="1" ht="12.75">
      <c r="A147" s="47"/>
      <c r="B147" s="102" t="s">
        <v>60</v>
      </c>
      <c r="C147" s="20">
        <f>+'Entrate tot e finalizzati'!C147-'Entrate tot e finalizzati'!D147</f>
        <v>0</v>
      </c>
      <c r="D147" s="46">
        <f>+'Entrate tot e finalizzati'!E147-'Entrate tot e finalizzati'!F147</f>
        <v>0</v>
      </c>
      <c r="E147" s="52">
        <f>+'Entrate tot e finalizzati'!G147-'Entrate tot e finalizzati'!H147</f>
        <v>0</v>
      </c>
      <c r="F147" s="46">
        <f>+'Entrate tot e finalizzati'!I147-'Entrate tot e finalizzati'!J147</f>
        <v>0</v>
      </c>
      <c r="G147" s="52">
        <f>+'Entrate tot e finalizzati'!K147-'Entrate tot e finalizzati'!L147</f>
        <v>0</v>
      </c>
      <c r="H147" s="46">
        <f>+'Entrate tot e finalizzati'!M147-'Entrate tot e finalizzati'!N147</f>
        <v>0</v>
      </c>
      <c r="I147" s="52">
        <f>+'Entrate tot e finalizzati'!O147-'Entrate tot e finalizzati'!P147</f>
        <v>0</v>
      </c>
      <c r="J147" s="46">
        <f>+'Entrate tot e finalizzati'!Q147-'Entrate tot e finalizzati'!R147</f>
        <v>0</v>
      </c>
      <c r="K147" s="52">
        <f>+'Entrate tot e finalizzati'!S147-'Entrate tot e finalizzati'!T147</f>
        <v>1</v>
      </c>
      <c r="L147" s="46">
        <f>+'Entrate tot e finalizzati'!U147-'Entrate tot e finalizzati'!V147</f>
        <v>0</v>
      </c>
      <c r="M147" s="33"/>
      <c r="N147" s="33"/>
      <c r="O147" s="33"/>
      <c r="P147" s="33"/>
      <c r="Q147" s="33"/>
      <c r="R147" s="33"/>
      <c r="S147" s="33"/>
      <c r="T147" s="33"/>
    </row>
    <row r="148" spans="1:20" s="2" customFormat="1" ht="12.75">
      <c r="A148" s="114" t="s">
        <v>127</v>
      </c>
      <c r="B148" s="115"/>
      <c r="C148" s="116">
        <f>+'Entrate tot e finalizzati'!C148-'Entrate tot e finalizzati'!D148</f>
        <v>342097</v>
      </c>
      <c r="D148" s="116">
        <f>+'Entrate tot e finalizzati'!E148-'Entrate tot e finalizzati'!F148</f>
        <v>364501</v>
      </c>
      <c r="E148" s="116">
        <f>+'Entrate tot e finalizzati'!G148-'Entrate tot e finalizzati'!H148</f>
        <v>395037</v>
      </c>
      <c r="F148" s="116">
        <f>+'Entrate tot e finalizzati'!I148-'Entrate tot e finalizzati'!J148</f>
        <v>390616</v>
      </c>
      <c r="G148" s="116">
        <f>+'Entrate tot e finalizzati'!K148-'Entrate tot e finalizzati'!L148</f>
        <v>395168</v>
      </c>
      <c r="H148" s="116">
        <f>+'Entrate tot e finalizzati'!M148-'Entrate tot e finalizzati'!N148</f>
        <v>383968</v>
      </c>
      <c r="I148" s="116">
        <f>+'Entrate tot e finalizzati'!O148-'Entrate tot e finalizzati'!P148</f>
        <v>403755</v>
      </c>
      <c r="J148" s="116">
        <f>+'Entrate tot e finalizzati'!Q148-'Entrate tot e finalizzati'!R148</f>
        <v>410008</v>
      </c>
      <c r="K148" s="116">
        <f>+'Entrate tot e finalizzati'!S148-'Entrate tot e finalizzati'!T148</f>
        <v>411496</v>
      </c>
      <c r="L148" s="116">
        <f>+'Entrate tot e finalizzati'!U148-'Entrate tot e finalizzati'!V148</f>
        <v>418439</v>
      </c>
      <c r="M148" s="33"/>
      <c r="N148" s="33"/>
      <c r="O148" s="33"/>
      <c r="P148" s="33"/>
      <c r="Q148" s="33"/>
      <c r="R148" s="33"/>
      <c r="S148" s="33"/>
      <c r="T148" s="33"/>
    </row>
    <row r="149" spans="1:20" s="2" customFormat="1" ht="12.75">
      <c r="A149" s="24" t="s">
        <v>128</v>
      </c>
      <c r="B149" s="111"/>
      <c r="C149" s="25">
        <f>+'Entrate tot e finalizzati'!C149-'Entrate tot e finalizzati'!D149</f>
        <v>123140</v>
      </c>
      <c r="D149" s="25">
        <f>+'Entrate tot e finalizzati'!E149-'Entrate tot e finalizzati'!F149</f>
        <v>130193</v>
      </c>
      <c r="E149" s="25">
        <f>+'Entrate tot e finalizzati'!G149-'Entrate tot e finalizzati'!H149</f>
        <v>143347</v>
      </c>
      <c r="F149" s="25">
        <f>+'Entrate tot e finalizzati'!I149-'Entrate tot e finalizzati'!J149</f>
        <v>130926</v>
      </c>
      <c r="G149" s="25">
        <f>+'Entrate tot e finalizzati'!K149-'Entrate tot e finalizzati'!L149</f>
        <v>134112</v>
      </c>
      <c r="H149" s="25">
        <f>+'Entrate tot e finalizzati'!M149-'Entrate tot e finalizzati'!N149</f>
        <v>123920</v>
      </c>
      <c r="I149" s="25">
        <f>+'Entrate tot e finalizzati'!O149-'Entrate tot e finalizzati'!P149</f>
        <v>121763</v>
      </c>
      <c r="J149" s="25">
        <f>+'Entrate tot e finalizzati'!Q149-'Entrate tot e finalizzati'!R149</f>
        <v>168881</v>
      </c>
      <c r="K149" s="25">
        <f>+'Entrate tot e finalizzati'!S149-'Entrate tot e finalizzati'!T149</f>
        <v>167658</v>
      </c>
      <c r="L149" s="25">
        <f>+'Entrate tot e finalizzati'!U149-'Entrate tot e finalizzati'!V149</f>
        <v>173686</v>
      </c>
      <c r="M149" s="33"/>
      <c r="N149" s="33"/>
      <c r="O149" s="33"/>
      <c r="P149" s="33"/>
      <c r="Q149" s="33"/>
      <c r="R149" s="33"/>
      <c r="S149" s="33"/>
      <c r="T149" s="33"/>
    </row>
    <row r="150" spans="1:20" s="2" customFormat="1" ht="12.75">
      <c r="A150" s="71"/>
      <c r="B150" s="103" t="s">
        <v>23</v>
      </c>
      <c r="C150" s="69">
        <f>+'Entrate tot e finalizzati'!C150-'Entrate tot e finalizzati'!D150</f>
        <v>69381</v>
      </c>
      <c r="D150" s="60">
        <f>+'Entrate tot e finalizzati'!E150-'Entrate tot e finalizzati'!F150</f>
        <v>5982</v>
      </c>
      <c r="E150" s="60">
        <f>+'Entrate tot e finalizzati'!G150-'Entrate tot e finalizzati'!H150</f>
        <v>0</v>
      </c>
      <c r="F150" s="60">
        <f>+'Entrate tot e finalizzati'!I150-'Entrate tot e finalizzati'!J150</f>
        <v>463</v>
      </c>
      <c r="G150" s="60">
        <f>+'Entrate tot e finalizzati'!K150-'Entrate tot e finalizzati'!L150</f>
        <v>8152</v>
      </c>
      <c r="H150" s="60">
        <f>+'Entrate tot e finalizzati'!M150-'Entrate tot e finalizzati'!N150</f>
        <v>10212</v>
      </c>
      <c r="I150" s="60">
        <f>+'Entrate tot e finalizzati'!O150-'Entrate tot e finalizzati'!P150</f>
        <v>61126</v>
      </c>
      <c r="J150" s="60">
        <f>+'Entrate tot e finalizzati'!Q150-'Entrate tot e finalizzati'!R150</f>
        <v>61229</v>
      </c>
      <c r="K150" s="60">
        <f>+'Entrate tot e finalizzati'!S150-'Entrate tot e finalizzati'!T150</f>
        <v>61691</v>
      </c>
      <c r="L150" s="60">
        <f>+'Entrate tot e finalizzati'!U150-'Entrate tot e finalizzati'!V150</f>
        <v>60143</v>
      </c>
      <c r="M150" s="33"/>
      <c r="N150" s="33"/>
      <c r="O150" s="33"/>
      <c r="P150" s="33"/>
      <c r="Q150" s="33"/>
      <c r="R150" s="33"/>
      <c r="S150" s="33"/>
      <c r="T150" s="33"/>
    </row>
    <row r="151" spans="1:20" s="2" customFormat="1" ht="12.75">
      <c r="A151" s="71"/>
      <c r="B151" s="103" t="s">
        <v>77</v>
      </c>
      <c r="C151" s="69">
        <f>+'Entrate tot e finalizzati'!C151-'Entrate tot e finalizzati'!D151</f>
        <v>0</v>
      </c>
      <c r="D151" s="55">
        <f>+'Entrate tot e finalizzati'!E151-'Entrate tot e finalizzati'!F151</f>
        <v>64952</v>
      </c>
      <c r="E151" s="60">
        <f>+'Entrate tot e finalizzati'!G151-'Entrate tot e finalizzati'!H151</f>
        <v>91870</v>
      </c>
      <c r="F151" s="55">
        <f>+'Entrate tot e finalizzati'!I151-'Entrate tot e finalizzati'!J151</f>
        <v>93361</v>
      </c>
      <c r="G151" s="60">
        <f>+'Entrate tot e finalizzati'!K151-'Entrate tot e finalizzati'!L151</f>
        <v>92691</v>
      </c>
      <c r="H151" s="55">
        <f>+'Entrate tot e finalizzati'!M151-'Entrate tot e finalizzati'!N151</f>
        <v>91684</v>
      </c>
      <c r="I151" s="60">
        <f>+'Entrate tot e finalizzati'!O151-'Entrate tot e finalizzati'!P151</f>
        <v>8433</v>
      </c>
      <c r="J151" s="55">
        <f>+'Entrate tot e finalizzati'!Q151-'Entrate tot e finalizzati'!R151</f>
        <v>8465</v>
      </c>
      <c r="K151" s="60">
        <f>+'Entrate tot e finalizzati'!S151-'Entrate tot e finalizzati'!T151</f>
        <v>8433</v>
      </c>
      <c r="L151" s="55">
        <f>+'Entrate tot e finalizzati'!U151-'Entrate tot e finalizzati'!V151</f>
        <v>8719</v>
      </c>
      <c r="M151" s="33"/>
      <c r="N151" s="33"/>
      <c r="O151" s="33"/>
      <c r="P151" s="33"/>
      <c r="Q151" s="33"/>
      <c r="R151" s="33"/>
      <c r="S151" s="33"/>
      <c r="T151" s="33"/>
    </row>
    <row r="152" spans="1:20" s="2" customFormat="1" ht="12.75">
      <c r="A152" s="71"/>
      <c r="B152" s="103" t="s">
        <v>103</v>
      </c>
      <c r="C152" s="69">
        <f>+'Entrate tot e finalizzati'!C152-'Entrate tot e finalizzati'!D152</f>
        <v>0</v>
      </c>
      <c r="D152" s="55">
        <f>+'Entrate tot e finalizzati'!E152-'Entrate tot e finalizzati'!F152</f>
        <v>0</v>
      </c>
      <c r="E152" s="60">
        <f>+'Entrate tot e finalizzati'!G152-'Entrate tot e finalizzati'!H152</f>
        <v>0</v>
      </c>
      <c r="F152" s="55">
        <f>+'Entrate tot e finalizzati'!I152-'Entrate tot e finalizzati'!J152</f>
        <v>0</v>
      </c>
      <c r="G152" s="60">
        <f>+'Entrate tot e finalizzati'!K152-'Entrate tot e finalizzati'!L152</f>
        <v>0</v>
      </c>
      <c r="H152" s="55">
        <f>+'Entrate tot e finalizzati'!M152-'Entrate tot e finalizzati'!N152</f>
        <v>234</v>
      </c>
      <c r="I152" s="60">
        <f>+'Entrate tot e finalizzati'!O152-'Entrate tot e finalizzati'!P152</f>
        <v>268</v>
      </c>
      <c r="J152" s="55">
        <f>+'Entrate tot e finalizzati'!Q152-'Entrate tot e finalizzati'!R152</f>
        <v>287</v>
      </c>
      <c r="K152" s="60">
        <f>+'Entrate tot e finalizzati'!S152-'Entrate tot e finalizzati'!T152</f>
        <v>237</v>
      </c>
      <c r="L152" s="55">
        <f>+'Entrate tot e finalizzati'!U152-'Entrate tot e finalizzati'!V152</f>
        <v>187</v>
      </c>
      <c r="M152" s="33"/>
      <c r="N152" s="33"/>
      <c r="O152" s="33"/>
      <c r="P152" s="33"/>
      <c r="Q152" s="33"/>
      <c r="R152" s="33"/>
      <c r="S152" s="33"/>
      <c r="T152" s="33"/>
    </row>
    <row r="153" spans="1:20" s="2" customFormat="1" ht="12.75">
      <c r="A153" s="71"/>
      <c r="B153" s="103" t="s">
        <v>24</v>
      </c>
      <c r="C153" s="69">
        <f>+'Entrate tot e finalizzati'!C153-'Entrate tot e finalizzati'!D153</f>
        <v>14691</v>
      </c>
      <c r="D153" s="55">
        <f>+'Entrate tot e finalizzati'!E153-'Entrate tot e finalizzati'!F153</f>
        <v>13496</v>
      </c>
      <c r="E153" s="60">
        <f>+'Entrate tot e finalizzati'!G153-'Entrate tot e finalizzati'!H153</f>
        <v>11156</v>
      </c>
      <c r="F153" s="55">
        <f>+'Entrate tot e finalizzati'!I153-'Entrate tot e finalizzati'!J153</f>
        <v>2111</v>
      </c>
      <c r="G153" s="60">
        <f>+'Entrate tot e finalizzati'!K153-'Entrate tot e finalizzati'!L153</f>
        <v>1494</v>
      </c>
      <c r="H153" s="55">
        <f>+'Entrate tot e finalizzati'!M153-'Entrate tot e finalizzati'!N153</f>
        <v>1494</v>
      </c>
      <c r="I153" s="60">
        <f>+'Entrate tot e finalizzati'!O153-'Entrate tot e finalizzati'!P153</f>
        <v>6775</v>
      </c>
      <c r="J153" s="55">
        <f>+'Entrate tot e finalizzati'!Q153-'Entrate tot e finalizzati'!R153</f>
        <v>5286</v>
      </c>
      <c r="K153" s="60">
        <f>+'Entrate tot e finalizzati'!S153-'Entrate tot e finalizzati'!T153</f>
        <v>4715</v>
      </c>
      <c r="L153" s="55">
        <f>+'Entrate tot e finalizzati'!U153-'Entrate tot e finalizzati'!V153</f>
        <v>2432</v>
      </c>
      <c r="M153" s="33"/>
      <c r="N153" s="33"/>
      <c r="O153" s="33"/>
      <c r="P153" s="33"/>
      <c r="Q153" s="33"/>
      <c r="R153" s="33"/>
      <c r="S153" s="33"/>
      <c r="T153" s="33"/>
    </row>
    <row r="154" spans="1:20" s="2" customFormat="1" ht="12.75">
      <c r="A154" s="71"/>
      <c r="B154" s="103" t="s">
        <v>113</v>
      </c>
      <c r="C154" s="69">
        <f>+'Entrate tot e finalizzati'!C154-'Entrate tot e finalizzati'!D154</f>
        <v>0</v>
      </c>
      <c r="D154" s="55">
        <f>+'Entrate tot e finalizzati'!E154-'Entrate tot e finalizzati'!F154</f>
        <v>0</v>
      </c>
      <c r="E154" s="60">
        <f>+'Entrate tot e finalizzati'!G154-'Entrate tot e finalizzati'!H154</f>
        <v>0</v>
      </c>
      <c r="F154" s="55">
        <f>+'Entrate tot e finalizzati'!I154-'Entrate tot e finalizzati'!J154</f>
        <v>0</v>
      </c>
      <c r="G154" s="60">
        <f>+'Entrate tot e finalizzati'!K154-'Entrate tot e finalizzati'!L154</f>
        <v>0</v>
      </c>
      <c r="H154" s="55">
        <f>+'Entrate tot e finalizzati'!M154-'Entrate tot e finalizzati'!N154</f>
        <v>0</v>
      </c>
      <c r="I154" s="60">
        <f>+'Entrate tot e finalizzati'!O154-'Entrate tot e finalizzati'!P154</f>
        <v>0</v>
      </c>
      <c r="J154" s="55">
        <f>+'Entrate tot e finalizzati'!Q154-'Entrate tot e finalizzati'!R154</f>
        <v>50268</v>
      </c>
      <c r="K154" s="60">
        <f>+'Entrate tot e finalizzati'!S154-'Entrate tot e finalizzati'!T154</f>
        <v>52858</v>
      </c>
      <c r="L154" s="55">
        <f>+'Entrate tot e finalizzati'!U154-'Entrate tot e finalizzati'!V154</f>
        <v>64739</v>
      </c>
      <c r="M154" s="33"/>
      <c r="N154" s="33"/>
      <c r="O154" s="33"/>
      <c r="P154" s="33"/>
      <c r="Q154" s="33"/>
      <c r="R154" s="33"/>
      <c r="S154" s="33"/>
      <c r="T154" s="33"/>
    </row>
    <row r="155" spans="1:20" s="2" customFormat="1" ht="12.75">
      <c r="A155" s="71"/>
      <c r="B155" s="103" t="s">
        <v>114</v>
      </c>
      <c r="C155" s="69">
        <f>+'Entrate tot e finalizzati'!C155-'Entrate tot e finalizzati'!D155</f>
        <v>0</v>
      </c>
      <c r="D155" s="55">
        <f>+'Entrate tot e finalizzati'!E155-'Entrate tot e finalizzati'!F155</f>
        <v>0</v>
      </c>
      <c r="E155" s="60">
        <f>+'Entrate tot e finalizzati'!G155-'Entrate tot e finalizzati'!H155</f>
        <v>0</v>
      </c>
      <c r="F155" s="55">
        <f>+'Entrate tot e finalizzati'!I155-'Entrate tot e finalizzati'!J155</f>
        <v>0</v>
      </c>
      <c r="G155" s="60">
        <f>+'Entrate tot e finalizzati'!K155-'Entrate tot e finalizzati'!L155</f>
        <v>0</v>
      </c>
      <c r="H155" s="55">
        <f>+'Entrate tot e finalizzati'!M155-'Entrate tot e finalizzati'!N155</f>
        <v>0</v>
      </c>
      <c r="I155" s="60">
        <f>+'Entrate tot e finalizzati'!O155-'Entrate tot e finalizzati'!P155</f>
        <v>0</v>
      </c>
      <c r="J155" s="55">
        <f>+'Entrate tot e finalizzati'!Q155-'Entrate tot e finalizzati'!R155</f>
        <v>0</v>
      </c>
      <c r="K155" s="60">
        <f>+'Entrate tot e finalizzati'!S155-'Entrate tot e finalizzati'!T155</f>
        <v>6025</v>
      </c>
      <c r="L155" s="55">
        <f>+'Entrate tot e finalizzati'!U155-'Entrate tot e finalizzati'!V155</f>
        <v>0</v>
      </c>
      <c r="M155" s="33"/>
      <c r="N155" s="33"/>
      <c r="O155" s="33"/>
      <c r="P155" s="33"/>
      <c r="Q155" s="33"/>
      <c r="R155" s="33"/>
      <c r="S155" s="33"/>
      <c r="T155" s="33"/>
    </row>
    <row r="156" spans="1:20" s="2" customFormat="1" ht="12.75">
      <c r="A156" s="71"/>
      <c r="B156" s="101" t="s">
        <v>16</v>
      </c>
      <c r="C156" s="69">
        <f>+'Entrate tot e finalizzati'!C156-'Entrate tot e finalizzati'!D156</f>
        <v>6</v>
      </c>
      <c r="D156" s="55">
        <f>+'Entrate tot e finalizzati'!E156-'Entrate tot e finalizzati'!F156</f>
        <v>10</v>
      </c>
      <c r="E156" s="60">
        <f>+'Entrate tot e finalizzati'!G156-'Entrate tot e finalizzati'!H156</f>
        <v>0</v>
      </c>
      <c r="F156" s="55">
        <f>+'Entrate tot e finalizzati'!I156-'Entrate tot e finalizzati'!J156</f>
        <v>5</v>
      </c>
      <c r="G156" s="60">
        <f>+'Entrate tot e finalizzati'!K156-'Entrate tot e finalizzati'!L156</f>
        <v>0</v>
      </c>
      <c r="H156" s="55">
        <f>+'Entrate tot e finalizzati'!M156-'Entrate tot e finalizzati'!N156</f>
        <v>0</v>
      </c>
      <c r="I156" s="60">
        <f>+'Entrate tot e finalizzati'!O156-'Entrate tot e finalizzati'!P156</f>
        <v>0</v>
      </c>
      <c r="J156" s="55">
        <f>+'Entrate tot e finalizzati'!Q156-'Entrate tot e finalizzati'!R156</f>
        <v>0</v>
      </c>
      <c r="K156" s="60">
        <f>+'Entrate tot e finalizzati'!S156-'Entrate tot e finalizzati'!T156</f>
        <v>0</v>
      </c>
      <c r="L156" s="55">
        <f>+'Entrate tot e finalizzati'!U156-'Entrate tot e finalizzati'!V156</f>
        <v>0</v>
      </c>
      <c r="M156" s="33"/>
      <c r="N156" s="33"/>
      <c r="O156" s="33"/>
      <c r="P156" s="33"/>
      <c r="Q156" s="33"/>
      <c r="R156" s="33"/>
      <c r="S156" s="33"/>
      <c r="T156" s="33"/>
    </row>
    <row r="157" spans="1:20" s="2" customFormat="1" ht="12.75">
      <c r="A157" s="71"/>
      <c r="B157" s="103" t="s">
        <v>25</v>
      </c>
      <c r="C157" s="69">
        <f>+'Entrate tot e finalizzati'!C157-'Entrate tot e finalizzati'!D157</f>
        <v>0</v>
      </c>
      <c r="D157" s="55">
        <f>+'Entrate tot e finalizzati'!E157-'Entrate tot e finalizzati'!F157</f>
        <v>0</v>
      </c>
      <c r="E157" s="60">
        <f>+'Entrate tot e finalizzati'!G157-'Entrate tot e finalizzati'!H157</f>
        <v>0</v>
      </c>
      <c r="F157" s="55">
        <f>+'Entrate tot e finalizzati'!I157-'Entrate tot e finalizzati'!J157</f>
        <v>0</v>
      </c>
      <c r="G157" s="60">
        <f>+'Entrate tot e finalizzati'!K157-'Entrate tot e finalizzati'!L157</f>
        <v>0</v>
      </c>
      <c r="H157" s="55">
        <f>+'Entrate tot e finalizzati'!M157-'Entrate tot e finalizzati'!N157</f>
        <v>0</v>
      </c>
      <c r="I157" s="60">
        <f>+'Entrate tot e finalizzati'!O157-'Entrate tot e finalizzati'!P157</f>
        <v>0</v>
      </c>
      <c r="J157" s="55">
        <f>+'Entrate tot e finalizzati'!Q157-'Entrate tot e finalizzati'!R157</f>
        <v>0</v>
      </c>
      <c r="K157" s="60">
        <f>+'Entrate tot e finalizzati'!S157-'Entrate tot e finalizzati'!T157</f>
        <v>0</v>
      </c>
      <c r="L157" s="55">
        <f>+'Entrate tot e finalizzati'!U157-'Entrate tot e finalizzati'!V157</f>
        <v>0</v>
      </c>
      <c r="M157" s="33"/>
      <c r="N157" s="33"/>
      <c r="O157" s="33"/>
      <c r="P157" s="33"/>
      <c r="Q157" s="33"/>
      <c r="R157" s="33"/>
      <c r="S157" s="33"/>
      <c r="T157" s="33"/>
    </row>
    <row r="158" spans="1:20" s="2" customFormat="1" ht="12.75">
      <c r="A158" s="71"/>
      <c r="B158" s="103" t="s">
        <v>26</v>
      </c>
      <c r="C158" s="69">
        <f>+'Entrate tot e finalizzati'!C158-'Entrate tot e finalizzati'!D158</f>
        <v>3660</v>
      </c>
      <c r="D158" s="55">
        <f>+'Entrate tot e finalizzati'!E158-'Entrate tot e finalizzati'!F158</f>
        <v>2946</v>
      </c>
      <c r="E158" s="60">
        <f>+'Entrate tot e finalizzati'!G158-'Entrate tot e finalizzati'!H158</f>
        <v>2280</v>
      </c>
      <c r="F158" s="55">
        <f>+'Entrate tot e finalizzati'!I158-'Entrate tot e finalizzati'!J158</f>
        <v>3381</v>
      </c>
      <c r="G158" s="60">
        <f>+'Entrate tot e finalizzati'!K158-'Entrate tot e finalizzati'!L158</f>
        <v>2663</v>
      </c>
      <c r="H158" s="55">
        <f>+'Entrate tot e finalizzati'!M158-'Entrate tot e finalizzati'!N158</f>
        <v>2829</v>
      </c>
      <c r="I158" s="60">
        <f>+'Entrate tot e finalizzati'!O158-'Entrate tot e finalizzati'!P158</f>
        <v>3777</v>
      </c>
      <c r="J158" s="55">
        <f>+'Entrate tot e finalizzati'!Q158-'Entrate tot e finalizzati'!R158</f>
        <v>4758</v>
      </c>
      <c r="K158" s="60">
        <f>+'Entrate tot e finalizzati'!S158-'Entrate tot e finalizzati'!T158</f>
        <v>4719</v>
      </c>
      <c r="L158" s="55">
        <f>+'Entrate tot e finalizzati'!U158-'Entrate tot e finalizzati'!V158</f>
        <v>3089</v>
      </c>
      <c r="M158" s="33"/>
      <c r="N158" s="33"/>
      <c r="O158" s="33"/>
      <c r="P158" s="33"/>
      <c r="Q158" s="33"/>
      <c r="R158" s="33"/>
      <c r="S158" s="33"/>
      <c r="T158" s="33"/>
    </row>
    <row r="159" spans="1:20" s="2" customFormat="1" ht="12.75">
      <c r="A159" s="71"/>
      <c r="B159" s="103" t="s">
        <v>27</v>
      </c>
      <c r="C159" s="69">
        <f>+'Entrate tot e finalizzati'!C159-'Entrate tot e finalizzati'!D159</f>
        <v>1639</v>
      </c>
      <c r="D159" s="55">
        <f>+'Entrate tot e finalizzati'!E159-'Entrate tot e finalizzati'!F159</f>
        <v>1353</v>
      </c>
      <c r="E159" s="60">
        <f>+'Entrate tot e finalizzati'!G159-'Entrate tot e finalizzati'!H159</f>
        <v>2117</v>
      </c>
      <c r="F159" s="55">
        <f>+'Entrate tot e finalizzati'!I159-'Entrate tot e finalizzati'!J159</f>
        <v>150</v>
      </c>
      <c r="G159" s="60">
        <f>+'Entrate tot e finalizzati'!K159-'Entrate tot e finalizzati'!L159</f>
        <v>35</v>
      </c>
      <c r="H159" s="55">
        <f>+'Entrate tot e finalizzati'!M159-'Entrate tot e finalizzati'!N159</f>
        <v>27</v>
      </c>
      <c r="I159" s="60">
        <f>+'Entrate tot e finalizzati'!O159-'Entrate tot e finalizzati'!P159</f>
        <v>2844</v>
      </c>
      <c r="J159" s="55">
        <f>+'Entrate tot e finalizzati'!Q159-'Entrate tot e finalizzati'!R159</f>
        <v>3698</v>
      </c>
      <c r="K159" s="60">
        <f>+'Entrate tot e finalizzati'!S159-'Entrate tot e finalizzati'!T159</f>
        <v>2572</v>
      </c>
      <c r="L159" s="55">
        <f>+'Entrate tot e finalizzati'!U159-'Entrate tot e finalizzati'!V159</f>
        <v>450</v>
      </c>
      <c r="M159" s="33"/>
      <c r="N159" s="33"/>
      <c r="O159" s="33"/>
      <c r="P159" s="33"/>
      <c r="Q159" s="33"/>
      <c r="R159" s="33"/>
      <c r="S159" s="33"/>
      <c r="T159" s="33"/>
    </row>
    <row r="160" spans="1:20" s="2" customFormat="1" ht="12.75">
      <c r="A160" s="71"/>
      <c r="B160" s="103" t="s">
        <v>32</v>
      </c>
      <c r="C160" s="69">
        <f>+'Entrate tot e finalizzati'!C160-'Entrate tot e finalizzati'!D160</f>
        <v>6126</v>
      </c>
      <c r="D160" s="55">
        <f>+'Entrate tot e finalizzati'!E160-'Entrate tot e finalizzati'!F160</f>
        <v>6266</v>
      </c>
      <c r="E160" s="60">
        <f>+'Entrate tot e finalizzati'!G160-'Entrate tot e finalizzati'!H160</f>
        <v>8382</v>
      </c>
      <c r="F160" s="55">
        <f>+'Entrate tot e finalizzati'!I160-'Entrate tot e finalizzati'!J160</f>
        <v>8325</v>
      </c>
      <c r="G160" s="60">
        <f>+'Entrate tot e finalizzati'!K160-'Entrate tot e finalizzati'!L160</f>
        <v>12218</v>
      </c>
      <c r="H160" s="55">
        <f>+'Entrate tot e finalizzati'!M160-'Entrate tot e finalizzati'!N160</f>
        <v>3487</v>
      </c>
      <c r="I160" s="60">
        <f>+'Entrate tot e finalizzati'!O160-'Entrate tot e finalizzati'!P160</f>
        <v>10626</v>
      </c>
      <c r="J160" s="55">
        <f>+'Entrate tot e finalizzati'!Q160-'Entrate tot e finalizzati'!R160</f>
        <v>433</v>
      </c>
      <c r="K160" s="60">
        <f>+'Entrate tot e finalizzati'!S160-'Entrate tot e finalizzati'!T160</f>
        <v>925</v>
      </c>
      <c r="L160" s="55">
        <f>+'Entrate tot e finalizzati'!U160-'Entrate tot e finalizzati'!V160</f>
        <v>6685</v>
      </c>
      <c r="M160" s="33"/>
      <c r="N160" s="33"/>
      <c r="O160" s="33"/>
      <c r="P160" s="33"/>
      <c r="Q160" s="33"/>
      <c r="R160" s="33"/>
      <c r="S160" s="33"/>
      <c r="T160" s="33"/>
    </row>
    <row r="161" spans="1:20" s="2" customFormat="1" ht="12.75">
      <c r="A161" s="71"/>
      <c r="B161" s="103" t="s">
        <v>28</v>
      </c>
      <c r="C161" s="69">
        <f>+'Entrate tot e finalizzati'!C161-'Entrate tot e finalizzati'!D161</f>
        <v>15530</v>
      </c>
      <c r="D161" s="55">
        <f>+'Entrate tot e finalizzati'!E161-'Entrate tot e finalizzati'!F161</f>
        <v>15375</v>
      </c>
      <c r="E161" s="60">
        <f>+'Entrate tot e finalizzati'!G161-'Entrate tot e finalizzati'!H161</f>
        <v>0</v>
      </c>
      <c r="F161" s="55">
        <f>+'Entrate tot e finalizzati'!I161-'Entrate tot e finalizzati'!J161</f>
        <v>0</v>
      </c>
      <c r="G161" s="60">
        <f>+'Entrate tot e finalizzati'!K161-'Entrate tot e finalizzati'!L161</f>
        <v>0</v>
      </c>
      <c r="H161" s="55">
        <f>+'Entrate tot e finalizzati'!M161-'Entrate tot e finalizzati'!N161</f>
        <v>0</v>
      </c>
      <c r="I161" s="60">
        <f>+'Entrate tot e finalizzati'!O161-'Entrate tot e finalizzati'!P161</f>
        <v>15064</v>
      </c>
      <c r="J161" s="55">
        <f>+'Entrate tot e finalizzati'!Q161-'Entrate tot e finalizzati'!R161</f>
        <v>15064</v>
      </c>
      <c r="K161" s="60">
        <f>+'Entrate tot e finalizzati'!S161-'Entrate tot e finalizzati'!T161</f>
        <v>15064</v>
      </c>
      <c r="L161" s="55">
        <f>+'Entrate tot e finalizzati'!U161-'Entrate tot e finalizzati'!V161</f>
        <v>15064</v>
      </c>
      <c r="M161" s="33"/>
      <c r="N161" s="33"/>
      <c r="O161" s="33"/>
      <c r="P161" s="33"/>
      <c r="Q161" s="33"/>
      <c r="R161" s="33"/>
      <c r="S161" s="33"/>
      <c r="T161" s="33"/>
    </row>
    <row r="162" spans="1:20" s="2" customFormat="1" ht="12.75">
      <c r="A162" s="71"/>
      <c r="B162" s="103" t="s">
        <v>29</v>
      </c>
      <c r="C162" s="69">
        <f>+'Entrate tot e finalizzati'!C162-'Entrate tot e finalizzati'!D162</f>
        <v>722</v>
      </c>
      <c r="D162" s="55">
        <f>+'Entrate tot e finalizzati'!E162-'Entrate tot e finalizzati'!F162</f>
        <v>714</v>
      </c>
      <c r="E162" s="60">
        <f>+'Entrate tot e finalizzati'!G162-'Entrate tot e finalizzati'!H162</f>
        <v>0</v>
      </c>
      <c r="F162" s="55">
        <f>+'Entrate tot e finalizzati'!I162-'Entrate tot e finalizzati'!J162</f>
        <v>0</v>
      </c>
      <c r="G162" s="60">
        <f>+'Entrate tot e finalizzati'!K162-'Entrate tot e finalizzati'!L162</f>
        <v>0</v>
      </c>
      <c r="H162" s="55">
        <f>+'Entrate tot e finalizzati'!M162-'Entrate tot e finalizzati'!N162</f>
        <v>0</v>
      </c>
      <c r="I162" s="60">
        <f>+'Entrate tot e finalizzati'!O162-'Entrate tot e finalizzati'!P162</f>
        <v>700</v>
      </c>
      <c r="J162" s="55">
        <f>+'Entrate tot e finalizzati'!Q162-'Entrate tot e finalizzati'!R162</f>
        <v>700</v>
      </c>
      <c r="K162" s="60">
        <f>+'Entrate tot e finalizzati'!S162-'Entrate tot e finalizzati'!T162</f>
        <v>700</v>
      </c>
      <c r="L162" s="55">
        <f>+'Entrate tot e finalizzati'!U162-'Entrate tot e finalizzati'!V162</f>
        <v>700</v>
      </c>
      <c r="M162" s="33"/>
      <c r="N162" s="33"/>
      <c r="O162" s="33"/>
      <c r="P162" s="33"/>
      <c r="Q162" s="33"/>
      <c r="R162" s="33"/>
      <c r="S162" s="33"/>
      <c r="T162" s="33"/>
    </row>
    <row r="163" spans="1:20" s="2" customFormat="1" ht="12.75">
      <c r="A163" s="71"/>
      <c r="B163" s="103" t="s">
        <v>34</v>
      </c>
      <c r="C163" s="69">
        <f>+'Entrate tot e finalizzati'!C163-'Entrate tot e finalizzati'!D163</f>
        <v>2</v>
      </c>
      <c r="D163" s="55">
        <f>+'Entrate tot e finalizzati'!E163-'Entrate tot e finalizzati'!F163</f>
        <v>2</v>
      </c>
      <c r="E163" s="60">
        <f>+'Entrate tot e finalizzati'!G163-'Entrate tot e finalizzati'!H163</f>
        <v>0</v>
      </c>
      <c r="F163" s="55">
        <f>+'Entrate tot e finalizzati'!I163-'Entrate tot e finalizzati'!J163</f>
        <v>50</v>
      </c>
      <c r="G163" s="60">
        <f>+'Entrate tot e finalizzati'!K163-'Entrate tot e finalizzati'!L163</f>
        <v>27</v>
      </c>
      <c r="H163" s="55">
        <f>+'Entrate tot e finalizzati'!M163-'Entrate tot e finalizzati'!N163</f>
        <v>0</v>
      </c>
      <c r="I163" s="60">
        <f>+'Entrate tot e finalizzati'!O163-'Entrate tot e finalizzati'!P163</f>
        <v>0</v>
      </c>
      <c r="J163" s="55">
        <f>+'Entrate tot e finalizzati'!Q163-'Entrate tot e finalizzati'!R163</f>
        <v>0</v>
      </c>
      <c r="K163" s="60">
        <f>+'Entrate tot e finalizzati'!S163-'Entrate tot e finalizzati'!T163</f>
        <v>499</v>
      </c>
      <c r="L163" s="55">
        <f>+'Entrate tot e finalizzati'!U163-'Entrate tot e finalizzati'!V163</f>
        <v>0</v>
      </c>
      <c r="M163" s="33"/>
      <c r="N163" s="33"/>
      <c r="O163" s="33"/>
      <c r="P163" s="33"/>
      <c r="Q163" s="33"/>
      <c r="R163" s="33"/>
      <c r="S163" s="33"/>
      <c r="T163" s="33"/>
    </row>
    <row r="164" spans="1:20" s="2" customFormat="1" ht="12.75">
      <c r="A164" s="71"/>
      <c r="B164" s="103" t="s">
        <v>19</v>
      </c>
      <c r="C164" s="69">
        <f>+'Entrate tot e finalizzati'!C164-'Entrate tot e finalizzati'!D164</f>
        <v>235</v>
      </c>
      <c r="D164" s="55">
        <f>+'Entrate tot e finalizzati'!E164-'Entrate tot e finalizzati'!F164</f>
        <v>261</v>
      </c>
      <c r="E164" s="60">
        <f>+'Entrate tot e finalizzati'!G164-'Entrate tot e finalizzati'!H164</f>
        <v>551</v>
      </c>
      <c r="F164" s="55">
        <f>+'Entrate tot e finalizzati'!I164-'Entrate tot e finalizzati'!J164</f>
        <v>559</v>
      </c>
      <c r="G164" s="60">
        <f>+'Entrate tot e finalizzati'!K164-'Entrate tot e finalizzati'!L164</f>
        <v>321</v>
      </c>
      <c r="H164" s="55">
        <f>+'Entrate tot e finalizzati'!M164-'Entrate tot e finalizzati'!N164</f>
        <v>330</v>
      </c>
      <c r="I164" s="60">
        <f>+'Entrate tot e finalizzati'!O164-'Entrate tot e finalizzati'!P164</f>
        <v>240</v>
      </c>
      <c r="J164" s="55">
        <f>+'Entrate tot e finalizzati'!Q164-'Entrate tot e finalizzati'!R164</f>
        <v>408</v>
      </c>
      <c r="K164" s="60">
        <f>+'Entrate tot e finalizzati'!S164-'Entrate tot e finalizzati'!T164</f>
        <v>243</v>
      </c>
      <c r="L164" s="55">
        <f>+'Entrate tot e finalizzati'!U164-'Entrate tot e finalizzati'!V164</f>
        <v>128</v>
      </c>
      <c r="M164" s="33"/>
      <c r="N164" s="33"/>
      <c r="O164" s="33"/>
      <c r="P164" s="33"/>
      <c r="Q164" s="33"/>
      <c r="R164" s="33"/>
      <c r="S164" s="33"/>
      <c r="T164" s="33"/>
    </row>
    <row r="165" spans="1:20" s="2" customFormat="1" ht="12.75">
      <c r="A165" s="71"/>
      <c r="B165" s="103" t="s">
        <v>53</v>
      </c>
      <c r="C165" s="69">
        <f>+'Entrate tot e finalizzati'!C165-'Entrate tot e finalizzati'!D165</f>
        <v>0</v>
      </c>
      <c r="D165" s="55">
        <f>+'Entrate tot e finalizzati'!E165-'Entrate tot e finalizzati'!F165</f>
        <v>0</v>
      </c>
      <c r="E165" s="60">
        <f>+'Entrate tot e finalizzati'!G165-'Entrate tot e finalizzati'!H165</f>
        <v>0</v>
      </c>
      <c r="F165" s="55">
        <f>+'Entrate tot e finalizzati'!I165-'Entrate tot e finalizzati'!J165</f>
        <v>54</v>
      </c>
      <c r="G165" s="60">
        <f>+'Entrate tot e finalizzati'!K165-'Entrate tot e finalizzati'!L165</f>
        <v>11</v>
      </c>
      <c r="H165" s="55">
        <f>+'Entrate tot e finalizzati'!M165-'Entrate tot e finalizzati'!N165</f>
        <v>10</v>
      </c>
      <c r="I165" s="60">
        <f>+'Entrate tot e finalizzati'!O165-'Entrate tot e finalizzati'!P165</f>
        <v>3</v>
      </c>
      <c r="J165" s="55">
        <f>+'Entrate tot e finalizzati'!Q165-'Entrate tot e finalizzati'!R165</f>
        <v>4</v>
      </c>
      <c r="K165" s="60">
        <f>+'Entrate tot e finalizzati'!S165-'Entrate tot e finalizzati'!T165</f>
        <v>2</v>
      </c>
      <c r="L165" s="55">
        <f>+'Entrate tot e finalizzati'!U165-'Entrate tot e finalizzati'!V165</f>
        <v>1</v>
      </c>
      <c r="M165" s="33"/>
      <c r="N165" s="33"/>
      <c r="O165" s="33"/>
      <c r="P165" s="33"/>
      <c r="Q165" s="33"/>
      <c r="R165" s="33"/>
      <c r="S165" s="33"/>
      <c r="T165" s="33"/>
    </row>
    <row r="166" spans="1:20" s="2" customFormat="1" ht="12.75">
      <c r="A166" s="71"/>
      <c r="B166" s="101" t="s">
        <v>30</v>
      </c>
      <c r="C166" s="69">
        <f>+'Entrate tot e finalizzati'!C166-'Entrate tot e finalizzati'!D166</f>
        <v>1291</v>
      </c>
      <c r="D166" s="55">
        <f>+'Entrate tot e finalizzati'!E166-'Entrate tot e finalizzati'!F166</f>
        <v>430</v>
      </c>
      <c r="E166" s="60">
        <f>+'Entrate tot e finalizzati'!G166-'Entrate tot e finalizzati'!H166</f>
        <v>0</v>
      </c>
      <c r="F166" s="55">
        <f>+'Entrate tot e finalizzati'!I166-'Entrate tot e finalizzati'!J166</f>
        <v>0</v>
      </c>
      <c r="G166" s="60">
        <f>+'Entrate tot e finalizzati'!K166-'Entrate tot e finalizzati'!L166</f>
        <v>0</v>
      </c>
      <c r="H166" s="55">
        <f>+'Entrate tot e finalizzati'!M166-'Entrate tot e finalizzati'!N166</f>
        <v>0</v>
      </c>
      <c r="I166" s="60">
        <f>+'Entrate tot e finalizzati'!O166-'Entrate tot e finalizzati'!P166</f>
        <v>0</v>
      </c>
      <c r="J166" s="55">
        <f>+'Entrate tot e finalizzati'!Q166-'Entrate tot e finalizzati'!R166</f>
        <v>0</v>
      </c>
      <c r="K166" s="60">
        <f>+'Entrate tot e finalizzati'!S166-'Entrate tot e finalizzati'!T166</f>
        <v>0</v>
      </c>
      <c r="L166" s="55">
        <f>+'Entrate tot e finalizzati'!U166-'Entrate tot e finalizzati'!V166</f>
        <v>0</v>
      </c>
      <c r="M166" s="33"/>
      <c r="N166" s="33"/>
      <c r="O166" s="33"/>
      <c r="P166" s="33"/>
      <c r="Q166" s="33"/>
      <c r="R166" s="33"/>
      <c r="S166" s="33"/>
      <c r="T166" s="33"/>
    </row>
    <row r="167" spans="1:20" s="2" customFormat="1" ht="12.75">
      <c r="A167" s="71"/>
      <c r="B167" s="103" t="s">
        <v>31</v>
      </c>
      <c r="C167" s="69">
        <f>+'Entrate tot e finalizzati'!C167-'Entrate tot e finalizzati'!D167</f>
        <v>5371</v>
      </c>
      <c r="D167" s="55">
        <f>+'Entrate tot e finalizzati'!E167-'Entrate tot e finalizzati'!F167</f>
        <v>2853</v>
      </c>
      <c r="E167" s="60">
        <f>+'Entrate tot e finalizzati'!G167-'Entrate tot e finalizzati'!H167</f>
        <v>4532</v>
      </c>
      <c r="F167" s="55">
        <f>+'Entrate tot e finalizzati'!I167-'Entrate tot e finalizzati'!J167</f>
        <v>3832</v>
      </c>
      <c r="G167" s="60">
        <f>+'Entrate tot e finalizzati'!K167-'Entrate tot e finalizzati'!L167</f>
        <v>4617</v>
      </c>
      <c r="H167" s="55">
        <f>+'Entrate tot e finalizzati'!M167-'Entrate tot e finalizzati'!N167</f>
        <v>2499</v>
      </c>
      <c r="I167" s="60">
        <f>+'Entrate tot e finalizzati'!O167-'Entrate tot e finalizzati'!P167</f>
        <v>5445</v>
      </c>
      <c r="J167" s="55">
        <f>+'Entrate tot e finalizzati'!Q167-'Entrate tot e finalizzati'!R167</f>
        <v>13944</v>
      </c>
      <c r="K167" s="60">
        <f>+'Entrate tot e finalizzati'!S167-'Entrate tot e finalizzati'!T167</f>
        <v>5122</v>
      </c>
      <c r="L167" s="55">
        <f>+'Entrate tot e finalizzati'!U167-'Entrate tot e finalizzati'!V167</f>
        <v>6237</v>
      </c>
      <c r="M167" s="33"/>
      <c r="N167" s="33"/>
      <c r="O167" s="33"/>
      <c r="P167" s="33"/>
      <c r="Q167" s="33"/>
      <c r="R167" s="33"/>
      <c r="S167" s="33"/>
      <c r="T167" s="33"/>
    </row>
    <row r="168" spans="1:20" s="2" customFormat="1" ht="12.75">
      <c r="A168" s="71"/>
      <c r="B168" s="101" t="s">
        <v>33</v>
      </c>
      <c r="C168" s="69">
        <f>+'Entrate tot e finalizzati'!C168-'Entrate tot e finalizzati'!D168</f>
        <v>1036</v>
      </c>
      <c r="D168" s="55">
        <f>+'Entrate tot e finalizzati'!E168-'Entrate tot e finalizzati'!F168</f>
        <v>12247</v>
      </c>
      <c r="E168" s="60">
        <f>+'Entrate tot e finalizzati'!G168-'Entrate tot e finalizzati'!H168</f>
        <v>19199</v>
      </c>
      <c r="F168" s="55">
        <f>+'Entrate tot e finalizzati'!I168-'Entrate tot e finalizzati'!J168</f>
        <v>14238</v>
      </c>
      <c r="G168" s="60">
        <f>+'Entrate tot e finalizzati'!K168-'Entrate tot e finalizzati'!L168</f>
        <v>9270</v>
      </c>
      <c r="H168" s="55">
        <f>+'Entrate tot e finalizzati'!M168-'Entrate tot e finalizzati'!N168</f>
        <v>9676</v>
      </c>
      <c r="I168" s="60">
        <f>+'Entrate tot e finalizzati'!O168-'Entrate tot e finalizzati'!P168</f>
        <v>5043</v>
      </c>
      <c r="J168" s="55">
        <f>+'Entrate tot e finalizzati'!Q168-'Entrate tot e finalizzati'!R168</f>
        <v>3326</v>
      </c>
      <c r="K168" s="60">
        <f>+'Entrate tot e finalizzati'!S168-'Entrate tot e finalizzati'!T168</f>
        <v>3598</v>
      </c>
      <c r="L168" s="55">
        <f>+'Entrate tot e finalizzati'!U168-'Entrate tot e finalizzati'!V168</f>
        <v>4857</v>
      </c>
      <c r="M168" s="33"/>
      <c r="N168" s="33"/>
      <c r="O168" s="33"/>
      <c r="P168" s="33"/>
      <c r="Q168" s="33"/>
      <c r="R168" s="33"/>
      <c r="S168" s="33"/>
      <c r="T168" s="33"/>
    </row>
    <row r="169" spans="1:20" s="45" customFormat="1" ht="12.75">
      <c r="A169" s="71"/>
      <c r="B169" s="101" t="s">
        <v>47</v>
      </c>
      <c r="C169" s="69">
        <f>+'Entrate tot e finalizzati'!C169-'Entrate tot e finalizzati'!D169</f>
        <v>3450</v>
      </c>
      <c r="D169" s="55">
        <f>+'Entrate tot e finalizzati'!E169-'Entrate tot e finalizzati'!F169</f>
        <v>3306</v>
      </c>
      <c r="E169" s="60">
        <f>+'Entrate tot e finalizzati'!G169-'Entrate tot e finalizzati'!H169</f>
        <v>3260</v>
      </c>
      <c r="F169" s="55">
        <f>+'Entrate tot e finalizzati'!I169-'Entrate tot e finalizzati'!J169</f>
        <v>1585</v>
      </c>
      <c r="G169" s="60">
        <f>+'Entrate tot e finalizzati'!K169-'Entrate tot e finalizzati'!L169</f>
        <v>1500</v>
      </c>
      <c r="H169" s="55">
        <f>+'Entrate tot e finalizzati'!M169-'Entrate tot e finalizzati'!N169</f>
        <v>1438</v>
      </c>
      <c r="I169" s="60">
        <f>+'Entrate tot e finalizzati'!O169-'Entrate tot e finalizzati'!P169</f>
        <v>1419</v>
      </c>
      <c r="J169" s="55">
        <f>+'Entrate tot e finalizzati'!Q169-'Entrate tot e finalizzati'!R169</f>
        <v>1011</v>
      </c>
      <c r="K169" s="60">
        <f>+'Entrate tot e finalizzati'!S169-'Entrate tot e finalizzati'!T169</f>
        <v>255</v>
      </c>
      <c r="L169" s="55">
        <f>+'Entrate tot e finalizzati'!U169-'Entrate tot e finalizzati'!V169</f>
        <v>255</v>
      </c>
      <c r="M169" s="74"/>
      <c r="N169" s="74"/>
      <c r="O169" s="74"/>
      <c r="P169" s="74"/>
      <c r="Q169" s="74"/>
      <c r="R169" s="74"/>
      <c r="S169" s="74"/>
      <c r="T169" s="74"/>
    </row>
    <row r="170" spans="1:20" s="45" customFormat="1" ht="12.75">
      <c r="A170" s="86"/>
      <c r="B170" s="102" t="s">
        <v>87</v>
      </c>
      <c r="C170" s="87">
        <f>+'Entrate tot e finalizzati'!C170-'Entrate tot e finalizzati'!D170</f>
        <v>0</v>
      </c>
      <c r="D170" s="62">
        <f>+'Entrate tot e finalizzati'!E170-'Entrate tot e finalizzati'!F170</f>
        <v>0</v>
      </c>
      <c r="E170" s="73">
        <f>+'Entrate tot e finalizzati'!G170-'Entrate tot e finalizzati'!H170</f>
        <v>0</v>
      </c>
      <c r="F170" s="62">
        <f>+'Entrate tot e finalizzati'!I170-'Entrate tot e finalizzati'!J170</f>
        <v>2812</v>
      </c>
      <c r="G170" s="73">
        <f>+'Entrate tot e finalizzati'!K170-'Entrate tot e finalizzati'!L170</f>
        <v>1113</v>
      </c>
      <c r="H170" s="62">
        <f>+'Entrate tot e finalizzati'!M170-'Entrate tot e finalizzati'!N170</f>
        <v>0</v>
      </c>
      <c r="I170" s="73">
        <f>+'Entrate tot e finalizzati'!O170-'Entrate tot e finalizzati'!P170</f>
        <v>0</v>
      </c>
      <c r="J170" s="62">
        <f>+'Entrate tot e finalizzati'!Q170-'Entrate tot e finalizzati'!R170</f>
        <v>0</v>
      </c>
      <c r="K170" s="73">
        <f>+'Entrate tot e finalizzati'!S170-'Entrate tot e finalizzati'!T170</f>
        <v>0</v>
      </c>
      <c r="L170" s="62">
        <f>+'Entrate tot e finalizzati'!U170-'Entrate tot e finalizzati'!V170</f>
        <v>0</v>
      </c>
      <c r="M170" s="74"/>
      <c r="N170" s="74"/>
      <c r="O170" s="74"/>
      <c r="P170" s="74"/>
      <c r="Q170" s="74"/>
      <c r="R170" s="74"/>
      <c r="S170" s="74"/>
      <c r="T170" s="74"/>
    </row>
    <row r="171" spans="1:20" s="45" customFormat="1" ht="12.75">
      <c r="A171" s="64" t="s">
        <v>10</v>
      </c>
      <c r="B171" s="112"/>
      <c r="C171" s="28">
        <f>+'Entrate tot e finalizzati'!C171-'Entrate tot e finalizzati'!D171</f>
        <v>212885</v>
      </c>
      <c r="D171" s="28">
        <f>+'Entrate tot e finalizzati'!E171-'Entrate tot e finalizzati'!F171</f>
        <v>230377</v>
      </c>
      <c r="E171" s="28">
        <f>+'Entrate tot e finalizzati'!G171-'Entrate tot e finalizzati'!H171</f>
        <v>243738</v>
      </c>
      <c r="F171" s="28">
        <f>+'Entrate tot e finalizzati'!I171-'Entrate tot e finalizzati'!J171</f>
        <v>251898</v>
      </c>
      <c r="G171" s="28">
        <f>+'Entrate tot e finalizzati'!K171-'Entrate tot e finalizzati'!L171</f>
        <v>253564</v>
      </c>
      <c r="H171" s="28">
        <f>+'Entrate tot e finalizzati'!M171-'Entrate tot e finalizzati'!N171</f>
        <v>252783</v>
      </c>
      <c r="I171" s="28">
        <f>+'Entrate tot e finalizzati'!O171-'Entrate tot e finalizzati'!P171</f>
        <v>276791</v>
      </c>
      <c r="J171" s="28">
        <f>+'Entrate tot e finalizzati'!Q171-'Entrate tot e finalizzati'!R171</f>
        <v>234791</v>
      </c>
      <c r="K171" s="28">
        <f>+'Entrate tot e finalizzati'!S171-'Entrate tot e finalizzati'!T171</f>
        <v>233726</v>
      </c>
      <c r="L171" s="28">
        <f>+'Entrate tot e finalizzati'!U171-'Entrate tot e finalizzati'!V171</f>
        <v>231354</v>
      </c>
      <c r="M171" s="74"/>
      <c r="N171" s="74"/>
      <c r="O171" s="74"/>
      <c r="P171" s="74"/>
      <c r="Q171" s="74"/>
      <c r="R171" s="74"/>
      <c r="S171" s="74"/>
      <c r="T171" s="74"/>
    </row>
    <row r="172" spans="1:20" s="45" customFormat="1" ht="12.75">
      <c r="A172" s="71"/>
      <c r="B172" s="101" t="s">
        <v>35</v>
      </c>
      <c r="C172" s="69">
        <f>+'Entrate tot e finalizzati'!C172-'Entrate tot e finalizzati'!D172</f>
        <v>142</v>
      </c>
      <c r="D172" s="55">
        <f>+'Entrate tot e finalizzati'!E172-'Entrate tot e finalizzati'!F172</f>
        <v>48</v>
      </c>
      <c r="E172" s="60">
        <f>+'Entrate tot e finalizzati'!G172-'Entrate tot e finalizzati'!H172</f>
        <v>39</v>
      </c>
      <c r="F172" s="55">
        <f>+'Entrate tot e finalizzati'!I172-'Entrate tot e finalizzati'!J172</f>
        <v>29</v>
      </c>
      <c r="G172" s="60">
        <f>+'Entrate tot e finalizzati'!K172-'Entrate tot e finalizzati'!L172</f>
        <v>32</v>
      </c>
      <c r="H172" s="55">
        <f>+'Entrate tot e finalizzati'!M172-'Entrate tot e finalizzati'!N172</f>
        <v>45</v>
      </c>
      <c r="I172" s="60">
        <f>+'Entrate tot e finalizzati'!O172-'Entrate tot e finalizzati'!P172</f>
        <v>13</v>
      </c>
      <c r="J172" s="55">
        <f>+'Entrate tot e finalizzati'!Q172-'Entrate tot e finalizzati'!R172</f>
        <v>12</v>
      </c>
      <c r="K172" s="60">
        <f>+'Entrate tot e finalizzati'!S172-'Entrate tot e finalizzati'!T172</f>
        <v>7</v>
      </c>
      <c r="L172" s="55">
        <f>+'Entrate tot e finalizzati'!U172-'Entrate tot e finalizzati'!V172</f>
        <v>4</v>
      </c>
      <c r="M172" s="74"/>
      <c r="N172" s="74"/>
      <c r="O172" s="74"/>
      <c r="P172" s="74"/>
      <c r="Q172" s="74"/>
      <c r="R172" s="74"/>
      <c r="S172" s="74"/>
      <c r="T172" s="74"/>
    </row>
    <row r="173" spans="1:20" s="45" customFormat="1" ht="12.75">
      <c r="A173" s="71"/>
      <c r="B173" s="101" t="s">
        <v>36</v>
      </c>
      <c r="C173" s="69">
        <f>+'Entrate tot e finalizzati'!C173-'Entrate tot e finalizzati'!D173</f>
        <v>130819</v>
      </c>
      <c r="D173" s="55">
        <f>+'Entrate tot e finalizzati'!E173-'Entrate tot e finalizzati'!F173</f>
        <v>130982</v>
      </c>
      <c r="E173" s="60">
        <f>+'Entrate tot e finalizzati'!G173-'Entrate tot e finalizzati'!H173</f>
        <v>131250</v>
      </c>
      <c r="F173" s="55">
        <f>+'Entrate tot e finalizzati'!I173-'Entrate tot e finalizzati'!J173</f>
        <v>131700</v>
      </c>
      <c r="G173" s="60">
        <f>+'Entrate tot e finalizzati'!K173-'Entrate tot e finalizzati'!L173</f>
        <v>131519</v>
      </c>
      <c r="H173" s="55">
        <f>+'Entrate tot e finalizzati'!M173-'Entrate tot e finalizzati'!N173</f>
        <v>132773</v>
      </c>
      <c r="I173" s="60">
        <f>+'Entrate tot e finalizzati'!O173-'Entrate tot e finalizzati'!P173</f>
        <v>138601</v>
      </c>
      <c r="J173" s="55">
        <f>+'Entrate tot e finalizzati'!Q173-'Entrate tot e finalizzati'!R173</f>
        <v>87789</v>
      </c>
      <c r="K173" s="60">
        <f>+'Entrate tot e finalizzati'!S173-'Entrate tot e finalizzati'!T173</f>
        <v>83219</v>
      </c>
      <c r="L173" s="55">
        <f>+'Entrate tot e finalizzati'!U173-'Entrate tot e finalizzati'!V173</f>
        <v>84631</v>
      </c>
      <c r="M173" s="74"/>
      <c r="N173" s="74"/>
      <c r="O173" s="74"/>
      <c r="P173" s="74"/>
      <c r="Q173" s="74"/>
      <c r="R173" s="74"/>
      <c r="S173" s="74"/>
      <c r="T173" s="74"/>
    </row>
    <row r="174" spans="1:20" s="45" customFormat="1" ht="12.75">
      <c r="A174" s="71"/>
      <c r="B174" s="101" t="s">
        <v>79</v>
      </c>
      <c r="C174" s="69">
        <f>+'Entrate tot e finalizzati'!C174-'Entrate tot e finalizzati'!D174</f>
        <v>0</v>
      </c>
      <c r="D174" s="55">
        <f>+'Entrate tot e finalizzati'!E174-'Entrate tot e finalizzati'!F174</f>
        <v>0</v>
      </c>
      <c r="E174" s="60">
        <f>+'Entrate tot e finalizzati'!G174-'Entrate tot e finalizzati'!H174</f>
        <v>4350</v>
      </c>
      <c r="F174" s="55">
        <f>+'Entrate tot e finalizzati'!I174-'Entrate tot e finalizzati'!J174</f>
        <v>3299</v>
      </c>
      <c r="G174" s="60">
        <f>+'Entrate tot e finalizzati'!K174-'Entrate tot e finalizzati'!L174</f>
        <v>3968</v>
      </c>
      <c r="H174" s="55">
        <f>+'Entrate tot e finalizzati'!M174-'Entrate tot e finalizzati'!N174</f>
        <v>2575</v>
      </c>
      <c r="I174" s="60">
        <f>+'Entrate tot e finalizzati'!O174-'Entrate tot e finalizzati'!P174</f>
        <v>2279</v>
      </c>
      <c r="J174" s="55">
        <f>+'Entrate tot e finalizzati'!Q174-'Entrate tot e finalizzati'!R174</f>
        <v>2350</v>
      </c>
      <c r="K174" s="60">
        <f>+'Entrate tot e finalizzati'!S174-'Entrate tot e finalizzati'!T174</f>
        <v>2630</v>
      </c>
      <c r="L174" s="55">
        <f>+'Entrate tot e finalizzati'!U174-'Entrate tot e finalizzati'!V174</f>
        <v>2230</v>
      </c>
      <c r="M174" s="74"/>
      <c r="N174" s="74"/>
      <c r="O174" s="74"/>
      <c r="P174" s="74"/>
      <c r="Q174" s="74"/>
      <c r="R174" s="74"/>
      <c r="S174" s="74"/>
      <c r="T174" s="74"/>
    </row>
    <row r="175" spans="1:20" s="45" customFormat="1" ht="12.75">
      <c r="A175" s="71"/>
      <c r="B175" s="101" t="s">
        <v>37</v>
      </c>
      <c r="C175" s="69">
        <f>+'Entrate tot e finalizzati'!C175-'Entrate tot e finalizzati'!D175</f>
        <v>4544</v>
      </c>
      <c r="D175" s="55">
        <f>+'Entrate tot e finalizzati'!E175-'Entrate tot e finalizzati'!F175</f>
        <v>4596</v>
      </c>
      <c r="E175" s="60">
        <f>+'Entrate tot e finalizzati'!G175-'Entrate tot e finalizzati'!H175</f>
        <v>4882</v>
      </c>
      <c r="F175" s="55">
        <f>+'Entrate tot e finalizzati'!I175-'Entrate tot e finalizzati'!J175</f>
        <v>4949</v>
      </c>
      <c r="G175" s="60">
        <f>+'Entrate tot e finalizzati'!K175-'Entrate tot e finalizzati'!L175</f>
        <v>4597</v>
      </c>
      <c r="H175" s="55">
        <f>+'Entrate tot e finalizzati'!M175-'Entrate tot e finalizzati'!N175</f>
        <v>5743</v>
      </c>
      <c r="I175" s="60">
        <f>+'Entrate tot e finalizzati'!O175-'Entrate tot e finalizzati'!P175</f>
        <v>5996</v>
      </c>
      <c r="J175" s="55">
        <f>+'Entrate tot e finalizzati'!Q175-'Entrate tot e finalizzati'!R175</f>
        <v>6679</v>
      </c>
      <c r="K175" s="60">
        <f>+'Entrate tot e finalizzati'!S175-'Entrate tot e finalizzati'!T175</f>
        <v>6600</v>
      </c>
      <c r="L175" s="55">
        <f>+'Entrate tot e finalizzati'!U175-'Entrate tot e finalizzati'!V175</f>
        <v>6270</v>
      </c>
      <c r="M175" s="74"/>
      <c r="N175" s="74"/>
      <c r="O175" s="74"/>
      <c r="P175" s="74"/>
      <c r="Q175" s="74"/>
      <c r="R175" s="74"/>
      <c r="S175" s="74"/>
      <c r="T175" s="74"/>
    </row>
    <row r="176" spans="1:20" s="45" customFormat="1" ht="12.75">
      <c r="A176" s="71"/>
      <c r="B176" s="101" t="s">
        <v>38</v>
      </c>
      <c r="C176" s="69">
        <f>+'Entrate tot e finalizzati'!C176-'Entrate tot e finalizzati'!D176</f>
        <v>3523</v>
      </c>
      <c r="D176" s="55">
        <f>+'Entrate tot e finalizzati'!E176-'Entrate tot e finalizzati'!F176</f>
        <v>3615</v>
      </c>
      <c r="E176" s="60">
        <f>+'Entrate tot e finalizzati'!G176-'Entrate tot e finalizzati'!H176</f>
        <v>3615</v>
      </c>
      <c r="F176" s="55">
        <f>+'Entrate tot e finalizzati'!I176-'Entrate tot e finalizzati'!J176</f>
        <v>4196</v>
      </c>
      <c r="G176" s="60">
        <f>+'Entrate tot e finalizzati'!K176-'Entrate tot e finalizzati'!L176</f>
        <v>3989</v>
      </c>
      <c r="H176" s="55">
        <f>+'Entrate tot e finalizzati'!M176-'Entrate tot e finalizzati'!N176</f>
        <v>3819</v>
      </c>
      <c r="I176" s="60">
        <f>+'Entrate tot e finalizzati'!O176-'Entrate tot e finalizzati'!P176</f>
        <v>4047</v>
      </c>
      <c r="J176" s="55">
        <f>+'Entrate tot e finalizzati'!Q176-'Entrate tot e finalizzati'!R176</f>
        <v>3906</v>
      </c>
      <c r="K176" s="60">
        <f>+'Entrate tot e finalizzati'!S176-'Entrate tot e finalizzati'!T176</f>
        <v>3903</v>
      </c>
      <c r="L176" s="55">
        <f>+'Entrate tot e finalizzati'!U176-'Entrate tot e finalizzati'!V176</f>
        <v>3952</v>
      </c>
      <c r="M176" s="74"/>
      <c r="N176" s="74"/>
      <c r="O176" s="74"/>
      <c r="P176" s="74"/>
      <c r="Q176" s="74"/>
      <c r="R176" s="74"/>
      <c r="S176" s="74"/>
      <c r="T176" s="74"/>
    </row>
    <row r="177" spans="1:20" s="45" customFormat="1" ht="12.75">
      <c r="A177" s="71"/>
      <c r="B177" s="101" t="s">
        <v>39</v>
      </c>
      <c r="C177" s="69">
        <f>+'Entrate tot e finalizzati'!C177-'Entrate tot e finalizzati'!D177</f>
        <v>50305</v>
      </c>
      <c r="D177" s="55">
        <f>+'Entrate tot e finalizzati'!E177-'Entrate tot e finalizzati'!F177</f>
        <v>50004</v>
      </c>
      <c r="E177" s="60">
        <f>+'Entrate tot e finalizzati'!G177-'Entrate tot e finalizzati'!H177</f>
        <v>54233</v>
      </c>
      <c r="F177" s="55">
        <f>+'Entrate tot e finalizzati'!I177-'Entrate tot e finalizzati'!J177</f>
        <v>57223</v>
      </c>
      <c r="G177" s="60">
        <f>+'Entrate tot e finalizzati'!K177-'Entrate tot e finalizzati'!L177</f>
        <v>58080</v>
      </c>
      <c r="H177" s="55">
        <f>+'Entrate tot e finalizzati'!M177-'Entrate tot e finalizzati'!N177</f>
        <v>59579</v>
      </c>
      <c r="I177" s="60">
        <f>+'Entrate tot e finalizzati'!O177-'Entrate tot e finalizzati'!P177</f>
        <v>61367</v>
      </c>
      <c r="J177" s="55">
        <f>+'Entrate tot e finalizzati'!Q177-'Entrate tot e finalizzati'!R177</f>
        <v>63208</v>
      </c>
      <c r="K177" s="60">
        <f>+'Entrate tot e finalizzati'!S177-'Entrate tot e finalizzati'!T177</f>
        <v>64647</v>
      </c>
      <c r="L177" s="55">
        <f>+'Entrate tot e finalizzati'!U177-'Entrate tot e finalizzati'!V177</f>
        <v>66142</v>
      </c>
      <c r="M177" s="74"/>
      <c r="N177" s="74"/>
      <c r="O177" s="74"/>
      <c r="P177" s="74"/>
      <c r="Q177" s="74"/>
      <c r="R177" s="74"/>
      <c r="S177" s="74"/>
      <c r="T177" s="74"/>
    </row>
    <row r="178" spans="1:20" s="45" customFormat="1" ht="12.75">
      <c r="A178" s="71"/>
      <c r="B178" s="101" t="s">
        <v>81</v>
      </c>
      <c r="C178" s="69">
        <f>+'Entrate tot e finalizzati'!C178-'Entrate tot e finalizzati'!D178</f>
        <v>0</v>
      </c>
      <c r="D178" s="55">
        <f>+'Entrate tot e finalizzati'!E178-'Entrate tot e finalizzati'!F178</f>
        <v>5760</v>
      </c>
      <c r="E178" s="60">
        <f>+'Entrate tot e finalizzati'!G178-'Entrate tot e finalizzati'!H178</f>
        <v>8344</v>
      </c>
      <c r="F178" s="55">
        <f>+'Entrate tot e finalizzati'!I178-'Entrate tot e finalizzati'!J178</f>
        <v>13523</v>
      </c>
      <c r="G178" s="60">
        <f>+'Entrate tot e finalizzati'!K178-'Entrate tot e finalizzati'!L178</f>
        <v>10948</v>
      </c>
      <c r="H178" s="55">
        <f>+'Entrate tot e finalizzati'!M178-'Entrate tot e finalizzati'!N178</f>
        <v>6328</v>
      </c>
      <c r="I178" s="60">
        <f>+'Entrate tot e finalizzati'!O178-'Entrate tot e finalizzati'!P178</f>
        <v>3465</v>
      </c>
      <c r="J178" s="55">
        <f>+'Entrate tot e finalizzati'!Q178-'Entrate tot e finalizzati'!R178</f>
        <v>6450</v>
      </c>
      <c r="K178" s="60">
        <f>+'Entrate tot e finalizzati'!S178-'Entrate tot e finalizzati'!T178</f>
        <v>8432</v>
      </c>
      <c r="L178" s="55">
        <f>+'Entrate tot e finalizzati'!U178-'Entrate tot e finalizzati'!V178</f>
        <v>8612</v>
      </c>
      <c r="M178" s="74"/>
      <c r="N178" s="74"/>
      <c r="O178" s="74"/>
      <c r="P178" s="74"/>
      <c r="Q178" s="74"/>
      <c r="R178" s="74"/>
      <c r="S178" s="74"/>
      <c r="T178" s="74"/>
    </row>
    <row r="179" spans="1:20" s="45" customFormat="1" ht="12.75">
      <c r="A179" s="71"/>
      <c r="B179" s="101" t="s">
        <v>40</v>
      </c>
      <c r="C179" s="69">
        <f>+'Entrate tot e finalizzati'!C179-'Entrate tot e finalizzati'!D179</f>
        <v>56</v>
      </c>
      <c r="D179" s="55">
        <f>+'Entrate tot e finalizzati'!E179-'Entrate tot e finalizzati'!F179</f>
        <v>23</v>
      </c>
      <c r="E179" s="60">
        <f>+'Entrate tot e finalizzati'!G179-'Entrate tot e finalizzati'!H179</f>
        <v>1</v>
      </c>
      <c r="F179" s="55">
        <f>+'Entrate tot e finalizzati'!I179-'Entrate tot e finalizzati'!J179</f>
        <v>40</v>
      </c>
      <c r="G179" s="60">
        <f>+'Entrate tot e finalizzati'!K179-'Entrate tot e finalizzati'!L179</f>
        <v>43</v>
      </c>
      <c r="H179" s="55">
        <f>+'Entrate tot e finalizzati'!M179-'Entrate tot e finalizzati'!N179</f>
        <v>21</v>
      </c>
      <c r="I179" s="60">
        <f>+'Entrate tot e finalizzati'!O179-'Entrate tot e finalizzati'!P179</f>
        <v>32</v>
      </c>
      <c r="J179" s="55">
        <f>+'Entrate tot e finalizzati'!Q179-'Entrate tot e finalizzati'!R179</f>
        <v>7</v>
      </c>
      <c r="K179" s="60">
        <f>+'Entrate tot e finalizzati'!S179-'Entrate tot e finalizzati'!T179</f>
        <v>10</v>
      </c>
      <c r="L179" s="55">
        <f>+'Entrate tot e finalizzati'!U179-'Entrate tot e finalizzati'!V179</f>
        <v>18</v>
      </c>
      <c r="M179" s="74"/>
      <c r="N179" s="74"/>
      <c r="O179" s="74"/>
      <c r="P179" s="74"/>
      <c r="Q179" s="74"/>
      <c r="R179" s="74"/>
      <c r="S179" s="74"/>
      <c r="T179" s="74"/>
    </row>
    <row r="180" spans="1:20" s="2" customFormat="1" ht="12.75">
      <c r="A180" s="71"/>
      <c r="B180" s="101" t="s">
        <v>41</v>
      </c>
      <c r="C180" s="69">
        <f>+'Entrate tot e finalizzati'!C180-'Entrate tot e finalizzati'!D180</f>
        <v>958</v>
      </c>
      <c r="D180" s="55">
        <f>+'Entrate tot e finalizzati'!E180-'Entrate tot e finalizzati'!F180</f>
        <v>962</v>
      </c>
      <c r="E180" s="60">
        <f>+'Entrate tot e finalizzati'!G180-'Entrate tot e finalizzati'!H180</f>
        <v>829</v>
      </c>
      <c r="F180" s="55">
        <f>+'Entrate tot e finalizzati'!I180-'Entrate tot e finalizzati'!J180</f>
        <v>682</v>
      </c>
      <c r="G180" s="60">
        <f>+'Entrate tot e finalizzati'!K180-'Entrate tot e finalizzati'!L180</f>
        <v>809</v>
      </c>
      <c r="H180" s="55">
        <f>+'Entrate tot e finalizzati'!M180-'Entrate tot e finalizzati'!N180</f>
        <v>790</v>
      </c>
      <c r="I180" s="60">
        <f>+'Entrate tot e finalizzati'!O180-'Entrate tot e finalizzati'!P180</f>
        <v>791</v>
      </c>
      <c r="J180" s="55">
        <f>+'Entrate tot e finalizzati'!Q180-'Entrate tot e finalizzati'!R180</f>
        <v>800</v>
      </c>
      <c r="K180" s="60">
        <f>+'Entrate tot e finalizzati'!S180-'Entrate tot e finalizzati'!T180</f>
        <v>750</v>
      </c>
      <c r="L180" s="55">
        <f>+'Entrate tot e finalizzati'!U180-'Entrate tot e finalizzati'!V180</f>
        <v>626</v>
      </c>
      <c r="M180" s="33"/>
      <c r="N180" s="33"/>
      <c r="O180" s="33"/>
      <c r="P180" s="33"/>
      <c r="Q180" s="33"/>
      <c r="R180" s="33"/>
      <c r="S180" s="33"/>
      <c r="T180" s="33"/>
    </row>
    <row r="181" spans="1:20" s="2" customFormat="1" ht="12.75">
      <c r="A181" s="71"/>
      <c r="B181" s="101" t="s">
        <v>16</v>
      </c>
      <c r="C181" s="69">
        <f>+'Entrate tot e finalizzati'!C181-'Entrate tot e finalizzati'!D181</f>
        <v>237</v>
      </c>
      <c r="D181" s="55">
        <f>+'Entrate tot e finalizzati'!E181-'Entrate tot e finalizzati'!F181</f>
        <v>367</v>
      </c>
      <c r="E181" s="60">
        <f>+'Entrate tot e finalizzati'!G181-'Entrate tot e finalizzati'!H181</f>
        <v>306</v>
      </c>
      <c r="F181" s="55">
        <f>+'Entrate tot e finalizzati'!I181-'Entrate tot e finalizzati'!J181</f>
        <v>443</v>
      </c>
      <c r="G181" s="60">
        <f>+'Entrate tot e finalizzati'!K181-'Entrate tot e finalizzati'!L181</f>
        <v>343</v>
      </c>
      <c r="H181" s="55">
        <f>+'Entrate tot e finalizzati'!M181-'Entrate tot e finalizzati'!N181</f>
        <v>433</v>
      </c>
      <c r="I181" s="60">
        <f>+'Entrate tot e finalizzati'!O181-'Entrate tot e finalizzati'!P181</f>
        <v>391</v>
      </c>
      <c r="J181" s="55">
        <f>+'Entrate tot e finalizzati'!Q181-'Entrate tot e finalizzati'!R181</f>
        <v>356</v>
      </c>
      <c r="K181" s="60">
        <f>+'Entrate tot e finalizzati'!S181-'Entrate tot e finalizzati'!T181</f>
        <v>1093</v>
      </c>
      <c r="L181" s="55">
        <f>+'Entrate tot e finalizzati'!U181-'Entrate tot e finalizzati'!V181</f>
        <v>438</v>
      </c>
      <c r="M181" s="33"/>
      <c r="N181" s="33"/>
      <c r="O181" s="33"/>
      <c r="P181" s="33"/>
      <c r="Q181" s="33"/>
      <c r="R181" s="33"/>
      <c r="S181" s="33"/>
      <c r="T181" s="33"/>
    </row>
    <row r="182" spans="1:20" s="2" customFormat="1" ht="12.75">
      <c r="A182" s="71"/>
      <c r="B182" s="101" t="s">
        <v>42</v>
      </c>
      <c r="C182" s="69">
        <f>+'Entrate tot e finalizzati'!C182-'Entrate tot e finalizzati'!D182</f>
        <v>5841</v>
      </c>
      <c r="D182" s="55">
        <f>+'Entrate tot e finalizzati'!E182-'Entrate tot e finalizzati'!F182</f>
        <v>6900</v>
      </c>
      <c r="E182" s="60">
        <f>+'Entrate tot e finalizzati'!G182-'Entrate tot e finalizzati'!H182</f>
        <v>7525</v>
      </c>
      <c r="F182" s="55">
        <f>+'Entrate tot e finalizzati'!I182-'Entrate tot e finalizzati'!J182</f>
        <v>7790</v>
      </c>
      <c r="G182" s="60">
        <f>+'Entrate tot e finalizzati'!K182-'Entrate tot e finalizzati'!L182</f>
        <v>9242</v>
      </c>
      <c r="H182" s="55">
        <f>+'Entrate tot e finalizzati'!M182-'Entrate tot e finalizzati'!N182</f>
        <v>10983</v>
      </c>
      <c r="I182" s="60">
        <f>+'Entrate tot e finalizzati'!O182-'Entrate tot e finalizzati'!P182</f>
        <v>10916</v>
      </c>
      <c r="J182" s="55">
        <f>+'Entrate tot e finalizzati'!Q182-'Entrate tot e finalizzati'!R182</f>
        <v>10958</v>
      </c>
      <c r="K182" s="60">
        <f>+'Entrate tot e finalizzati'!S182-'Entrate tot e finalizzati'!T182</f>
        <v>7764</v>
      </c>
      <c r="L182" s="55">
        <f>+'Entrate tot e finalizzati'!U182-'Entrate tot e finalizzati'!V182</f>
        <v>3143</v>
      </c>
      <c r="M182" s="33"/>
      <c r="N182" s="33"/>
      <c r="O182" s="33"/>
      <c r="P182" s="33"/>
      <c r="Q182" s="33"/>
      <c r="R182" s="33"/>
      <c r="S182" s="33"/>
      <c r="T182" s="33"/>
    </row>
    <row r="183" spans="1:20" s="2" customFormat="1" ht="12.75">
      <c r="A183" s="71"/>
      <c r="B183" s="103" t="s">
        <v>31</v>
      </c>
      <c r="C183" s="69">
        <f>+'Entrate tot e finalizzati'!C183-'Entrate tot e finalizzati'!D183</f>
        <v>6</v>
      </c>
      <c r="D183" s="55">
        <f>+'Entrate tot e finalizzati'!E183-'Entrate tot e finalizzati'!F183</f>
        <v>1</v>
      </c>
      <c r="E183" s="60">
        <f>+'Entrate tot e finalizzati'!G183-'Entrate tot e finalizzati'!H183</f>
        <v>0</v>
      </c>
      <c r="F183" s="55">
        <f>+'Entrate tot e finalizzati'!I183-'Entrate tot e finalizzati'!J183</f>
        <v>0</v>
      </c>
      <c r="G183" s="60">
        <f>+'Entrate tot e finalizzati'!K183-'Entrate tot e finalizzati'!L183</f>
        <v>0</v>
      </c>
      <c r="H183" s="55">
        <f>+'Entrate tot e finalizzati'!M183-'Entrate tot e finalizzati'!N183</f>
        <v>0</v>
      </c>
      <c r="I183" s="60">
        <f>+'Entrate tot e finalizzati'!O183-'Entrate tot e finalizzati'!P183</f>
        <v>3</v>
      </c>
      <c r="J183" s="55">
        <f>+'Entrate tot e finalizzati'!Q183-'Entrate tot e finalizzati'!R183</f>
        <v>10</v>
      </c>
      <c r="K183" s="60">
        <f>+'Entrate tot e finalizzati'!S183-'Entrate tot e finalizzati'!T183</f>
        <v>4</v>
      </c>
      <c r="L183" s="55">
        <f>+'Entrate tot e finalizzati'!U183-'Entrate tot e finalizzati'!V183</f>
        <v>3</v>
      </c>
      <c r="M183" s="33"/>
      <c r="N183" s="33"/>
      <c r="O183" s="33"/>
      <c r="P183" s="33"/>
      <c r="Q183" s="33"/>
      <c r="R183" s="33"/>
      <c r="S183" s="33"/>
      <c r="T183" s="33"/>
    </row>
    <row r="184" spans="1:20" s="2" customFormat="1" ht="12.75">
      <c r="A184" s="71"/>
      <c r="B184" s="101" t="s">
        <v>12</v>
      </c>
      <c r="C184" s="69">
        <f>+'Entrate tot e finalizzati'!C184-'Entrate tot e finalizzati'!D184</f>
        <v>105</v>
      </c>
      <c r="D184" s="55">
        <f>+'Entrate tot e finalizzati'!E184-'Entrate tot e finalizzati'!F184</f>
        <v>0</v>
      </c>
      <c r="E184" s="60">
        <f>+'Entrate tot e finalizzati'!G184-'Entrate tot e finalizzati'!H184</f>
        <v>37</v>
      </c>
      <c r="F184" s="55">
        <f>+'Entrate tot e finalizzati'!I184-'Entrate tot e finalizzati'!J184</f>
        <v>2</v>
      </c>
      <c r="G184" s="60">
        <f>+'Entrate tot e finalizzati'!K184-'Entrate tot e finalizzati'!L184</f>
        <v>304</v>
      </c>
      <c r="H184" s="55">
        <f>+'Entrate tot e finalizzati'!M184-'Entrate tot e finalizzati'!N184</f>
        <v>0</v>
      </c>
      <c r="I184" s="60">
        <f>+'Entrate tot e finalizzati'!O184-'Entrate tot e finalizzati'!P184</f>
        <v>5</v>
      </c>
      <c r="J184" s="55">
        <f>+'Entrate tot e finalizzati'!Q184-'Entrate tot e finalizzati'!R184</f>
        <v>1</v>
      </c>
      <c r="K184" s="60">
        <f>+'Entrate tot e finalizzati'!S184-'Entrate tot e finalizzati'!T184</f>
        <v>80</v>
      </c>
      <c r="L184" s="55">
        <f>+'Entrate tot e finalizzati'!U184-'Entrate tot e finalizzati'!V184</f>
        <v>204</v>
      </c>
      <c r="M184" s="33"/>
      <c r="N184" s="33"/>
      <c r="O184" s="33"/>
      <c r="P184" s="33"/>
      <c r="Q184" s="33"/>
      <c r="R184" s="33"/>
      <c r="S184" s="33"/>
      <c r="T184" s="33"/>
    </row>
    <row r="185" spans="1:20" s="2" customFormat="1" ht="12.75">
      <c r="A185" s="71"/>
      <c r="B185" s="101" t="s">
        <v>43</v>
      </c>
      <c r="C185" s="69">
        <f>+'Entrate tot e finalizzati'!C185-'Entrate tot e finalizzati'!D185</f>
        <v>11362</v>
      </c>
      <c r="D185" s="55">
        <f>+'Entrate tot e finalizzati'!E185-'Entrate tot e finalizzati'!F185</f>
        <v>23422</v>
      </c>
      <c r="E185" s="60">
        <f>+'Entrate tot e finalizzati'!G185-'Entrate tot e finalizzati'!H185</f>
        <v>23422</v>
      </c>
      <c r="F185" s="55">
        <f>+'Entrate tot e finalizzati'!I185-'Entrate tot e finalizzati'!J185</f>
        <v>23601</v>
      </c>
      <c r="G185" s="60">
        <f>+'Entrate tot e finalizzati'!K185-'Entrate tot e finalizzati'!L185</f>
        <v>24632</v>
      </c>
      <c r="H185" s="55">
        <f>+'Entrate tot e finalizzati'!M185-'Entrate tot e finalizzati'!N185</f>
        <v>25537</v>
      </c>
      <c r="I185" s="60">
        <f>+'Entrate tot e finalizzati'!O185-'Entrate tot e finalizzati'!P185</f>
        <v>41890</v>
      </c>
      <c r="J185" s="55">
        <f>+'Entrate tot e finalizzati'!Q185-'Entrate tot e finalizzati'!R185</f>
        <v>44390</v>
      </c>
      <c r="K185" s="60">
        <f>+'Entrate tot e finalizzati'!S185-'Entrate tot e finalizzati'!T185</f>
        <v>47390</v>
      </c>
      <c r="L185" s="55">
        <f>+'Entrate tot e finalizzati'!U185-'Entrate tot e finalizzati'!V185</f>
        <v>46553</v>
      </c>
      <c r="M185" s="33"/>
      <c r="N185" s="33"/>
      <c r="O185" s="33"/>
      <c r="P185" s="33"/>
      <c r="Q185" s="33"/>
      <c r="R185" s="33"/>
      <c r="S185" s="33"/>
      <c r="T185" s="33"/>
    </row>
    <row r="186" spans="1:20" s="2" customFormat="1" ht="12.75">
      <c r="A186" s="71"/>
      <c r="B186" s="101" t="s">
        <v>80</v>
      </c>
      <c r="C186" s="69">
        <f>+'Entrate tot e finalizzati'!C186-'Entrate tot e finalizzati'!D186</f>
        <v>0</v>
      </c>
      <c r="D186" s="55">
        <f>+'Entrate tot e finalizzati'!E186-'Entrate tot e finalizzati'!F186</f>
        <v>0</v>
      </c>
      <c r="E186" s="60">
        <f>+'Entrate tot e finalizzati'!G186-'Entrate tot e finalizzati'!H186</f>
        <v>846</v>
      </c>
      <c r="F186" s="55">
        <f>+'Entrate tot e finalizzati'!I186-'Entrate tot e finalizzati'!J186</f>
        <v>475</v>
      </c>
      <c r="G186" s="60">
        <f>+'Entrate tot e finalizzati'!K186-'Entrate tot e finalizzati'!L186</f>
        <v>870</v>
      </c>
      <c r="H186" s="55">
        <f>+'Entrate tot e finalizzati'!M186-'Entrate tot e finalizzati'!N186</f>
        <v>0</v>
      </c>
      <c r="I186" s="60">
        <f>+'Entrate tot e finalizzati'!O186-'Entrate tot e finalizzati'!P186</f>
        <v>0</v>
      </c>
      <c r="J186" s="55">
        <f>+'Entrate tot e finalizzati'!Q186-'Entrate tot e finalizzati'!R186</f>
        <v>975</v>
      </c>
      <c r="K186" s="60">
        <f>+'Entrate tot e finalizzati'!S186-'Entrate tot e finalizzati'!T186</f>
        <v>0</v>
      </c>
      <c r="L186" s="55">
        <f>+'Entrate tot e finalizzati'!U186-'Entrate tot e finalizzati'!V186</f>
        <v>0</v>
      </c>
      <c r="M186" s="33"/>
      <c r="N186" s="33"/>
      <c r="O186" s="33"/>
      <c r="P186" s="33"/>
      <c r="Q186" s="33"/>
      <c r="R186" s="33"/>
      <c r="S186" s="33"/>
      <c r="T186" s="33"/>
    </row>
    <row r="187" spans="1:20" s="2" customFormat="1" ht="12.75">
      <c r="A187" s="71"/>
      <c r="B187" s="101" t="s">
        <v>44</v>
      </c>
      <c r="C187" s="69">
        <f>+'Entrate tot e finalizzati'!C187-'Entrate tot e finalizzati'!D187</f>
        <v>4024</v>
      </c>
      <c r="D187" s="55">
        <f>+'Entrate tot e finalizzati'!E187-'Entrate tot e finalizzati'!F187</f>
        <v>3697</v>
      </c>
      <c r="E187" s="60">
        <f>+'Entrate tot e finalizzati'!G187-'Entrate tot e finalizzati'!H187</f>
        <v>4043</v>
      </c>
      <c r="F187" s="55">
        <f>+'Entrate tot e finalizzati'!I187-'Entrate tot e finalizzati'!J187</f>
        <v>3697</v>
      </c>
      <c r="G187" s="60">
        <f>+'Entrate tot e finalizzati'!K187-'Entrate tot e finalizzati'!L187</f>
        <v>3738</v>
      </c>
      <c r="H187" s="55">
        <f>+'Entrate tot e finalizzati'!M187-'Entrate tot e finalizzati'!N187</f>
        <v>3809</v>
      </c>
      <c r="I187" s="60">
        <f>+'Entrate tot e finalizzati'!O187-'Entrate tot e finalizzati'!P187</f>
        <v>6674</v>
      </c>
      <c r="J187" s="55">
        <f>+'Entrate tot e finalizzati'!Q187-'Entrate tot e finalizzati'!R187</f>
        <v>6449</v>
      </c>
      <c r="K187" s="60">
        <f>+'Entrate tot e finalizzati'!S187-'Entrate tot e finalizzati'!T187</f>
        <v>6837</v>
      </c>
      <c r="L187" s="55">
        <f>+'Entrate tot e finalizzati'!U187-'Entrate tot e finalizzati'!V187</f>
        <v>8016</v>
      </c>
      <c r="M187" s="33"/>
      <c r="N187" s="33"/>
      <c r="O187" s="33"/>
      <c r="P187" s="33"/>
      <c r="Q187" s="33"/>
      <c r="R187" s="33"/>
      <c r="S187" s="33"/>
      <c r="T187" s="33"/>
    </row>
    <row r="188" spans="1:20" s="2" customFormat="1" ht="12.75">
      <c r="A188" s="71"/>
      <c r="B188" s="101" t="s">
        <v>45</v>
      </c>
      <c r="C188" s="69">
        <f>+'Entrate tot e finalizzati'!C188-'Entrate tot e finalizzati'!D188</f>
        <v>395</v>
      </c>
      <c r="D188" s="55">
        <f>+'Entrate tot e finalizzati'!E188-'Entrate tot e finalizzati'!F188</f>
        <v>0</v>
      </c>
      <c r="E188" s="60">
        <f>+'Entrate tot e finalizzati'!G188-'Entrate tot e finalizzati'!H188</f>
        <v>0</v>
      </c>
      <c r="F188" s="55">
        <f>+'Entrate tot e finalizzati'!I188-'Entrate tot e finalizzati'!J188</f>
        <v>0</v>
      </c>
      <c r="G188" s="60">
        <f>+'Entrate tot e finalizzati'!K188-'Entrate tot e finalizzati'!L188</f>
        <v>0</v>
      </c>
      <c r="H188" s="55">
        <f>+'Entrate tot e finalizzati'!M188-'Entrate tot e finalizzati'!N188</f>
        <v>0</v>
      </c>
      <c r="I188" s="60">
        <f>+'Entrate tot e finalizzati'!O188-'Entrate tot e finalizzati'!P188</f>
        <v>0</v>
      </c>
      <c r="J188" s="55">
        <f>+'Entrate tot e finalizzati'!Q188-'Entrate tot e finalizzati'!R188</f>
        <v>0</v>
      </c>
      <c r="K188" s="60">
        <f>+'Entrate tot e finalizzati'!S188-'Entrate tot e finalizzati'!T188</f>
        <v>0</v>
      </c>
      <c r="L188" s="55">
        <f>+'Entrate tot e finalizzati'!U188-'Entrate tot e finalizzati'!V188</f>
        <v>0</v>
      </c>
      <c r="M188" s="33"/>
      <c r="N188" s="33"/>
      <c r="O188" s="33"/>
      <c r="P188" s="33"/>
      <c r="Q188" s="33"/>
      <c r="R188" s="33"/>
      <c r="S188" s="33"/>
      <c r="T188" s="33"/>
    </row>
    <row r="189" spans="1:20" s="2" customFormat="1" ht="12.75">
      <c r="A189" s="71"/>
      <c r="B189" s="101" t="s">
        <v>88</v>
      </c>
      <c r="C189" s="69">
        <f>+'Entrate tot e finalizzati'!C189-'Entrate tot e finalizzati'!D189</f>
        <v>0</v>
      </c>
      <c r="D189" s="55">
        <f>+'Entrate tot e finalizzati'!E189-'Entrate tot e finalizzati'!F189</f>
        <v>0</v>
      </c>
      <c r="E189" s="60">
        <f>+'Entrate tot e finalizzati'!G189-'Entrate tot e finalizzati'!H189</f>
        <v>0</v>
      </c>
      <c r="F189" s="55">
        <f>+'Entrate tot e finalizzati'!I189-'Entrate tot e finalizzati'!J189</f>
        <v>249</v>
      </c>
      <c r="G189" s="60">
        <f>+'Entrate tot e finalizzati'!K189-'Entrate tot e finalizzati'!L189</f>
        <v>434</v>
      </c>
      <c r="H189" s="55">
        <f>+'Entrate tot e finalizzati'!M189-'Entrate tot e finalizzati'!N189</f>
        <v>318</v>
      </c>
      <c r="I189" s="60">
        <f>+'Entrate tot e finalizzati'!O189-'Entrate tot e finalizzati'!P189</f>
        <v>311</v>
      </c>
      <c r="J189" s="55">
        <f>+'Entrate tot e finalizzati'!Q189-'Entrate tot e finalizzati'!R189</f>
        <v>388</v>
      </c>
      <c r="K189" s="60">
        <f>+'Entrate tot e finalizzati'!S189-'Entrate tot e finalizzati'!T189</f>
        <v>350</v>
      </c>
      <c r="L189" s="55">
        <f>+'Entrate tot e finalizzati'!U189-'Entrate tot e finalizzati'!V189</f>
        <v>512</v>
      </c>
      <c r="M189" s="33"/>
      <c r="N189" s="33"/>
      <c r="O189" s="33"/>
      <c r="P189" s="33"/>
      <c r="Q189" s="33"/>
      <c r="R189" s="33"/>
      <c r="S189" s="33"/>
      <c r="T189" s="33"/>
    </row>
    <row r="190" spans="1:20" s="2" customFormat="1" ht="12.75">
      <c r="A190" s="71"/>
      <c r="B190" s="101" t="s">
        <v>33</v>
      </c>
      <c r="C190" s="69">
        <f>+'Entrate tot e finalizzati'!C190-'Entrate tot e finalizzati'!D190</f>
        <v>0</v>
      </c>
      <c r="D190" s="55">
        <f>+'Entrate tot e finalizzati'!E190-'Entrate tot e finalizzati'!F190</f>
        <v>0</v>
      </c>
      <c r="E190" s="60">
        <f>+'Entrate tot e finalizzati'!G190-'Entrate tot e finalizzati'!H190</f>
        <v>0</v>
      </c>
      <c r="F190" s="55">
        <f>+'Entrate tot e finalizzati'!I190-'Entrate tot e finalizzati'!J190</f>
        <v>0</v>
      </c>
      <c r="G190" s="60">
        <f>+'Entrate tot e finalizzati'!K190-'Entrate tot e finalizzati'!L190</f>
        <v>0</v>
      </c>
      <c r="H190" s="55">
        <f>+'Entrate tot e finalizzati'!M190-'Entrate tot e finalizzati'!N190</f>
        <v>0</v>
      </c>
      <c r="I190" s="60">
        <f>+'Entrate tot e finalizzati'!O190-'Entrate tot e finalizzati'!P190</f>
        <v>0</v>
      </c>
      <c r="J190" s="55">
        <f>+'Entrate tot e finalizzati'!Q190-'Entrate tot e finalizzati'!R190</f>
        <v>0</v>
      </c>
      <c r="K190" s="60">
        <f>+'Entrate tot e finalizzati'!S190-'Entrate tot e finalizzati'!T190</f>
        <v>0</v>
      </c>
      <c r="L190" s="55">
        <f>+'Entrate tot e finalizzati'!U190-'Entrate tot e finalizzati'!V190</f>
        <v>0</v>
      </c>
      <c r="M190" s="33"/>
      <c r="N190" s="33"/>
      <c r="O190" s="33"/>
      <c r="P190" s="33"/>
      <c r="Q190" s="33"/>
      <c r="R190" s="33"/>
      <c r="S190" s="33"/>
      <c r="T190" s="33"/>
    </row>
    <row r="191" spans="1:20" s="2" customFormat="1" ht="12.75">
      <c r="A191" s="71"/>
      <c r="B191" s="101" t="s">
        <v>65</v>
      </c>
      <c r="C191" s="69">
        <f>+'Entrate tot e finalizzati'!C191-'Entrate tot e finalizzati'!D191</f>
        <v>0</v>
      </c>
      <c r="D191" s="55">
        <f>+'Entrate tot e finalizzati'!E191-'Entrate tot e finalizzati'!F191</f>
        <v>0</v>
      </c>
      <c r="E191" s="60">
        <f>+'Entrate tot e finalizzati'!G191-'Entrate tot e finalizzati'!H191</f>
        <v>0</v>
      </c>
      <c r="F191" s="55">
        <f>+'Entrate tot e finalizzati'!I191-'Entrate tot e finalizzati'!J191</f>
        <v>0</v>
      </c>
      <c r="G191" s="60">
        <f>+'Entrate tot e finalizzati'!K191-'Entrate tot e finalizzati'!L191</f>
        <v>0</v>
      </c>
      <c r="H191" s="55">
        <f>+'Entrate tot e finalizzati'!M191-'Entrate tot e finalizzati'!N191</f>
        <v>0</v>
      </c>
      <c r="I191" s="60">
        <f>+'Entrate tot e finalizzati'!O191-'Entrate tot e finalizzati'!P191</f>
        <v>0</v>
      </c>
      <c r="J191" s="55">
        <f>+'Entrate tot e finalizzati'!Q191-'Entrate tot e finalizzati'!R191</f>
        <v>0</v>
      </c>
      <c r="K191" s="60">
        <f>+'Entrate tot e finalizzati'!S191-'Entrate tot e finalizzati'!T191</f>
        <v>0</v>
      </c>
      <c r="L191" s="55">
        <f>+'Entrate tot e finalizzati'!U191-'Entrate tot e finalizzati'!V191</f>
        <v>0</v>
      </c>
      <c r="M191" s="33"/>
      <c r="N191" s="33"/>
      <c r="O191" s="33"/>
      <c r="P191" s="33"/>
      <c r="Q191" s="33"/>
      <c r="R191" s="33"/>
      <c r="S191" s="33"/>
      <c r="T191" s="33"/>
    </row>
    <row r="192" spans="1:20" s="2" customFormat="1" ht="12.75">
      <c r="A192" s="86"/>
      <c r="B192" s="102" t="s">
        <v>30</v>
      </c>
      <c r="C192" s="87">
        <f>+'Entrate tot e finalizzati'!C192-'Entrate tot e finalizzati'!D192</f>
        <v>568</v>
      </c>
      <c r="D192" s="62">
        <f>+'Entrate tot e finalizzati'!E192-'Entrate tot e finalizzati'!F192</f>
        <v>0</v>
      </c>
      <c r="E192" s="73">
        <f>+'Entrate tot e finalizzati'!G192-'Entrate tot e finalizzati'!H192</f>
        <v>16</v>
      </c>
      <c r="F192" s="62">
        <f>+'Entrate tot e finalizzati'!I192-'Entrate tot e finalizzati'!J192</f>
        <v>0</v>
      </c>
      <c r="G192" s="73">
        <f>+'Entrate tot e finalizzati'!K192-'Entrate tot e finalizzati'!L192</f>
        <v>16</v>
      </c>
      <c r="H192" s="62">
        <f>+'Entrate tot e finalizzati'!M192-'Entrate tot e finalizzati'!N192</f>
        <v>30</v>
      </c>
      <c r="I192" s="73">
        <f>+'Entrate tot e finalizzati'!O192-'Entrate tot e finalizzati'!P192</f>
        <v>10</v>
      </c>
      <c r="J192" s="62">
        <f>+'Entrate tot e finalizzati'!Q192-'Entrate tot e finalizzati'!R192</f>
        <v>63</v>
      </c>
      <c r="K192" s="73">
        <f>+'Entrate tot e finalizzati'!S192-'Entrate tot e finalizzati'!T192</f>
        <v>10</v>
      </c>
      <c r="L192" s="62">
        <f>+'Entrate tot e finalizzati'!U192-'Entrate tot e finalizzati'!V192</f>
        <v>0</v>
      </c>
      <c r="M192" s="33"/>
      <c r="N192" s="33"/>
      <c r="O192" s="33"/>
      <c r="P192" s="33"/>
      <c r="Q192" s="33"/>
      <c r="R192" s="33"/>
      <c r="S192" s="33"/>
      <c r="T192" s="33"/>
    </row>
    <row r="193" spans="1:20" s="2" customFormat="1" ht="12.75">
      <c r="A193" s="64" t="s">
        <v>129</v>
      </c>
      <c r="B193" s="108"/>
      <c r="C193" s="27">
        <f>+'Entrate tot e finalizzati'!C193-'Entrate tot e finalizzati'!D193</f>
        <v>6072</v>
      </c>
      <c r="D193" s="27">
        <f>+'Entrate tot e finalizzati'!E193-'Entrate tot e finalizzati'!F193</f>
        <v>3931</v>
      </c>
      <c r="E193" s="27">
        <f>+'Entrate tot e finalizzati'!G193-'Entrate tot e finalizzati'!H193</f>
        <v>7952</v>
      </c>
      <c r="F193" s="27">
        <f>+'Entrate tot e finalizzati'!I193-'Entrate tot e finalizzati'!J193</f>
        <v>7792</v>
      </c>
      <c r="G193" s="27">
        <f>+'Entrate tot e finalizzati'!K193-'Entrate tot e finalizzati'!L193</f>
        <v>7492</v>
      </c>
      <c r="H193" s="27">
        <f>+'Entrate tot e finalizzati'!M193-'Entrate tot e finalizzati'!N193</f>
        <v>7265</v>
      </c>
      <c r="I193" s="27">
        <f>+'Entrate tot e finalizzati'!O193-'Entrate tot e finalizzati'!P193</f>
        <v>5201</v>
      </c>
      <c r="J193" s="27">
        <f>+'Entrate tot e finalizzati'!Q193-'Entrate tot e finalizzati'!R193</f>
        <v>6336</v>
      </c>
      <c r="K193" s="27">
        <f>+'Entrate tot e finalizzati'!S193-'Entrate tot e finalizzati'!T193</f>
        <v>10112</v>
      </c>
      <c r="L193" s="27">
        <f>+'Entrate tot e finalizzati'!U193-'Entrate tot e finalizzati'!V193</f>
        <v>13399</v>
      </c>
      <c r="M193" s="33"/>
      <c r="N193" s="33"/>
      <c r="O193" s="33"/>
      <c r="P193" s="33"/>
      <c r="Q193" s="33"/>
      <c r="R193" s="33"/>
      <c r="S193" s="33"/>
      <c r="T193" s="33"/>
    </row>
    <row r="194" spans="1:20" s="2" customFormat="1" ht="12.75">
      <c r="A194" s="41"/>
      <c r="B194" s="101" t="s">
        <v>17</v>
      </c>
      <c r="C194" s="19">
        <f>+'Entrate tot e finalizzati'!C194-'Entrate tot e finalizzati'!D194</f>
        <v>719</v>
      </c>
      <c r="D194" s="42">
        <f>+'Entrate tot e finalizzati'!E194-'Entrate tot e finalizzati'!F194</f>
        <v>23</v>
      </c>
      <c r="E194" s="31">
        <f>+'Entrate tot e finalizzati'!G194-'Entrate tot e finalizzati'!H194</f>
        <v>14</v>
      </c>
      <c r="F194" s="42">
        <f>+'Entrate tot e finalizzati'!I194-'Entrate tot e finalizzati'!J194</f>
        <v>14</v>
      </c>
      <c r="G194" s="31">
        <f>+'Entrate tot e finalizzati'!K194-'Entrate tot e finalizzati'!L194</f>
        <v>23</v>
      </c>
      <c r="H194" s="42">
        <f>+'Entrate tot e finalizzati'!M194-'Entrate tot e finalizzati'!N194</f>
        <v>27</v>
      </c>
      <c r="I194" s="31">
        <f>+'Entrate tot e finalizzati'!O194-'Entrate tot e finalizzati'!P194</f>
        <v>24</v>
      </c>
      <c r="J194" s="42">
        <f>+'Entrate tot e finalizzati'!Q194-'Entrate tot e finalizzati'!R194</f>
        <v>21</v>
      </c>
      <c r="K194" s="31">
        <f>+'Entrate tot e finalizzati'!S194-'Entrate tot e finalizzati'!T194</f>
        <v>22</v>
      </c>
      <c r="L194" s="42">
        <f>+'Entrate tot e finalizzati'!U194-'Entrate tot e finalizzati'!V194</f>
        <v>28</v>
      </c>
      <c r="M194" s="33"/>
      <c r="N194" s="33"/>
      <c r="O194" s="33"/>
      <c r="P194" s="33"/>
      <c r="Q194" s="33"/>
      <c r="R194" s="33"/>
      <c r="S194" s="33"/>
      <c r="T194" s="33"/>
    </row>
    <row r="195" spans="1:20" s="2" customFormat="1" ht="12.75">
      <c r="A195" s="14"/>
      <c r="B195" s="103" t="s">
        <v>22</v>
      </c>
      <c r="C195" s="19">
        <f>+'Entrate tot e finalizzati'!C195-'Entrate tot e finalizzati'!D195</f>
        <v>2031</v>
      </c>
      <c r="D195" s="17">
        <f>+'Entrate tot e finalizzati'!E195-'Entrate tot e finalizzati'!F195</f>
        <v>593</v>
      </c>
      <c r="E195" s="19">
        <f>+'Entrate tot e finalizzati'!G195-'Entrate tot e finalizzati'!H195</f>
        <v>749</v>
      </c>
      <c r="F195" s="61">
        <f>+'Entrate tot e finalizzati'!I195-'Entrate tot e finalizzati'!J195</f>
        <v>874</v>
      </c>
      <c r="G195" s="19">
        <f>+'Entrate tot e finalizzati'!K195-'Entrate tot e finalizzati'!L195</f>
        <v>1332</v>
      </c>
      <c r="H195" s="61">
        <f>+'Entrate tot e finalizzati'!M195-'Entrate tot e finalizzati'!N195</f>
        <v>1168</v>
      </c>
      <c r="I195" s="19">
        <f>+'Entrate tot e finalizzati'!O195-'Entrate tot e finalizzati'!P195</f>
        <v>5177</v>
      </c>
      <c r="J195" s="61">
        <f>+'Entrate tot e finalizzati'!Q195-'Entrate tot e finalizzati'!R195</f>
        <v>6315</v>
      </c>
      <c r="K195" s="19">
        <f>+'Entrate tot e finalizzati'!S195-'Entrate tot e finalizzati'!T195</f>
        <v>10090</v>
      </c>
      <c r="L195" s="61">
        <f>+'Entrate tot e finalizzati'!U195-'Entrate tot e finalizzati'!V195</f>
        <v>13371</v>
      </c>
      <c r="M195" s="33"/>
      <c r="N195" s="33"/>
      <c r="O195" s="33"/>
      <c r="P195" s="33"/>
      <c r="Q195" s="33"/>
      <c r="R195" s="33"/>
      <c r="S195" s="33"/>
      <c r="T195" s="33"/>
    </row>
    <row r="196" spans="1:20" s="2" customFormat="1" ht="12.75">
      <c r="A196" s="14"/>
      <c r="B196" s="101" t="s">
        <v>30</v>
      </c>
      <c r="C196" s="19">
        <f>+'Entrate tot e finalizzati'!C196-'Entrate tot e finalizzati'!D196</f>
        <v>130</v>
      </c>
      <c r="D196" s="17">
        <f>+'Entrate tot e finalizzati'!E196-'Entrate tot e finalizzati'!F196</f>
        <v>123</v>
      </c>
      <c r="E196" s="19">
        <f>+'Entrate tot e finalizzati'!G196-'Entrate tot e finalizzati'!H196</f>
        <v>120</v>
      </c>
      <c r="F196" s="17">
        <f>+'Entrate tot e finalizzati'!I196-'Entrate tot e finalizzati'!J196</f>
        <v>0</v>
      </c>
      <c r="G196" s="19">
        <f>+'Entrate tot e finalizzati'!K196-'Entrate tot e finalizzati'!L196</f>
        <v>0</v>
      </c>
      <c r="H196" s="17">
        <f>+'Entrate tot e finalizzati'!M196-'Entrate tot e finalizzati'!N196</f>
        <v>0</v>
      </c>
      <c r="I196" s="19">
        <f>+'Entrate tot e finalizzati'!O196-'Entrate tot e finalizzati'!P196</f>
        <v>0</v>
      </c>
      <c r="J196" s="17">
        <f>+'Entrate tot e finalizzati'!Q196-'Entrate tot e finalizzati'!R196</f>
        <v>0</v>
      </c>
      <c r="K196" s="19">
        <f>+'Entrate tot e finalizzati'!S196-'Entrate tot e finalizzati'!T196</f>
        <v>0</v>
      </c>
      <c r="L196" s="17">
        <f>+'Entrate tot e finalizzati'!U196-'Entrate tot e finalizzati'!V196</f>
        <v>0</v>
      </c>
      <c r="M196" s="33"/>
      <c r="N196" s="33"/>
      <c r="O196" s="33"/>
      <c r="P196" s="33"/>
      <c r="Q196" s="33"/>
      <c r="R196" s="33"/>
      <c r="S196" s="33"/>
      <c r="T196" s="33"/>
    </row>
    <row r="197" spans="1:20" s="2" customFormat="1" ht="12.75">
      <c r="A197" s="14"/>
      <c r="B197" s="101" t="s">
        <v>65</v>
      </c>
      <c r="C197" s="19">
        <f>+'Entrate tot e finalizzati'!C197-'Entrate tot e finalizzati'!D197</f>
        <v>0</v>
      </c>
      <c r="D197" s="17">
        <f>+'Entrate tot e finalizzati'!E197-'Entrate tot e finalizzati'!F197</f>
        <v>0</v>
      </c>
      <c r="E197" s="19">
        <f>+'Entrate tot e finalizzati'!G197-'Entrate tot e finalizzati'!H197</f>
        <v>0</v>
      </c>
      <c r="F197" s="17">
        <f>+'Entrate tot e finalizzati'!I197-'Entrate tot e finalizzati'!J197</f>
        <v>382</v>
      </c>
      <c r="G197" s="19">
        <f>+'Entrate tot e finalizzati'!K197-'Entrate tot e finalizzati'!L197</f>
        <v>0</v>
      </c>
      <c r="H197" s="17">
        <f>+'Entrate tot e finalizzati'!M197-'Entrate tot e finalizzati'!N197</f>
        <v>0</v>
      </c>
      <c r="I197" s="19">
        <f>+'Entrate tot e finalizzati'!O197-'Entrate tot e finalizzati'!P197</f>
        <v>0</v>
      </c>
      <c r="J197" s="17">
        <f>+'Entrate tot e finalizzati'!Q197-'Entrate tot e finalizzati'!R197</f>
        <v>0</v>
      </c>
      <c r="K197" s="19">
        <f>+'Entrate tot e finalizzati'!S197-'Entrate tot e finalizzati'!T197</f>
        <v>0</v>
      </c>
      <c r="L197" s="17">
        <f>+'Entrate tot e finalizzati'!U197-'Entrate tot e finalizzati'!V197</f>
        <v>0</v>
      </c>
      <c r="M197" s="33"/>
      <c r="N197" s="33"/>
      <c r="O197" s="33"/>
      <c r="P197" s="33"/>
      <c r="Q197" s="33"/>
      <c r="R197" s="33"/>
      <c r="S197" s="33"/>
      <c r="T197" s="33"/>
    </row>
    <row r="198" spans="1:20" s="2" customFormat="1" ht="12.75">
      <c r="A198" s="14"/>
      <c r="B198" s="103" t="s">
        <v>34</v>
      </c>
      <c r="C198" s="19">
        <f>+'Entrate tot e finalizzati'!C198-'Entrate tot e finalizzati'!D198</f>
        <v>0</v>
      </c>
      <c r="D198" s="17">
        <f>+'Entrate tot e finalizzati'!E198-'Entrate tot e finalizzati'!F198</f>
        <v>0</v>
      </c>
      <c r="E198" s="19">
        <f>+'Entrate tot e finalizzati'!G198-'Entrate tot e finalizzati'!H198</f>
        <v>0</v>
      </c>
      <c r="F198" s="17">
        <f>+'Entrate tot e finalizzati'!I198-'Entrate tot e finalizzati'!J198</f>
        <v>0</v>
      </c>
      <c r="G198" s="19">
        <f>+'Entrate tot e finalizzati'!K198-'Entrate tot e finalizzati'!L198</f>
        <v>1004</v>
      </c>
      <c r="H198" s="17">
        <f>+'Entrate tot e finalizzati'!M198-'Entrate tot e finalizzati'!N198</f>
        <v>0</v>
      </c>
      <c r="I198" s="19">
        <f>+'Entrate tot e finalizzati'!O198-'Entrate tot e finalizzati'!P198</f>
        <v>0</v>
      </c>
      <c r="J198" s="17">
        <f>+'Entrate tot e finalizzati'!Q198-'Entrate tot e finalizzati'!R198</f>
        <v>0</v>
      </c>
      <c r="K198" s="19">
        <f>+'Entrate tot e finalizzati'!S198-'Entrate tot e finalizzati'!T198</f>
        <v>0</v>
      </c>
      <c r="L198" s="17">
        <f>+'Entrate tot e finalizzati'!U198-'Entrate tot e finalizzati'!V198</f>
        <v>0</v>
      </c>
      <c r="M198" s="33"/>
      <c r="N198" s="33"/>
      <c r="O198" s="33"/>
      <c r="P198" s="33"/>
      <c r="Q198" s="33"/>
      <c r="R198" s="33"/>
      <c r="S198" s="33"/>
      <c r="T198" s="33"/>
    </row>
    <row r="199" spans="1:20" s="2" customFormat="1" ht="12.75">
      <c r="A199" s="14"/>
      <c r="B199" s="101" t="s">
        <v>59</v>
      </c>
      <c r="C199" s="20">
        <f>+'Entrate tot e finalizzati'!C199-'Entrate tot e finalizzati'!D199</f>
        <v>3192</v>
      </c>
      <c r="D199" s="18">
        <f>+'Entrate tot e finalizzati'!E199-'Entrate tot e finalizzati'!F199</f>
        <v>3192</v>
      </c>
      <c r="E199" s="20">
        <f>+'Entrate tot e finalizzati'!G199-'Entrate tot e finalizzati'!H199</f>
        <v>7069</v>
      </c>
      <c r="F199" s="18">
        <f>+'Entrate tot e finalizzati'!I199-'Entrate tot e finalizzati'!J199</f>
        <v>6522</v>
      </c>
      <c r="G199" s="20">
        <f>+'Entrate tot e finalizzati'!K199-'Entrate tot e finalizzati'!L199</f>
        <v>5133</v>
      </c>
      <c r="H199" s="18">
        <f>+'Entrate tot e finalizzati'!M199-'Entrate tot e finalizzati'!N199</f>
        <v>6070</v>
      </c>
      <c r="I199" s="20">
        <f>+'Entrate tot e finalizzati'!O199-'Entrate tot e finalizzati'!P199</f>
        <v>0</v>
      </c>
      <c r="J199" s="18">
        <f>+'Entrate tot e finalizzati'!Q199-'Entrate tot e finalizzati'!R199</f>
        <v>0</v>
      </c>
      <c r="K199" s="20">
        <f>+'Entrate tot e finalizzati'!S199-'Entrate tot e finalizzati'!T199</f>
        <v>0</v>
      </c>
      <c r="L199" s="18">
        <f>+'Entrate tot e finalizzati'!U199-'Entrate tot e finalizzati'!V199</f>
        <v>0</v>
      </c>
      <c r="M199" s="33"/>
      <c r="N199" s="33"/>
      <c r="O199" s="33"/>
      <c r="P199" s="33"/>
      <c r="Q199" s="33"/>
      <c r="R199" s="33"/>
      <c r="S199" s="33"/>
      <c r="T199" s="33"/>
    </row>
    <row r="200" spans="1:20" s="2" customFormat="1" ht="12.75">
      <c r="A200" s="114" t="s">
        <v>130</v>
      </c>
      <c r="B200" s="115"/>
      <c r="C200" s="116">
        <f>+'Entrate tot e finalizzati'!C200-'Entrate tot e finalizzati'!D200</f>
        <v>0</v>
      </c>
      <c r="D200" s="116">
        <f>+'Entrate tot e finalizzati'!E200-'Entrate tot e finalizzati'!F200</f>
        <v>0</v>
      </c>
      <c r="E200" s="116">
        <f>+'Entrate tot e finalizzati'!G200-'Entrate tot e finalizzati'!H200</f>
        <v>0</v>
      </c>
      <c r="F200" s="116">
        <f>+'Entrate tot e finalizzati'!I200-'Entrate tot e finalizzati'!J200</f>
        <v>0</v>
      </c>
      <c r="G200" s="116">
        <f>+'Entrate tot e finalizzati'!K200-'Entrate tot e finalizzati'!L200</f>
        <v>0</v>
      </c>
      <c r="H200" s="116">
        <f>+'Entrate tot e finalizzati'!M200-'Entrate tot e finalizzati'!N200</f>
        <v>0</v>
      </c>
      <c r="I200" s="116">
        <f>+'Entrate tot e finalizzati'!O200-'Entrate tot e finalizzati'!P200</f>
        <v>0</v>
      </c>
      <c r="J200" s="116">
        <f>+'Entrate tot e finalizzati'!Q200-'Entrate tot e finalizzati'!R200</f>
        <v>0</v>
      </c>
      <c r="K200" s="116">
        <f>+'Entrate tot e finalizzati'!S200-'Entrate tot e finalizzati'!T200</f>
        <v>0</v>
      </c>
      <c r="L200" s="116">
        <f>+'Entrate tot e finalizzati'!U200-'Entrate tot e finalizzati'!V200</f>
        <v>0</v>
      </c>
      <c r="M200" s="33"/>
      <c r="N200" s="33"/>
      <c r="O200" s="33"/>
      <c r="P200" s="33"/>
      <c r="Q200" s="33"/>
      <c r="R200" s="33"/>
      <c r="S200" s="33"/>
      <c r="T200" s="33"/>
    </row>
    <row r="201" spans="1:20" s="2" customFormat="1" ht="12.75">
      <c r="A201" s="23" t="s">
        <v>131</v>
      </c>
      <c r="B201" s="109"/>
      <c r="C201" s="28">
        <f>+'Entrate tot e finalizzati'!C201-'Entrate tot e finalizzati'!D201</f>
        <v>0</v>
      </c>
      <c r="D201" s="28">
        <f>+'Entrate tot e finalizzati'!E201-'Entrate tot e finalizzati'!F201</f>
        <v>0</v>
      </c>
      <c r="E201" s="28">
        <f>+'Entrate tot e finalizzati'!G201-'Entrate tot e finalizzati'!H201</f>
        <v>0</v>
      </c>
      <c r="F201" s="28">
        <f>+'Entrate tot e finalizzati'!I201-'Entrate tot e finalizzati'!J201</f>
        <v>0</v>
      </c>
      <c r="G201" s="28">
        <f>+'Entrate tot e finalizzati'!K201-'Entrate tot e finalizzati'!L201</f>
        <v>0</v>
      </c>
      <c r="H201" s="28">
        <f>+'Entrate tot e finalizzati'!M201-'Entrate tot e finalizzati'!N201</f>
        <v>0</v>
      </c>
      <c r="I201" s="28">
        <f>+'Entrate tot e finalizzati'!O201-'Entrate tot e finalizzati'!P201</f>
        <v>0</v>
      </c>
      <c r="J201" s="28">
        <f>+'Entrate tot e finalizzati'!Q201-'Entrate tot e finalizzati'!R201</f>
        <v>0</v>
      </c>
      <c r="K201" s="28">
        <f>+'Entrate tot e finalizzati'!S201-'Entrate tot e finalizzati'!T201</f>
        <v>0</v>
      </c>
      <c r="L201" s="28">
        <f>+'Entrate tot e finalizzati'!U201-'Entrate tot e finalizzati'!V201</f>
        <v>0</v>
      </c>
      <c r="M201" s="33"/>
      <c r="N201" s="33"/>
      <c r="O201" s="33"/>
      <c r="P201" s="33"/>
      <c r="Q201" s="33"/>
      <c r="R201" s="33"/>
      <c r="S201" s="33"/>
      <c r="T201" s="33"/>
    </row>
    <row r="202" spans="1:20" s="2" customFormat="1" ht="12.75">
      <c r="A202" s="43"/>
      <c r="B202" s="103" t="s">
        <v>34</v>
      </c>
      <c r="C202" s="19">
        <f>+'Entrate tot e finalizzati'!C202-'Entrate tot e finalizzati'!D202</f>
        <v>0</v>
      </c>
      <c r="D202" s="42">
        <f>+'Entrate tot e finalizzati'!E202-'Entrate tot e finalizzati'!F202</f>
        <v>0</v>
      </c>
      <c r="E202" s="31">
        <f>+'Entrate tot e finalizzati'!G202-'Entrate tot e finalizzati'!H202</f>
        <v>0</v>
      </c>
      <c r="F202" s="42">
        <f>+'Entrate tot e finalizzati'!I202-'Entrate tot e finalizzati'!J202</f>
        <v>0</v>
      </c>
      <c r="G202" s="31">
        <f>+'Entrate tot e finalizzati'!K202-'Entrate tot e finalizzati'!L202</f>
        <v>0</v>
      </c>
      <c r="H202" s="42">
        <f>+'Entrate tot e finalizzati'!M202-'Entrate tot e finalizzati'!N202</f>
        <v>0</v>
      </c>
      <c r="I202" s="31">
        <f>+'Entrate tot e finalizzati'!O202-'Entrate tot e finalizzati'!P202</f>
        <v>0</v>
      </c>
      <c r="J202" s="42">
        <f>+'Entrate tot e finalizzati'!Q202-'Entrate tot e finalizzati'!R202</f>
        <v>0</v>
      </c>
      <c r="K202" s="31">
        <f>+'Entrate tot e finalizzati'!S202-'Entrate tot e finalizzati'!T202</f>
        <v>0</v>
      </c>
      <c r="L202" s="42">
        <f>+'Entrate tot e finalizzati'!U202-'Entrate tot e finalizzati'!V202</f>
        <v>0</v>
      </c>
      <c r="M202" s="33"/>
      <c r="N202" s="33"/>
      <c r="O202" s="33"/>
      <c r="P202" s="33"/>
      <c r="Q202" s="33"/>
      <c r="R202" s="33"/>
      <c r="S202" s="33"/>
      <c r="T202" s="33"/>
    </row>
    <row r="203" spans="1:20" s="2" customFormat="1" ht="12.75">
      <c r="A203" s="47"/>
      <c r="B203" s="102" t="s">
        <v>14</v>
      </c>
      <c r="C203" s="20">
        <f>+'Entrate tot e finalizzati'!C203-'Entrate tot e finalizzati'!D203</f>
        <v>0</v>
      </c>
      <c r="D203" s="48">
        <f>+'Entrate tot e finalizzati'!E203-'Entrate tot e finalizzati'!F203</f>
        <v>0</v>
      </c>
      <c r="E203" s="32">
        <f>+'Entrate tot e finalizzati'!G203-'Entrate tot e finalizzati'!H203</f>
        <v>0</v>
      </c>
      <c r="F203" s="48">
        <f>+'Entrate tot e finalizzati'!I203-'Entrate tot e finalizzati'!J203</f>
        <v>0</v>
      </c>
      <c r="G203" s="32">
        <f>+'Entrate tot e finalizzati'!K203-'Entrate tot e finalizzati'!L203</f>
        <v>0</v>
      </c>
      <c r="H203" s="48">
        <f>+'Entrate tot e finalizzati'!M203-'Entrate tot e finalizzati'!N203</f>
        <v>0</v>
      </c>
      <c r="I203" s="32">
        <f>+'Entrate tot e finalizzati'!O203-'Entrate tot e finalizzati'!P203</f>
        <v>0</v>
      </c>
      <c r="J203" s="48">
        <f>+'Entrate tot e finalizzati'!Q203-'Entrate tot e finalizzati'!R203</f>
        <v>0</v>
      </c>
      <c r="K203" s="32">
        <f>+'Entrate tot e finalizzati'!S203-'Entrate tot e finalizzati'!T203</f>
        <v>0</v>
      </c>
      <c r="L203" s="48">
        <f>+'Entrate tot e finalizzati'!U203-'Entrate tot e finalizzati'!V203</f>
        <v>0</v>
      </c>
      <c r="M203" s="33"/>
      <c r="N203" s="33"/>
      <c r="O203" s="33"/>
      <c r="P203" s="33"/>
      <c r="Q203" s="33"/>
      <c r="R203" s="33"/>
      <c r="S203" s="33"/>
      <c r="T203" s="33"/>
    </row>
    <row r="204" spans="1:20" s="2" customFormat="1" ht="12.75">
      <c r="A204" s="114" t="s">
        <v>132</v>
      </c>
      <c r="B204" s="115"/>
      <c r="C204" s="116">
        <f>+'Entrate tot e finalizzati'!C204-'Entrate tot e finalizzati'!D204</f>
        <v>1935</v>
      </c>
      <c r="D204" s="116">
        <f>+'Entrate tot e finalizzati'!E204-'Entrate tot e finalizzati'!F204</f>
        <v>2494</v>
      </c>
      <c r="E204" s="116">
        <f>+'Entrate tot e finalizzati'!G204-'Entrate tot e finalizzati'!H204</f>
        <v>2048</v>
      </c>
      <c r="F204" s="116">
        <f>+'Entrate tot e finalizzati'!I204-'Entrate tot e finalizzati'!J204</f>
        <v>2530</v>
      </c>
      <c r="G204" s="116">
        <f>+'Entrate tot e finalizzati'!K204-'Entrate tot e finalizzati'!L204</f>
        <v>2602</v>
      </c>
      <c r="H204" s="116">
        <f>+'Entrate tot e finalizzati'!M204-'Entrate tot e finalizzati'!N204</f>
        <v>2010</v>
      </c>
      <c r="I204" s="116">
        <f>+'Entrate tot e finalizzati'!O204-'Entrate tot e finalizzati'!P204</f>
        <v>2070</v>
      </c>
      <c r="J204" s="116">
        <f>+'Entrate tot e finalizzati'!Q204-'Entrate tot e finalizzati'!R204</f>
        <v>2355</v>
      </c>
      <c r="K204" s="116">
        <f>+'Entrate tot e finalizzati'!S204-'Entrate tot e finalizzati'!T204</f>
        <v>2589</v>
      </c>
      <c r="L204" s="116">
        <f>+'Entrate tot e finalizzati'!U204-'Entrate tot e finalizzati'!V204</f>
        <v>2595</v>
      </c>
      <c r="M204" s="33"/>
      <c r="N204" s="33"/>
      <c r="O204" s="33"/>
      <c r="P204" s="33"/>
      <c r="Q204" s="33"/>
      <c r="R204" s="33"/>
      <c r="S204" s="33"/>
      <c r="T204" s="33"/>
    </row>
    <row r="205" spans="1:20" s="2" customFormat="1" ht="12.75">
      <c r="A205" s="23" t="s">
        <v>133</v>
      </c>
      <c r="B205" s="109"/>
      <c r="C205" s="25">
        <f>+'Entrate tot e finalizzati'!C205-'Entrate tot e finalizzati'!D205</f>
        <v>141</v>
      </c>
      <c r="D205" s="25">
        <f>+'Entrate tot e finalizzati'!E205-'Entrate tot e finalizzati'!F205</f>
        <v>94</v>
      </c>
      <c r="E205" s="25">
        <f>+'Entrate tot e finalizzati'!G205-'Entrate tot e finalizzati'!H205</f>
        <v>114</v>
      </c>
      <c r="F205" s="25">
        <f>+'Entrate tot e finalizzati'!I205-'Entrate tot e finalizzati'!J205</f>
        <v>101</v>
      </c>
      <c r="G205" s="25">
        <f>+'Entrate tot e finalizzati'!K205-'Entrate tot e finalizzati'!L205</f>
        <v>81</v>
      </c>
      <c r="H205" s="25">
        <f>+'Entrate tot e finalizzati'!M205-'Entrate tot e finalizzati'!N205</f>
        <v>63</v>
      </c>
      <c r="I205" s="25">
        <f>+'Entrate tot e finalizzati'!O205-'Entrate tot e finalizzati'!P205</f>
        <v>106</v>
      </c>
      <c r="J205" s="25">
        <f>+'Entrate tot e finalizzati'!Q205-'Entrate tot e finalizzati'!R205</f>
        <v>68</v>
      </c>
      <c r="K205" s="25">
        <f>+'Entrate tot e finalizzati'!S205-'Entrate tot e finalizzati'!T205</f>
        <v>71</v>
      </c>
      <c r="L205" s="25">
        <f>+'Entrate tot e finalizzati'!U205-'Entrate tot e finalizzati'!V205</f>
        <v>99</v>
      </c>
      <c r="M205" s="33"/>
      <c r="N205" s="33"/>
      <c r="O205" s="33"/>
      <c r="P205" s="33"/>
      <c r="Q205" s="33"/>
      <c r="R205" s="33"/>
      <c r="S205" s="33"/>
      <c r="T205" s="33"/>
    </row>
    <row r="206" spans="1:20" s="2" customFormat="1" ht="12.75">
      <c r="A206" s="43"/>
      <c r="B206" s="101" t="s">
        <v>46</v>
      </c>
      <c r="C206" s="19">
        <f>+'Entrate tot e finalizzati'!C206-'Entrate tot e finalizzati'!D206</f>
        <v>38</v>
      </c>
      <c r="D206" s="42">
        <f>+'Entrate tot e finalizzati'!E206-'Entrate tot e finalizzati'!F206</f>
        <v>8</v>
      </c>
      <c r="E206" s="30">
        <f>+'Entrate tot e finalizzati'!G206-'Entrate tot e finalizzati'!H206</f>
        <v>2</v>
      </c>
      <c r="F206" s="42">
        <f>+'Entrate tot e finalizzati'!I206-'Entrate tot e finalizzati'!J206</f>
        <v>7</v>
      </c>
      <c r="G206" s="30">
        <f>+'Entrate tot e finalizzati'!K206-'Entrate tot e finalizzati'!L206</f>
        <v>3</v>
      </c>
      <c r="H206" s="42">
        <f>+'Entrate tot e finalizzati'!M206-'Entrate tot e finalizzati'!N206</f>
        <v>4</v>
      </c>
      <c r="I206" s="30">
        <f>+'Entrate tot e finalizzati'!O206-'Entrate tot e finalizzati'!P206</f>
        <v>1</v>
      </c>
      <c r="J206" s="42">
        <f>+'Entrate tot e finalizzati'!Q206-'Entrate tot e finalizzati'!R206</f>
        <v>3</v>
      </c>
      <c r="K206" s="30">
        <f>+'Entrate tot e finalizzati'!S206-'Entrate tot e finalizzati'!T206</f>
        <v>2</v>
      </c>
      <c r="L206" s="42">
        <f>+'Entrate tot e finalizzati'!U206-'Entrate tot e finalizzati'!V206</f>
        <v>1</v>
      </c>
      <c r="M206" s="33"/>
      <c r="N206" s="33"/>
      <c r="O206" s="33"/>
      <c r="P206" s="33"/>
      <c r="Q206" s="33"/>
      <c r="R206" s="33"/>
      <c r="S206" s="33"/>
      <c r="T206" s="33"/>
    </row>
    <row r="207" spans="1:20" s="2" customFormat="1" ht="12.75">
      <c r="A207" s="43"/>
      <c r="B207" s="101" t="s">
        <v>47</v>
      </c>
      <c r="C207" s="19">
        <f>+'Entrate tot e finalizzati'!C207-'Entrate tot e finalizzati'!D207</f>
        <v>103</v>
      </c>
      <c r="D207" s="42">
        <f>+'Entrate tot e finalizzati'!E207-'Entrate tot e finalizzati'!F207</f>
        <v>86</v>
      </c>
      <c r="E207" s="30">
        <f>+'Entrate tot e finalizzati'!G207-'Entrate tot e finalizzati'!H207</f>
        <v>112</v>
      </c>
      <c r="F207" s="42">
        <f>+'Entrate tot e finalizzati'!I207-'Entrate tot e finalizzati'!J207</f>
        <v>94</v>
      </c>
      <c r="G207" s="30">
        <f>+'Entrate tot e finalizzati'!K207-'Entrate tot e finalizzati'!L207</f>
        <v>78</v>
      </c>
      <c r="H207" s="42">
        <f>+'Entrate tot e finalizzati'!M207-'Entrate tot e finalizzati'!N207</f>
        <v>59</v>
      </c>
      <c r="I207" s="30">
        <f>+'Entrate tot e finalizzati'!O207-'Entrate tot e finalizzati'!P207</f>
        <v>65</v>
      </c>
      <c r="J207" s="42">
        <f>+'Entrate tot e finalizzati'!Q207-'Entrate tot e finalizzati'!R207</f>
        <v>65</v>
      </c>
      <c r="K207" s="30">
        <f>+'Entrate tot e finalizzati'!S207-'Entrate tot e finalizzati'!T207</f>
        <v>64</v>
      </c>
      <c r="L207" s="42">
        <f>+'Entrate tot e finalizzati'!U207-'Entrate tot e finalizzati'!V207</f>
        <v>68</v>
      </c>
      <c r="M207" s="33"/>
      <c r="N207" s="33"/>
      <c r="O207" s="33"/>
      <c r="P207" s="33"/>
      <c r="Q207" s="33"/>
      <c r="R207" s="33"/>
      <c r="S207" s="33"/>
      <c r="T207" s="33"/>
    </row>
    <row r="208" spans="1:20" s="2" customFormat="1" ht="12.75">
      <c r="A208" s="43"/>
      <c r="B208" s="101" t="s">
        <v>12</v>
      </c>
      <c r="C208" s="19">
        <f>+'Entrate tot e finalizzati'!C208-'Entrate tot e finalizzati'!D208</f>
        <v>0</v>
      </c>
      <c r="D208" s="42">
        <f>+'Entrate tot e finalizzati'!E208-'Entrate tot e finalizzati'!F208</f>
        <v>0</v>
      </c>
      <c r="E208" s="30">
        <f>+'Entrate tot e finalizzati'!G208-'Entrate tot e finalizzati'!H208</f>
        <v>0</v>
      </c>
      <c r="F208" s="42">
        <f>+'Entrate tot e finalizzati'!I208-'Entrate tot e finalizzati'!J208</f>
        <v>0</v>
      </c>
      <c r="G208" s="30">
        <f>+'Entrate tot e finalizzati'!K208-'Entrate tot e finalizzati'!L208</f>
        <v>0</v>
      </c>
      <c r="H208" s="42">
        <f>+'Entrate tot e finalizzati'!M208-'Entrate tot e finalizzati'!N208</f>
        <v>0</v>
      </c>
      <c r="I208" s="30">
        <f>+'Entrate tot e finalizzati'!O208-'Entrate tot e finalizzati'!P208</f>
        <v>0</v>
      </c>
      <c r="J208" s="42">
        <f>+'Entrate tot e finalizzati'!Q208-'Entrate tot e finalizzati'!R208</f>
        <v>0</v>
      </c>
      <c r="K208" s="30">
        <f>+'Entrate tot e finalizzati'!S208-'Entrate tot e finalizzati'!T208</f>
        <v>0</v>
      </c>
      <c r="L208" s="42">
        <f>+'Entrate tot e finalizzati'!U208-'Entrate tot e finalizzati'!V208</f>
        <v>15</v>
      </c>
      <c r="M208" s="33"/>
      <c r="N208" s="33"/>
      <c r="O208" s="33"/>
      <c r="P208" s="33"/>
      <c r="Q208" s="33"/>
      <c r="R208" s="33"/>
      <c r="S208" s="33"/>
      <c r="T208" s="33"/>
    </row>
    <row r="209" spans="1:20" s="2" customFormat="1" ht="12.75">
      <c r="A209" s="43"/>
      <c r="B209" s="103" t="s">
        <v>58</v>
      </c>
      <c r="C209" s="19">
        <f>+'Entrate tot e finalizzati'!C209-'Entrate tot e finalizzati'!D209</f>
        <v>0</v>
      </c>
      <c r="D209" s="42">
        <f>+'Entrate tot e finalizzati'!E209-'Entrate tot e finalizzati'!F209</f>
        <v>0</v>
      </c>
      <c r="E209" s="30">
        <f>+'Entrate tot e finalizzati'!G209-'Entrate tot e finalizzati'!H209</f>
        <v>0</v>
      </c>
      <c r="F209" s="42">
        <f>+'Entrate tot e finalizzati'!I209-'Entrate tot e finalizzati'!J209</f>
        <v>0</v>
      </c>
      <c r="G209" s="30">
        <f>+'Entrate tot e finalizzati'!K209-'Entrate tot e finalizzati'!L209</f>
        <v>0</v>
      </c>
      <c r="H209" s="42">
        <f>+'Entrate tot e finalizzati'!M209-'Entrate tot e finalizzati'!N209</f>
        <v>0</v>
      </c>
      <c r="I209" s="30">
        <f>+'Entrate tot e finalizzati'!O209-'Entrate tot e finalizzati'!P209</f>
        <v>0</v>
      </c>
      <c r="J209" s="42">
        <f>+'Entrate tot e finalizzati'!Q209-'Entrate tot e finalizzati'!R209</f>
        <v>0</v>
      </c>
      <c r="K209" s="30">
        <f>+'Entrate tot e finalizzati'!S209-'Entrate tot e finalizzati'!T209</f>
        <v>0</v>
      </c>
      <c r="L209" s="42">
        <f>+'Entrate tot e finalizzati'!U209-'Entrate tot e finalizzati'!V209</f>
        <v>0</v>
      </c>
      <c r="M209" s="33"/>
      <c r="N209" s="33"/>
      <c r="O209" s="33"/>
      <c r="P209" s="33"/>
      <c r="Q209" s="33"/>
      <c r="R209" s="33"/>
      <c r="S209" s="33"/>
      <c r="T209" s="33"/>
    </row>
    <row r="210" spans="1:20" s="2" customFormat="1" ht="12.75">
      <c r="A210" s="43"/>
      <c r="B210" s="101" t="s">
        <v>30</v>
      </c>
      <c r="C210" s="19">
        <f>+'Entrate tot e finalizzati'!C210-'Entrate tot e finalizzati'!D210</f>
        <v>0</v>
      </c>
      <c r="D210" s="42">
        <f>+'Entrate tot e finalizzati'!E210-'Entrate tot e finalizzati'!F210</f>
        <v>0</v>
      </c>
      <c r="E210" s="30">
        <f>+'Entrate tot e finalizzati'!G210-'Entrate tot e finalizzati'!H210</f>
        <v>0</v>
      </c>
      <c r="F210" s="42">
        <f>+'Entrate tot e finalizzati'!I210-'Entrate tot e finalizzati'!J210</f>
        <v>0</v>
      </c>
      <c r="G210" s="30">
        <f>+'Entrate tot e finalizzati'!K210-'Entrate tot e finalizzati'!L210</f>
        <v>0</v>
      </c>
      <c r="H210" s="42">
        <f>+'Entrate tot e finalizzati'!M210-'Entrate tot e finalizzati'!N210</f>
        <v>0</v>
      </c>
      <c r="I210" s="30">
        <f>+'Entrate tot e finalizzati'!O210-'Entrate tot e finalizzati'!P210</f>
        <v>40</v>
      </c>
      <c r="J210" s="42">
        <f>+'Entrate tot e finalizzati'!Q210-'Entrate tot e finalizzati'!R210</f>
        <v>0</v>
      </c>
      <c r="K210" s="30">
        <f>+'Entrate tot e finalizzati'!S210-'Entrate tot e finalizzati'!T210</f>
        <v>5</v>
      </c>
      <c r="L210" s="42">
        <f>+'Entrate tot e finalizzati'!U210-'Entrate tot e finalizzati'!V210</f>
        <v>15</v>
      </c>
      <c r="M210" s="33"/>
      <c r="N210" s="33"/>
      <c r="O210" s="33"/>
      <c r="P210" s="33"/>
      <c r="Q210" s="33"/>
      <c r="R210" s="33"/>
      <c r="S210" s="33"/>
      <c r="T210" s="33"/>
    </row>
    <row r="211" spans="1:20" s="2" customFormat="1" ht="12.75">
      <c r="A211" s="43"/>
      <c r="B211" s="42" t="s">
        <v>15</v>
      </c>
      <c r="C211" s="19">
        <f>+'Entrate tot e finalizzati'!C211-'Entrate tot e finalizzati'!D211</f>
        <v>0</v>
      </c>
      <c r="D211" s="42">
        <f>+'Entrate tot e finalizzati'!E211-'Entrate tot e finalizzati'!F211</f>
        <v>0</v>
      </c>
      <c r="E211" s="30">
        <f>+'Entrate tot e finalizzati'!G211-'Entrate tot e finalizzati'!H211</f>
        <v>0</v>
      </c>
      <c r="F211" s="42">
        <f>+'Entrate tot e finalizzati'!I211-'Entrate tot e finalizzati'!J211</f>
        <v>0</v>
      </c>
      <c r="G211" s="30">
        <f>+'Entrate tot e finalizzati'!K211-'Entrate tot e finalizzati'!L211</f>
        <v>0</v>
      </c>
      <c r="H211" s="42">
        <f>+'Entrate tot e finalizzati'!M211-'Entrate tot e finalizzati'!N211</f>
        <v>0</v>
      </c>
      <c r="I211" s="30">
        <f>+'Entrate tot e finalizzati'!O211-'Entrate tot e finalizzati'!P211</f>
        <v>0</v>
      </c>
      <c r="J211" s="42">
        <f>+'Entrate tot e finalizzati'!Q211-'Entrate tot e finalizzati'!R211</f>
        <v>0</v>
      </c>
      <c r="K211" s="30">
        <f>+'Entrate tot e finalizzati'!S211-'Entrate tot e finalizzati'!T211</f>
        <v>0</v>
      </c>
      <c r="L211" s="42">
        <f>+'Entrate tot e finalizzati'!U211-'Entrate tot e finalizzati'!V211</f>
        <v>0</v>
      </c>
      <c r="M211" s="33"/>
      <c r="N211" s="33"/>
      <c r="O211" s="33"/>
      <c r="P211" s="33"/>
      <c r="Q211" s="33"/>
      <c r="R211" s="33"/>
      <c r="S211" s="33"/>
      <c r="T211" s="33"/>
    </row>
    <row r="212" spans="1:20" s="2" customFormat="1" ht="12.75">
      <c r="A212" s="43"/>
      <c r="B212" s="101" t="s">
        <v>14</v>
      </c>
      <c r="C212" s="19">
        <f>+'Entrate tot e finalizzati'!C212-'Entrate tot e finalizzati'!D212</f>
        <v>0</v>
      </c>
      <c r="D212" s="42">
        <f>+'Entrate tot e finalizzati'!E212-'Entrate tot e finalizzati'!F212</f>
        <v>0</v>
      </c>
      <c r="E212" s="30">
        <f>+'Entrate tot e finalizzati'!G212-'Entrate tot e finalizzati'!H212</f>
        <v>0</v>
      </c>
      <c r="F212" s="42">
        <f>+'Entrate tot e finalizzati'!I212-'Entrate tot e finalizzati'!J212</f>
        <v>0</v>
      </c>
      <c r="G212" s="30">
        <f>+'Entrate tot e finalizzati'!K212-'Entrate tot e finalizzati'!L212</f>
        <v>0</v>
      </c>
      <c r="H212" s="42">
        <f>+'Entrate tot e finalizzati'!M212-'Entrate tot e finalizzati'!N212</f>
        <v>0</v>
      </c>
      <c r="I212" s="30">
        <f>+'Entrate tot e finalizzati'!O212-'Entrate tot e finalizzati'!P212</f>
        <v>0</v>
      </c>
      <c r="J212" s="42">
        <f>+'Entrate tot e finalizzati'!Q212-'Entrate tot e finalizzati'!R212</f>
        <v>0</v>
      </c>
      <c r="K212" s="30">
        <f>+'Entrate tot e finalizzati'!S212-'Entrate tot e finalizzati'!T212</f>
        <v>0</v>
      </c>
      <c r="L212" s="42">
        <f>+'Entrate tot e finalizzati'!U212-'Entrate tot e finalizzati'!V212</f>
        <v>0</v>
      </c>
      <c r="M212" s="33"/>
      <c r="N212" s="33"/>
      <c r="O212" s="33"/>
      <c r="P212" s="33"/>
      <c r="Q212" s="33"/>
      <c r="R212" s="33"/>
      <c r="S212" s="33"/>
      <c r="T212" s="33"/>
    </row>
    <row r="213" spans="1:20" s="2" customFormat="1" ht="12.75">
      <c r="A213" s="43"/>
      <c r="B213" s="101" t="s">
        <v>59</v>
      </c>
      <c r="C213" s="19">
        <f>+'Entrate tot e finalizzati'!C213-'Entrate tot e finalizzati'!D213</f>
        <v>0</v>
      </c>
      <c r="D213" s="42">
        <f>+'Entrate tot e finalizzati'!E213-'Entrate tot e finalizzati'!F213</f>
        <v>0</v>
      </c>
      <c r="E213" s="30">
        <f>+'Entrate tot e finalizzati'!G213-'Entrate tot e finalizzati'!H213</f>
        <v>0</v>
      </c>
      <c r="F213" s="42">
        <f>+'Entrate tot e finalizzati'!I213-'Entrate tot e finalizzati'!J213</f>
        <v>0</v>
      </c>
      <c r="G213" s="30">
        <f>+'Entrate tot e finalizzati'!K213-'Entrate tot e finalizzati'!L213</f>
        <v>0</v>
      </c>
      <c r="H213" s="42">
        <f>+'Entrate tot e finalizzati'!M213-'Entrate tot e finalizzati'!N213</f>
        <v>0</v>
      </c>
      <c r="I213" s="30">
        <f>+'Entrate tot e finalizzati'!O213-'Entrate tot e finalizzati'!P213</f>
        <v>0</v>
      </c>
      <c r="J213" s="42">
        <f>+'Entrate tot e finalizzati'!Q213-'Entrate tot e finalizzati'!R213</f>
        <v>0</v>
      </c>
      <c r="K213" s="30">
        <f>+'Entrate tot e finalizzati'!S213-'Entrate tot e finalizzati'!T213</f>
        <v>0</v>
      </c>
      <c r="L213" s="42">
        <f>+'Entrate tot e finalizzati'!U213-'Entrate tot e finalizzati'!V213</f>
        <v>0</v>
      </c>
      <c r="M213" s="33"/>
      <c r="N213" s="33"/>
      <c r="O213" s="33"/>
      <c r="P213" s="33"/>
      <c r="Q213" s="33"/>
      <c r="R213" s="33"/>
      <c r="S213" s="33"/>
      <c r="T213" s="33"/>
    </row>
    <row r="214" spans="1:20" s="2" customFormat="1" ht="12.75">
      <c r="A214" s="47"/>
      <c r="B214" s="110" t="s">
        <v>95</v>
      </c>
      <c r="C214" s="20">
        <f>+'Entrate tot e finalizzati'!C214-'Entrate tot e finalizzati'!D214</f>
        <v>0</v>
      </c>
      <c r="D214" s="48">
        <f>+'Entrate tot e finalizzati'!E214-'Entrate tot e finalizzati'!F214</f>
        <v>0</v>
      </c>
      <c r="E214" s="52">
        <f>+'Entrate tot e finalizzati'!G214-'Entrate tot e finalizzati'!H214</f>
        <v>0</v>
      </c>
      <c r="F214" s="62">
        <f>+'Entrate tot e finalizzati'!I214-'Entrate tot e finalizzati'!J214</f>
        <v>0</v>
      </c>
      <c r="G214" s="52">
        <f>+'Entrate tot e finalizzati'!K214-'Entrate tot e finalizzati'!L214</f>
        <v>0</v>
      </c>
      <c r="H214" s="62">
        <f>+'Entrate tot e finalizzati'!M214-'Entrate tot e finalizzati'!N214</f>
        <v>0</v>
      </c>
      <c r="I214" s="52">
        <f>+'Entrate tot e finalizzati'!O214-'Entrate tot e finalizzati'!P214</f>
        <v>0</v>
      </c>
      <c r="J214" s="62">
        <f>+'Entrate tot e finalizzati'!Q214-'Entrate tot e finalizzati'!R214</f>
        <v>0</v>
      </c>
      <c r="K214" s="52">
        <f>+'Entrate tot e finalizzati'!S214-'Entrate tot e finalizzati'!T214</f>
        <v>0</v>
      </c>
      <c r="L214" s="62">
        <f>+'Entrate tot e finalizzati'!U214-'Entrate tot e finalizzati'!V214</f>
        <v>0</v>
      </c>
      <c r="M214" s="33"/>
      <c r="N214" s="33"/>
      <c r="O214" s="33"/>
      <c r="P214" s="33"/>
      <c r="Q214" s="33"/>
      <c r="R214" s="33"/>
      <c r="S214" s="33"/>
      <c r="T214" s="33"/>
    </row>
    <row r="215" spans="1:20" s="2" customFormat="1" ht="12.75">
      <c r="A215" s="23" t="s">
        <v>136</v>
      </c>
      <c r="B215" s="109"/>
      <c r="C215" s="25">
        <f>+'Entrate tot e finalizzati'!C215-'Entrate tot e finalizzati'!D215</f>
        <v>1211</v>
      </c>
      <c r="D215" s="25">
        <f>+'Entrate tot e finalizzati'!E215-'Entrate tot e finalizzati'!F215</f>
        <v>1428</v>
      </c>
      <c r="E215" s="25">
        <f>+'Entrate tot e finalizzati'!G215-'Entrate tot e finalizzati'!H215</f>
        <v>1133</v>
      </c>
      <c r="F215" s="25">
        <f>+'Entrate tot e finalizzati'!I215-'Entrate tot e finalizzati'!J215</f>
        <v>1750</v>
      </c>
      <c r="G215" s="25">
        <f>+'Entrate tot e finalizzati'!K215-'Entrate tot e finalizzati'!L215</f>
        <v>2017</v>
      </c>
      <c r="H215" s="25">
        <f>+'Entrate tot e finalizzati'!M215-'Entrate tot e finalizzati'!N215</f>
        <v>1520</v>
      </c>
      <c r="I215" s="25">
        <f>+'Entrate tot e finalizzati'!O215-'Entrate tot e finalizzati'!P215</f>
        <v>1535</v>
      </c>
      <c r="J215" s="25">
        <f>+'Entrate tot e finalizzati'!Q215-'Entrate tot e finalizzati'!R215</f>
        <v>1903</v>
      </c>
      <c r="K215" s="25">
        <f>+'Entrate tot e finalizzati'!S215-'Entrate tot e finalizzati'!T215</f>
        <v>2287</v>
      </c>
      <c r="L215" s="25">
        <f>+'Entrate tot e finalizzati'!U215-'Entrate tot e finalizzati'!V215</f>
        <v>2259</v>
      </c>
      <c r="M215" s="33"/>
      <c r="N215" s="33"/>
      <c r="O215" s="33"/>
      <c r="P215" s="33"/>
      <c r="Q215" s="33"/>
      <c r="R215" s="33"/>
      <c r="S215" s="33"/>
      <c r="T215" s="33"/>
    </row>
    <row r="216" spans="1:20" s="2" customFormat="1" ht="12.75">
      <c r="A216" s="43"/>
      <c r="B216" s="103" t="s">
        <v>22</v>
      </c>
      <c r="C216" s="19">
        <f>+'Entrate tot e finalizzati'!C216-'Entrate tot e finalizzati'!D216</f>
        <v>1206</v>
      </c>
      <c r="D216" s="42">
        <f>+'Entrate tot e finalizzati'!E216-'Entrate tot e finalizzati'!F216</f>
        <v>1421</v>
      </c>
      <c r="E216" s="30">
        <f>+'Entrate tot e finalizzati'!G216-'Entrate tot e finalizzati'!H216</f>
        <v>1114</v>
      </c>
      <c r="F216" s="42">
        <f>+'Entrate tot e finalizzati'!I216-'Entrate tot e finalizzati'!J216</f>
        <v>1750</v>
      </c>
      <c r="G216" s="30">
        <f>+'Entrate tot e finalizzati'!K216-'Entrate tot e finalizzati'!L216</f>
        <v>2017</v>
      </c>
      <c r="H216" s="42">
        <f>+'Entrate tot e finalizzati'!M216-'Entrate tot e finalizzati'!N216</f>
        <v>1520</v>
      </c>
      <c r="I216" s="30">
        <f>+'Entrate tot e finalizzati'!O216-'Entrate tot e finalizzati'!P216</f>
        <v>1535</v>
      </c>
      <c r="J216" s="42">
        <f>+'Entrate tot e finalizzati'!Q216-'Entrate tot e finalizzati'!R216</f>
        <v>1903</v>
      </c>
      <c r="K216" s="30">
        <f>+'Entrate tot e finalizzati'!S216-'Entrate tot e finalizzati'!T216</f>
        <v>2287</v>
      </c>
      <c r="L216" s="42">
        <f>+'Entrate tot e finalizzati'!U216-'Entrate tot e finalizzati'!V216</f>
        <v>2259</v>
      </c>
      <c r="M216" s="33"/>
      <c r="N216" s="33"/>
      <c r="O216" s="33"/>
      <c r="P216" s="33"/>
      <c r="Q216" s="33"/>
      <c r="R216" s="33"/>
      <c r="S216" s="33"/>
      <c r="T216" s="33"/>
    </row>
    <row r="217" spans="1:20" s="2" customFormat="1" ht="12.75">
      <c r="A217" s="43"/>
      <c r="B217" s="101" t="s">
        <v>17</v>
      </c>
      <c r="C217" s="19">
        <f>+'Entrate tot e finalizzati'!C217-'Entrate tot e finalizzati'!D217</f>
        <v>5</v>
      </c>
      <c r="D217" s="42">
        <f>+'Entrate tot e finalizzati'!E217-'Entrate tot e finalizzati'!F217</f>
        <v>7</v>
      </c>
      <c r="E217" s="30">
        <f>+'Entrate tot e finalizzati'!G217-'Entrate tot e finalizzati'!H217</f>
        <v>19</v>
      </c>
      <c r="F217" s="42">
        <f>+'Entrate tot e finalizzati'!I217-'Entrate tot e finalizzati'!J217</f>
        <v>0</v>
      </c>
      <c r="G217" s="30">
        <f>+'Entrate tot e finalizzati'!K217-'Entrate tot e finalizzati'!L217</f>
        <v>0</v>
      </c>
      <c r="H217" s="42">
        <f>+'Entrate tot e finalizzati'!M217-'Entrate tot e finalizzati'!N217</f>
        <v>0</v>
      </c>
      <c r="I217" s="30">
        <f>+'Entrate tot e finalizzati'!O217-'Entrate tot e finalizzati'!P217</f>
        <v>0</v>
      </c>
      <c r="J217" s="42">
        <f>+'Entrate tot e finalizzati'!Q217-'Entrate tot e finalizzati'!R217</f>
        <v>0</v>
      </c>
      <c r="K217" s="30">
        <f>+'Entrate tot e finalizzati'!S217-'Entrate tot e finalizzati'!T217</f>
        <v>0</v>
      </c>
      <c r="L217" s="42">
        <f>+'Entrate tot e finalizzati'!U217-'Entrate tot e finalizzati'!V217</f>
        <v>0</v>
      </c>
      <c r="M217" s="33"/>
      <c r="N217" s="33"/>
      <c r="O217" s="33"/>
      <c r="P217" s="33"/>
      <c r="Q217" s="33"/>
      <c r="R217" s="33"/>
      <c r="S217" s="33"/>
      <c r="T217" s="33"/>
    </row>
    <row r="218" spans="1:20" s="2" customFormat="1" ht="12.75">
      <c r="A218" s="43"/>
      <c r="B218" s="101" t="s">
        <v>30</v>
      </c>
      <c r="C218" s="19">
        <f>+'Entrate tot e finalizzati'!C218-'Entrate tot e finalizzati'!D218</f>
        <v>0</v>
      </c>
      <c r="D218" s="42">
        <f>+'Entrate tot e finalizzati'!E218-'Entrate tot e finalizzati'!F218</f>
        <v>0</v>
      </c>
      <c r="E218" s="30">
        <f>+'Entrate tot e finalizzati'!G218-'Entrate tot e finalizzati'!H218</f>
        <v>0</v>
      </c>
      <c r="F218" s="42">
        <f>+'Entrate tot e finalizzati'!I218-'Entrate tot e finalizzati'!J218</f>
        <v>0</v>
      </c>
      <c r="G218" s="30">
        <f>+'Entrate tot e finalizzati'!K218-'Entrate tot e finalizzati'!L218</f>
        <v>0</v>
      </c>
      <c r="H218" s="42">
        <f>+'Entrate tot e finalizzati'!M218-'Entrate tot e finalizzati'!N218</f>
        <v>0</v>
      </c>
      <c r="I218" s="30">
        <f>+'Entrate tot e finalizzati'!O218-'Entrate tot e finalizzati'!P218</f>
        <v>0</v>
      </c>
      <c r="J218" s="42">
        <f>+'Entrate tot e finalizzati'!Q218-'Entrate tot e finalizzati'!R218</f>
        <v>0</v>
      </c>
      <c r="K218" s="30">
        <f>+'Entrate tot e finalizzati'!S218-'Entrate tot e finalizzati'!T218</f>
        <v>0</v>
      </c>
      <c r="L218" s="42">
        <f>+'Entrate tot e finalizzati'!U218-'Entrate tot e finalizzati'!V218</f>
        <v>0</v>
      </c>
      <c r="M218" s="33"/>
      <c r="N218" s="33"/>
      <c r="O218" s="33"/>
      <c r="P218" s="33"/>
      <c r="Q218" s="33"/>
      <c r="R218" s="33"/>
      <c r="S218" s="33"/>
      <c r="T218" s="33"/>
    </row>
    <row r="219" spans="1:20" s="2" customFormat="1" ht="12.75">
      <c r="A219" s="43"/>
      <c r="B219" s="101" t="s">
        <v>65</v>
      </c>
      <c r="C219" s="19">
        <f>+'Entrate tot e finalizzati'!C219-'Entrate tot e finalizzati'!D219</f>
        <v>0</v>
      </c>
      <c r="D219" s="42">
        <f>+'Entrate tot e finalizzati'!E219-'Entrate tot e finalizzati'!F219</f>
        <v>0</v>
      </c>
      <c r="E219" s="30">
        <f>+'Entrate tot e finalizzati'!G219-'Entrate tot e finalizzati'!H219</f>
        <v>0</v>
      </c>
      <c r="F219" s="42">
        <f>+'Entrate tot e finalizzati'!I219-'Entrate tot e finalizzati'!J219</f>
        <v>0</v>
      </c>
      <c r="G219" s="30">
        <f>+'Entrate tot e finalizzati'!K219-'Entrate tot e finalizzati'!L219</f>
        <v>0</v>
      </c>
      <c r="H219" s="42">
        <f>+'Entrate tot e finalizzati'!M219-'Entrate tot e finalizzati'!N219</f>
        <v>0</v>
      </c>
      <c r="I219" s="30">
        <f>+'Entrate tot e finalizzati'!O219-'Entrate tot e finalizzati'!P219</f>
        <v>0</v>
      </c>
      <c r="J219" s="42">
        <f>+'Entrate tot e finalizzati'!Q219-'Entrate tot e finalizzati'!R219</f>
        <v>0</v>
      </c>
      <c r="K219" s="30">
        <f>+'Entrate tot e finalizzati'!S219-'Entrate tot e finalizzati'!T219</f>
        <v>0</v>
      </c>
      <c r="L219" s="42">
        <f>+'Entrate tot e finalizzati'!U219-'Entrate tot e finalizzati'!V219</f>
        <v>0</v>
      </c>
      <c r="M219" s="33"/>
      <c r="N219" s="33"/>
      <c r="O219" s="33"/>
      <c r="P219" s="33"/>
      <c r="Q219" s="33"/>
      <c r="R219" s="33"/>
      <c r="S219" s="33"/>
      <c r="T219" s="33"/>
    </row>
    <row r="220" spans="1:20" s="2" customFormat="1" ht="12.75">
      <c r="A220" s="23" t="s">
        <v>134</v>
      </c>
      <c r="B220" s="109"/>
      <c r="C220" s="25">
        <f>+'Entrate tot e finalizzati'!C220-'Entrate tot e finalizzati'!D220</f>
        <v>583</v>
      </c>
      <c r="D220" s="25">
        <f>+'Entrate tot e finalizzati'!E220-'Entrate tot e finalizzati'!F220</f>
        <v>972</v>
      </c>
      <c r="E220" s="25">
        <f>+'Entrate tot e finalizzati'!G220-'Entrate tot e finalizzati'!H220</f>
        <v>801</v>
      </c>
      <c r="F220" s="25">
        <f>+'Entrate tot e finalizzati'!I220-'Entrate tot e finalizzati'!J220</f>
        <v>679</v>
      </c>
      <c r="G220" s="25">
        <f>+'Entrate tot e finalizzati'!K220-'Entrate tot e finalizzati'!L220</f>
        <v>504</v>
      </c>
      <c r="H220" s="25">
        <f>+'Entrate tot e finalizzati'!M220-'Entrate tot e finalizzati'!N220</f>
        <v>427</v>
      </c>
      <c r="I220" s="25">
        <f>+'Entrate tot e finalizzati'!O220-'Entrate tot e finalizzati'!P220</f>
        <v>429</v>
      </c>
      <c r="J220" s="25">
        <f>+'Entrate tot e finalizzati'!Q220-'Entrate tot e finalizzati'!R220</f>
        <v>384</v>
      </c>
      <c r="K220" s="25">
        <f>+'Entrate tot e finalizzati'!S220-'Entrate tot e finalizzati'!T220</f>
        <v>231</v>
      </c>
      <c r="L220" s="25">
        <f>+'Entrate tot e finalizzati'!U220-'Entrate tot e finalizzati'!V220</f>
        <v>237</v>
      </c>
      <c r="M220" s="33"/>
      <c r="N220" s="33"/>
      <c r="O220" s="33"/>
      <c r="P220" s="33"/>
      <c r="Q220" s="33"/>
      <c r="R220" s="33"/>
      <c r="S220" s="33"/>
      <c r="T220" s="33"/>
    </row>
    <row r="221" spans="1:20" s="2" customFormat="1" ht="12.75">
      <c r="A221" s="9"/>
      <c r="B221" s="42" t="s">
        <v>15</v>
      </c>
      <c r="C221" s="19">
        <f>+'Entrate tot e finalizzati'!C221-'Entrate tot e finalizzati'!D221</f>
        <v>0</v>
      </c>
      <c r="D221" s="17">
        <f>+'Entrate tot e finalizzati'!E221-'Entrate tot e finalizzati'!F221</f>
        <v>0</v>
      </c>
      <c r="E221" s="21">
        <f>+'Entrate tot e finalizzati'!G221-'Entrate tot e finalizzati'!H221</f>
        <v>0</v>
      </c>
      <c r="F221" s="61">
        <f>+'Entrate tot e finalizzati'!I221-'Entrate tot e finalizzati'!J221</f>
        <v>0</v>
      </c>
      <c r="G221" s="21">
        <f>+'Entrate tot e finalizzati'!K221-'Entrate tot e finalizzati'!L221</f>
        <v>0</v>
      </c>
      <c r="H221" s="61">
        <f>+'Entrate tot e finalizzati'!M221-'Entrate tot e finalizzati'!N221</f>
        <v>0</v>
      </c>
      <c r="I221" s="21">
        <f>+'Entrate tot e finalizzati'!O221-'Entrate tot e finalizzati'!P221</f>
        <v>0</v>
      </c>
      <c r="J221" s="61">
        <f>+'Entrate tot e finalizzati'!Q221-'Entrate tot e finalizzati'!R221</f>
        <v>0</v>
      </c>
      <c r="K221" s="21">
        <f>+'Entrate tot e finalizzati'!S221-'Entrate tot e finalizzati'!T221</f>
        <v>0</v>
      </c>
      <c r="L221" s="61">
        <f>+'Entrate tot e finalizzati'!U221-'Entrate tot e finalizzati'!V221</f>
        <v>0</v>
      </c>
      <c r="M221" s="33"/>
      <c r="N221" s="33"/>
      <c r="O221" s="33"/>
      <c r="P221" s="33"/>
      <c r="Q221" s="33"/>
      <c r="R221" s="33"/>
      <c r="S221" s="33"/>
      <c r="T221" s="33"/>
    </row>
    <row r="222" spans="1:20" s="2" customFormat="1" ht="12.75">
      <c r="A222" s="9"/>
      <c r="B222" s="103" t="s">
        <v>34</v>
      </c>
      <c r="C222" s="19">
        <f>+'Entrate tot e finalizzati'!C222-'Entrate tot e finalizzati'!D222</f>
        <v>0</v>
      </c>
      <c r="D222" s="17">
        <f>+'Entrate tot e finalizzati'!E222-'Entrate tot e finalizzati'!F222</f>
        <v>0</v>
      </c>
      <c r="E222" s="21">
        <f>+'Entrate tot e finalizzati'!G222-'Entrate tot e finalizzati'!H222</f>
        <v>0</v>
      </c>
      <c r="F222" s="61">
        <f>+'Entrate tot e finalizzati'!I222-'Entrate tot e finalizzati'!J222</f>
        <v>0</v>
      </c>
      <c r="G222" s="21">
        <f>+'Entrate tot e finalizzati'!K222-'Entrate tot e finalizzati'!L222</f>
        <v>0</v>
      </c>
      <c r="H222" s="61">
        <f>+'Entrate tot e finalizzati'!M222-'Entrate tot e finalizzati'!N222</f>
        <v>0</v>
      </c>
      <c r="I222" s="21">
        <f>+'Entrate tot e finalizzati'!O222-'Entrate tot e finalizzati'!P222</f>
        <v>0</v>
      </c>
      <c r="J222" s="61">
        <f>+'Entrate tot e finalizzati'!Q222-'Entrate tot e finalizzati'!R222</f>
        <v>0</v>
      </c>
      <c r="K222" s="21">
        <f>+'Entrate tot e finalizzati'!S222-'Entrate tot e finalizzati'!T222</f>
        <v>0</v>
      </c>
      <c r="L222" s="61">
        <f>+'Entrate tot e finalizzati'!U222-'Entrate tot e finalizzati'!V222</f>
        <v>0</v>
      </c>
      <c r="M222" s="33"/>
      <c r="N222" s="33"/>
      <c r="O222" s="33"/>
      <c r="P222" s="33"/>
      <c r="Q222" s="33"/>
      <c r="R222" s="33"/>
      <c r="S222" s="33"/>
      <c r="T222" s="33"/>
    </row>
    <row r="223" spans="1:20" s="2" customFormat="1" ht="12.75">
      <c r="A223" s="9"/>
      <c r="B223" s="101" t="s">
        <v>59</v>
      </c>
      <c r="C223" s="19">
        <f>+'Entrate tot e finalizzati'!C223-'Entrate tot e finalizzati'!D223</f>
        <v>148</v>
      </c>
      <c r="D223" s="17">
        <f>+'Entrate tot e finalizzati'!E223-'Entrate tot e finalizzati'!F223</f>
        <v>120</v>
      </c>
      <c r="E223" s="21">
        <f>+'Entrate tot e finalizzati'!G223-'Entrate tot e finalizzati'!H223</f>
        <v>91</v>
      </c>
      <c r="F223" s="19">
        <f>+'Entrate tot e finalizzati'!I223-'Entrate tot e finalizzati'!J223</f>
        <v>83</v>
      </c>
      <c r="G223" s="21">
        <f>+'Entrate tot e finalizzati'!K223-'Entrate tot e finalizzati'!L223</f>
        <v>58</v>
      </c>
      <c r="H223" s="19">
        <f>+'Entrate tot e finalizzati'!M223-'Entrate tot e finalizzati'!N223</f>
        <v>0</v>
      </c>
      <c r="I223" s="21">
        <f>+'Entrate tot e finalizzati'!O223-'Entrate tot e finalizzati'!P223</f>
        <v>0</v>
      </c>
      <c r="J223" s="19">
        <f>+'Entrate tot e finalizzati'!Q223-'Entrate tot e finalizzati'!R223</f>
        <v>0</v>
      </c>
      <c r="K223" s="21">
        <f>+'Entrate tot e finalizzati'!S223-'Entrate tot e finalizzati'!T223</f>
        <v>0</v>
      </c>
      <c r="L223" s="19">
        <f>+'Entrate tot e finalizzati'!U223-'Entrate tot e finalizzati'!V223</f>
        <v>0</v>
      </c>
      <c r="M223" s="33"/>
      <c r="N223" s="33"/>
      <c r="O223" s="33"/>
      <c r="P223" s="33"/>
      <c r="Q223" s="33"/>
      <c r="R223" s="33"/>
      <c r="S223" s="33"/>
      <c r="T223" s="33"/>
    </row>
    <row r="224" spans="1:20" s="2" customFormat="1" ht="12.75">
      <c r="A224" s="9"/>
      <c r="B224" s="101" t="s">
        <v>65</v>
      </c>
      <c r="C224" s="19">
        <f>+'Entrate tot e finalizzati'!C224-'Entrate tot e finalizzati'!D224</f>
        <v>0</v>
      </c>
      <c r="D224" s="17">
        <f>+'Entrate tot e finalizzati'!E224-'Entrate tot e finalizzati'!F224</f>
        <v>0</v>
      </c>
      <c r="E224" s="21">
        <f>+'Entrate tot e finalizzati'!G224-'Entrate tot e finalizzati'!H224</f>
        <v>0</v>
      </c>
      <c r="F224" s="19">
        <f>+'Entrate tot e finalizzati'!I224-'Entrate tot e finalizzati'!J224</f>
        <v>0</v>
      </c>
      <c r="G224" s="21">
        <f>+'Entrate tot e finalizzati'!K224-'Entrate tot e finalizzati'!L224</f>
        <v>0</v>
      </c>
      <c r="H224" s="19">
        <f>+'Entrate tot e finalizzati'!M224-'Entrate tot e finalizzati'!N224</f>
        <v>0</v>
      </c>
      <c r="I224" s="21">
        <f>+'Entrate tot e finalizzati'!O224-'Entrate tot e finalizzati'!P224</f>
        <v>0</v>
      </c>
      <c r="J224" s="19">
        <f>+'Entrate tot e finalizzati'!Q224-'Entrate tot e finalizzati'!R224</f>
        <v>0</v>
      </c>
      <c r="K224" s="21">
        <f>+'Entrate tot e finalizzati'!S224-'Entrate tot e finalizzati'!T224</f>
        <v>0</v>
      </c>
      <c r="L224" s="19">
        <f>+'Entrate tot e finalizzati'!U224-'Entrate tot e finalizzati'!V224</f>
        <v>0</v>
      </c>
      <c r="M224" s="33"/>
      <c r="N224" s="33"/>
      <c r="O224" s="33"/>
      <c r="P224" s="33"/>
      <c r="Q224" s="33"/>
      <c r="R224" s="33"/>
      <c r="S224" s="33"/>
      <c r="T224" s="33"/>
    </row>
    <row r="225" spans="1:20" s="2" customFormat="1" ht="12.75">
      <c r="A225" s="9"/>
      <c r="B225" s="101" t="s">
        <v>53</v>
      </c>
      <c r="C225" s="19">
        <f>+'Entrate tot e finalizzati'!C225-'Entrate tot e finalizzati'!D225</f>
        <v>0</v>
      </c>
      <c r="D225" s="42">
        <f>+'Entrate tot e finalizzati'!E225-'Entrate tot e finalizzati'!F225</f>
        <v>132</v>
      </c>
      <c r="E225" s="31">
        <f>+'Entrate tot e finalizzati'!G225-'Entrate tot e finalizzati'!H225</f>
        <v>0</v>
      </c>
      <c r="F225" s="42">
        <f>+'Entrate tot e finalizzati'!I225-'Entrate tot e finalizzati'!J225</f>
        <v>0</v>
      </c>
      <c r="G225" s="31">
        <f>+'Entrate tot e finalizzati'!K225-'Entrate tot e finalizzati'!L225</f>
        <v>0</v>
      </c>
      <c r="H225" s="42">
        <f>+'Entrate tot e finalizzati'!M225-'Entrate tot e finalizzati'!N225</f>
        <v>0</v>
      </c>
      <c r="I225" s="31">
        <f>+'Entrate tot e finalizzati'!O225-'Entrate tot e finalizzati'!P225</f>
        <v>0</v>
      </c>
      <c r="J225" s="42">
        <f>+'Entrate tot e finalizzati'!Q225-'Entrate tot e finalizzati'!R225</f>
        <v>0</v>
      </c>
      <c r="K225" s="31">
        <f>+'Entrate tot e finalizzati'!S225-'Entrate tot e finalizzati'!T225</f>
        <v>0</v>
      </c>
      <c r="L225" s="42">
        <f>+'Entrate tot e finalizzati'!U225-'Entrate tot e finalizzati'!V225</f>
        <v>0</v>
      </c>
      <c r="M225" s="33"/>
      <c r="N225" s="33"/>
      <c r="O225" s="33"/>
      <c r="P225" s="33"/>
      <c r="Q225" s="33"/>
      <c r="R225" s="33"/>
      <c r="S225" s="33"/>
      <c r="T225" s="33"/>
    </row>
    <row r="226" spans="1:20" s="2" customFormat="1" ht="12.75">
      <c r="A226" s="9"/>
      <c r="B226" s="101" t="s">
        <v>107</v>
      </c>
      <c r="C226" s="19">
        <f>+'Entrate tot e finalizzati'!C226-'Entrate tot e finalizzati'!D226</f>
        <v>0</v>
      </c>
      <c r="D226" s="42">
        <f>+'Entrate tot e finalizzati'!E226-'Entrate tot e finalizzati'!F226</f>
        <v>296</v>
      </c>
      <c r="E226" s="31">
        <f>+'Entrate tot e finalizzati'!G226-'Entrate tot e finalizzati'!H226</f>
        <v>252</v>
      </c>
      <c r="F226" s="42">
        <f>+'Entrate tot e finalizzati'!I226-'Entrate tot e finalizzati'!J226</f>
        <v>107</v>
      </c>
      <c r="G226" s="31">
        <f>+'Entrate tot e finalizzati'!K226-'Entrate tot e finalizzati'!L226</f>
        <v>0</v>
      </c>
      <c r="H226" s="42">
        <f>+'Entrate tot e finalizzati'!M226-'Entrate tot e finalizzati'!N226</f>
        <v>0</v>
      </c>
      <c r="I226" s="31">
        <f>+'Entrate tot e finalizzati'!O226-'Entrate tot e finalizzati'!P226</f>
        <v>0</v>
      </c>
      <c r="J226" s="42">
        <f>+'Entrate tot e finalizzati'!Q226-'Entrate tot e finalizzati'!R226</f>
        <v>0</v>
      </c>
      <c r="K226" s="31">
        <f>+'Entrate tot e finalizzati'!S226-'Entrate tot e finalizzati'!T226</f>
        <v>0</v>
      </c>
      <c r="L226" s="42">
        <f>+'Entrate tot e finalizzati'!U226-'Entrate tot e finalizzati'!V226</f>
        <v>0</v>
      </c>
      <c r="M226" s="33"/>
      <c r="N226" s="33"/>
      <c r="O226" s="33"/>
      <c r="P226" s="33"/>
      <c r="Q226" s="33"/>
      <c r="R226" s="33"/>
      <c r="S226" s="33"/>
      <c r="T226" s="33"/>
    </row>
    <row r="227" spans="1:20" s="2" customFormat="1" ht="12.75">
      <c r="A227" s="9"/>
      <c r="B227" s="17" t="s">
        <v>71</v>
      </c>
      <c r="C227" s="19">
        <f>+'Entrate tot e finalizzati'!C227-'Entrate tot e finalizzati'!D227</f>
        <v>435</v>
      </c>
      <c r="D227" s="17">
        <f>+'Entrate tot e finalizzati'!E227-'Entrate tot e finalizzati'!F227</f>
        <v>424</v>
      </c>
      <c r="E227" s="21">
        <f>+'Entrate tot e finalizzati'!G227-'Entrate tot e finalizzati'!H227</f>
        <v>454</v>
      </c>
      <c r="F227" s="19">
        <f>+'Entrate tot e finalizzati'!I227-'Entrate tot e finalizzati'!J227</f>
        <v>489</v>
      </c>
      <c r="G227" s="21">
        <f>+'Entrate tot e finalizzati'!K227-'Entrate tot e finalizzati'!L227</f>
        <v>446</v>
      </c>
      <c r="H227" s="19">
        <f>+'Entrate tot e finalizzati'!M227-'Entrate tot e finalizzati'!N227</f>
        <v>427</v>
      </c>
      <c r="I227" s="21">
        <f>+'Entrate tot e finalizzati'!O227-'Entrate tot e finalizzati'!P227</f>
        <v>429</v>
      </c>
      <c r="J227" s="19">
        <f>+'Entrate tot e finalizzati'!Q227-'Entrate tot e finalizzati'!R227</f>
        <v>384</v>
      </c>
      <c r="K227" s="21">
        <f>+'Entrate tot e finalizzati'!S227-'Entrate tot e finalizzati'!T227</f>
        <v>231</v>
      </c>
      <c r="L227" s="19">
        <f>+'Entrate tot e finalizzati'!U227-'Entrate tot e finalizzati'!V227</f>
        <v>237</v>
      </c>
      <c r="M227" s="33"/>
      <c r="N227" s="33"/>
      <c r="O227" s="33"/>
      <c r="P227" s="33"/>
      <c r="Q227" s="33"/>
      <c r="R227" s="33"/>
      <c r="S227" s="33"/>
      <c r="T227" s="33"/>
    </row>
    <row r="228" spans="1:20" s="2" customFormat="1" ht="12.75">
      <c r="A228" s="47"/>
      <c r="B228" s="102" t="s">
        <v>60</v>
      </c>
      <c r="C228" s="85">
        <f>+'Entrate tot e finalizzati'!C228-'Entrate tot e finalizzati'!D228</f>
        <v>0</v>
      </c>
      <c r="D228" s="32">
        <f>+'Entrate tot e finalizzati'!E228-'Entrate tot e finalizzati'!F228</f>
        <v>0</v>
      </c>
      <c r="E228" s="32">
        <f>+'Entrate tot e finalizzati'!G228-'Entrate tot e finalizzati'!H228</f>
        <v>4</v>
      </c>
      <c r="F228" s="32">
        <f>+'Entrate tot e finalizzati'!I228-'Entrate tot e finalizzati'!J228</f>
        <v>0</v>
      </c>
      <c r="G228" s="32">
        <f>+'Entrate tot e finalizzati'!K228-'Entrate tot e finalizzati'!L228</f>
        <v>0</v>
      </c>
      <c r="H228" s="32">
        <f>+'Entrate tot e finalizzati'!M228-'Entrate tot e finalizzati'!N228</f>
        <v>0</v>
      </c>
      <c r="I228" s="32">
        <f>+'Entrate tot e finalizzati'!O228-'Entrate tot e finalizzati'!P228</f>
        <v>0</v>
      </c>
      <c r="J228" s="32">
        <f>+'Entrate tot e finalizzati'!Q228-'Entrate tot e finalizzati'!R228</f>
        <v>0</v>
      </c>
      <c r="K228" s="32">
        <f>+'Entrate tot e finalizzati'!S228-'Entrate tot e finalizzati'!T228</f>
        <v>0</v>
      </c>
      <c r="L228" s="32">
        <f>+'Entrate tot e finalizzati'!U228-'Entrate tot e finalizzati'!V228</f>
        <v>0</v>
      </c>
      <c r="M228" s="33"/>
      <c r="N228" s="33"/>
      <c r="O228" s="33"/>
      <c r="P228" s="33"/>
      <c r="Q228" s="33"/>
      <c r="R228" s="33"/>
      <c r="S228" s="33"/>
      <c r="T228" s="33"/>
    </row>
    <row r="229" spans="1:20" s="2" customFormat="1" ht="12.75">
      <c r="A229" s="65" t="s">
        <v>135</v>
      </c>
      <c r="B229" s="107"/>
      <c r="C229" s="89">
        <f>+'Entrate tot e finalizzati'!C229-'Entrate tot e finalizzati'!D229</f>
        <v>20321</v>
      </c>
      <c r="D229" s="89">
        <f>+'Entrate tot e finalizzati'!E229-'Entrate tot e finalizzati'!F229</f>
        <v>15225</v>
      </c>
      <c r="E229" s="89">
        <f>+'Entrate tot e finalizzati'!G229-'Entrate tot e finalizzati'!H229</f>
        <v>10875</v>
      </c>
      <c r="F229" s="89">
        <f>+'Entrate tot e finalizzati'!I229-'Entrate tot e finalizzati'!J229</f>
        <v>8689</v>
      </c>
      <c r="G229" s="89">
        <f>+'Entrate tot e finalizzati'!K229-'Entrate tot e finalizzati'!L229</f>
        <v>9776</v>
      </c>
      <c r="H229" s="89">
        <f>+'Entrate tot e finalizzati'!M229-'Entrate tot e finalizzati'!N229</f>
        <v>11037</v>
      </c>
      <c r="I229" s="89">
        <f>+'Entrate tot e finalizzati'!O229-'Entrate tot e finalizzati'!P229</f>
        <v>12559</v>
      </c>
      <c r="J229" s="89">
        <f>+'Entrate tot e finalizzati'!Q229-'Entrate tot e finalizzati'!R229</f>
        <v>12314</v>
      </c>
      <c r="K229" s="89">
        <f>+'Entrate tot e finalizzati'!S229-'Entrate tot e finalizzati'!T229</f>
        <v>12436</v>
      </c>
      <c r="L229" s="89">
        <f>+'Entrate tot e finalizzati'!U229-'Entrate tot e finalizzati'!V229</f>
        <v>12673</v>
      </c>
      <c r="M229" s="33"/>
      <c r="N229" s="33"/>
      <c r="O229" s="33"/>
      <c r="P229" s="33"/>
      <c r="Q229" s="33"/>
      <c r="R229" s="33"/>
      <c r="S229" s="33"/>
      <c r="T229" s="33"/>
    </row>
    <row r="230" spans="1:20" s="2" customFormat="1" ht="12.75">
      <c r="A230" s="43"/>
      <c r="B230" s="101" t="s">
        <v>13</v>
      </c>
      <c r="C230" s="19">
        <f>+'Entrate tot e finalizzati'!C230-'Entrate tot e finalizzati'!D230</f>
        <v>20021</v>
      </c>
      <c r="D230" s="17">
        <f>+'Entrate tot e finalizzati'!E230-'Entrate tot e finalizzati'!F230</f>
        <v>15225</v>
      </c>
      <c r="E230" s="19">
        <f>+'Entrate tot e finalizzati'!G230-'Entrate tot e finalizzati'!H230</f>
        <v>10875</v>
      </c>
      <c r="F230" s="17">
        <f>+'Entrate tot e finalizzati'!I230-'Entrate tot e finalizzati'!J230</f>
        <v>8689</v>
      </c>
      <c r="G230" s="19">
        <f>+'Entrate tot e finalizzati'!K230-'Entrate tot e finalizzati'!L230</f>
        <v>9776</v>
      </c>
      <c r="H230" s="17">
        <f>+'Entrate tot e finalizzati'!M230-'Entrate tot e finalizzati'!N230</f>
        <v>11037</v>
      </c>
      <c r="I230" s="19">
        <f>+'Entrate tot e finalizzati'!O230-'Entrate tot e finalizzati'!P230</f>
        <v>12559</v>
      </c>
      <c r="J230" s="17">
        <f>+'Entrate tot e finalizzati'!Q230-'Entrate tot e finalizzati'!R230</f>
        <v>12281</v>
      </c>
      <c r="K230" s="19">
        <f>+'Entrate tot e finalizzati'!S230-'Entrate tot e finalizzati'!T230</f>
        <v>12436</v>
      </c>
      <c r="L230" s="17">
        <f>+'Entrate tot e finalizzati'!U230-'Entrate tot e finalizzati'!V230</f>
        <v>12673</v>
      </c>
      <c r="M230" s="33"/>
      <c r="N230" s="33"/>
      <c r="O230" s="33"/>
      <c r="P230" s="33"/>
      <c r="Q230" s="33"/>
      <c r="R230" s="33"/>
      <c r="S230" s="33"/>
      <c r="T230" s="33"/>
    </row>
    <row r="231" spans="1:20" s="2" customFormat="1" ht="12.75">
      <c r="A231" s="47"/>
      <c r="B231" s="102" t="s">
        <v>14</v>
      </c>
      <c r="C231" s="20">
        <f>+'Entrate tot e finalizzati'!C231-'Entrate tot e finalizzati'!D231</f>
        <v>300</v>
      </c>
      <c r="D231" s="48">
        <f>+'Entrate tot e finalizzati'!E231-'Entrate tot e finalizzati'!F231</f>
        <v>0</v>
      </c>
      <c r="E231" s="32">
        <f>+'Entrate tot e finalizzati'!G231-'Entrate tot e finalizzati'!H231</f>
        <v>0</v>
      </c>
      <c r="F231" s="48">
        <f>+'Entrate tot e finalizzati'!I231-'Entrate tot e finalizzati'!J231</f>
        <v>0</v>
      </c>
      <c r="G231" s="32">
        <f>+'Entrate tot e finalizzati'!K231-'Entrate tot e finalizzati'!L231</f>
        <v>0</v>
      </c>
      <c r="H231" s="48">
        <f>+'Entrate tot e finalizzati'!M231-'Entrate tot e finalizzati'!N231</f>
        <v>0</v>
      </c>
      <c r="I231" s="32">
        <f>+'Entrate tot e finalizzati'!O231-'Entrate tot e finalizzati'!P231</f>
        <v>0</v>
      </c>
      <c r="J231" s="48">
        <f>+'Entrate tot e finalizzati'!Q231-'Entrate tot e finalizzati'!R231</f>
        <v>33</v>
      </c>
      <c r="K231" s="32">
        <f>+'Entrate tot e finalizzati'!S231-'Entrate tot e finalizzati'!T231</f>
        <v>0</v>
      </c>
      <c r="L231" s="48">
        <f>+'Entrate tot e finalizzati'!U231-'Entrate tot e finalizzati'!V231</f>
        <v>0</v>
      </c>
      <c r="M231" s="33"/>
      <c r="N231" s="33"/>
      <c r="O231" s="33"/>
      <c r="P231" s="33"/>
      <c r="Q231" s="33"/>
      <c r="R231" s="33"/>
      <c r="S231" s="33"/>
      <c r="T231" s="33"/>
    </row>
    <row r="232" spans="1:20" s="2" customFormat="1" ht="12.75">
      <c r="A232" s="65" t="s">
        <v>11</v>
      </c>
      <c r="B232" s="107"/>
      <c r="C232" s="89">
        <f>+'Entrate tot e finalizzati'!C232-'Entrate tot e finalizzati'!D232</f>
        <v>18313</v>
      </c>
      <c r="D232" s="89">
        <f>+'Entrate tot e finalizzati'!E232-'Entrate tot e finalizzati'!F232</f>
        <v>18919</v>
      </c>
      <c r="E232" s="89">
        <f>+'Entrate tot e finalizzati'!G232-'Entrate tot e finalizzati'!H232</f>
        <v>19923</v>
      </c>
      <c r="F232" s="89">
        <f>+'Entrate tot e finalizzati'!I232-'Entrate tot e finalizzati'!J232</f>
        <v>25950</v>
      </c>
      <c r="G232" s="89">
        <f>+'Entrate tot e finalizzati'!K232-'Entrate tot e finalizzati'!L232</f>
        <v>25052</v>
      </c>
      <c r="H232" s="89">
        <f>+'Entrate tot e finalizzati'!M232-'Entrate tot e finalizzati'!N232</f>
        <v>13927</v>
      </c>
      <c r="I232" s="89">
        <f>+'Entrate tot e finalizzati'!O232-'Entrate tot e finalizzati'!P232</f>
        <v>14095</v>
      </c>
      <c r="J232" s="89">
        <f>+'Entrate tot e finalizzati'!Q232-'Entrate tot e finalizzati'!R232</f>
        <v>18056</v>
      </c>
      <c r="K232" s="89">
        <f>+'Entrate tot e finalizzati'!S232-'Entrate tot e finalizzati'!T232</f>
        <v>17195</v>
      </c>
      <c r="L232" s="89">
        <f>+'Entrate tot e finalizzati'!U232-'Entrate tot e finalizzati'!V232</f>
        <v>15171</v>
      </c>
      <c r="M232" s="33"/>
      <c r="N232" s="33"/>
      <c r="O232" s="33"/>
      <c r="P232" s="33"/>
      <c r="Q232" s="33"/>
      <c r="R232" s="33"/>
      <c r="S232" s="33"/>
      <c r="T232" s="33"/>
    </row>
    <row r="233" spans="1:20" s="2" customFormat="1" ht="12.75">
      <c r="A233" s="64" t="s">
        <v>139</v>
      </c>
      <c r="B233" s="112"/>
      <c r="C233" s="28">
        <f>+'Entrate tot e finalizzati'!C233-'Entrate tot e finalizzati'!D233</f>
        <v>18313</v>
      </c>
      <c r="D233" s="28">
        <f>+'Entrate tot e finalizzati'!E233-'Entrate tot e finalizzati'!F233</f>
        <v>18919</v>
      </c>
      <c r="E233" s="28">
        <f>+'Entrate tot e finalizzati'!G233-'Entrate tot e finalizzati'!H233</f>
        <v>19922</v>
      </c>
      <c r="F233" s="28">
        <f>+'Entrate tot e finalizzati'!I233-'Entrate tot e finalizzati'!J233</f>
        <v>25950</v>
      </c>
      <c r="G233" s="28">
        <f>+'Entrate tot e finalizzati'!K233-'Entrate tot e finalizzati'!L233</f>
        <v>25052</v>
      </c>
      <c r="H233" s="28">
        <f>+'Entrate tot e finalizzati'!M233-'Entrate tot e finalizzati'!N233</f>
        <v>13927</v>
      </c>
      <c r="I233" s="28">
        <f>+'Entrate tot e finalizzati'!O233-'Entrate tot e finalizzati'!P233</f>
        <v>14085</v>
      </c>
      <c r="J233" s="28">
        <f>+'Entrate tot e finalizzati'!Q233-'Entrate tot e finalizzati'!R233</f>
        <v>18044</v>
      </c>
      <c r="K233" s="28">
        <f>+'Entrate tot e finalizzati'!S233-'Entrate tot e finalizzati'!T233</f>
        <v>17193</v>
      </c>
      <c r="L233" s="28">
        <f>+'Entrate tot e finalizzati'!U233-'Entrate tot e finalizzati'!V233</f>
        <v>15164</v>
      </c>
      <c r="M233" s="33"/>
      <c r="N233" s="33"/>
      <c r="O233" s="33"/>
      <c r="P233" s="33"/>
      <c r="Q233" s="33"/>
      <c r="R233" s="33"/>
      <c r="S233" s="33"/>
      <c r="T233" s="33"/>
    </row>
    <row r="234" spans="1:20" s="2" customFormat="1" ht="12.75">
      <c r="A234" s="43"/>
      <c r="B234" s="42" t="s">
        <v>60</v>
      </c>
      <c r="C234" s="31">
        <f>+'Entrate tot e finalizzati'!C234-'Entrate tot e finalizzati'!D234</f>
        <v>0</v>
      </c>
      <c r="D234" s="39">
        <f>+'Entrate tot e finalizzati'!E234-'Entrate tot e finalizzati'!F234</f>
        <v>0</v>
      </c>
      <c r="E234" s="30">
        <f>+'Entrate tot e finalizzati'!G234-'Entrate tot e finalizzati'!H234</f>
        <v>0</v>
      </c>
      <c r="F234" s="31">
        <f>+'Entrate tot e finalizzati'!I234-'Entrate tot e finalizzati'!J234</f>
        <v>0</v>
      </c>
      <c r="G234" s="30">
        <f>+'Entrate tot e finalizzati'!K234-'Entrate tot e finalizzati'!L234</f>
        <v>0</v>
      </c>
      <c r="H234" s="30">
        <f>+'Entrate tot e finalizzati'!M234-'Entrate tot e finalizzati'!N234</f>
        <v>0</v>
      </c>
      <c r="I234" s="30">
        <f>+'Entrate tot e finalizzati'!O234-'Entrate tot e finalizzati'!P234</f>
        <v>0</v>
      </c>
      <c r="J234" s="30">
        <f>+'Entrate tot e finalizzati'!Q234-'Entrate tot e finalizzati'!R234</f>
        <v>1000</v>
      </c>
      <c r="K234" s="30">
        <f>+'Entrate tot e finalizzati'!S234-'Entrate tot e finalizzati'!T234</f>
        <v>0</v>
      </c>
      <c r="L234" s="30">
        <f>+'Entrate tot e finalizzati'!U234-'Entrate tot e finalizzati'!V234</f>
        <v>0</v>
      </c>
      <c r="M234" s="33"/>
      <c r="N234" s="33"/>
      <c r="O234" s="33"/>
      <c r="P234" s="33"/>
      <c r="Q234" s="33"/>
      <c r="R234" s="33"/>
      <c r="S234" s="33"/>
      <c r="T234" s="33"/>
    </row>
    <row r="235" spans="1:20" s="2" customFormat="1" ht="12.75">
      <c r="A235" s="43"/>
      <c r="B235" s="101" t="s">
        <v>21</v>
      </c>
      <c r="C235" s="19">
        <f>+'Entrate tot e finalizzati'!C235-'Entrate tot e finalizzati'!D235</f>
        <v>2083</v>
      </c>
      <c r="D235" s="39">
        <f>+'Entrate tot e finalizzati'!E235-'Entrate tot e finalizzati'!F235</f>
        <v>2066</v>
      </c>
      <c r="E235" s="30">
        <f>+'Entrate tot e finalizzati'!G235-'Entrate tot e finalizzati'!H235</f>
        <v>2212</v>
      </c>
      <c r="F235" s="39">
        <f>+'Entrate tot e finalizzati'!I235-'Entrate tot e finalizzati'!J235</f>
        <v>2521</v>
      </c>
      <c r="G235" s="30">
        <f>+'Entrate tot e finalizzati'!K235-'Entrate tot e finalizzati'!L235</f>
        <v>1685</v>
      </c>
      <c r="H235" s="39">
        <f>+'Entrate tot e finalizzati'!M235-'Entrate tot e finalizzati'!N235</f>
        <v>2525</v>
      </c>
      <c r="I235" s="30">
        <f>+'Entrate tot e finalizzati'!O235-'Entrate tot e finalizzati'!P235</f>
        <v>2326</v>
      </c>
      <c r="J235" s="39">
        <f>+'Entrate tot e finalizzati'!Q235-'Entrate tot e finalizzati'!R235</f>
        <v>2495</v>
      </c>
      <c r="K235" s="30">
        <f>+'Entrate tot e finalizzati'!S235-'Entrate tot e finalizzati'!T235</f>
        <v>1397</v>
      </c>
      <c r="L235" s="39">
        <f>+'Entrate tot e finalizzati'!U235-'Entrate tot e finalizzati'!V235</f>
        <v>1397</v>
      </c>
      <c r="M235" s="33"/>
      <c r="N235" s="33"/>
      <c r="O235" s="33"/>
      <c r="P235" s="33"/>
      <c r="Q235" s="33"/>
      <c r="R235" s="33"/>
      <c r="S235" s="33"/>
      <c r="T235" s="33"/>
    </row>
    <row r="236" spans="1:20" s="2" customFormat="1" ht="12.75">
      <c r="A236" s="43"/>
      <c r="B236" s="101" t="s">
        <v>95</v>
      </c>
      <c r="C236" s="31">
        <f>+'Entrate tot e finalizzati'!C236-'Entrate tot e finalizzati'!D236</f>
        <v>0</v>
      </c>
      <c r="D236" s="39">
        <f>+'Entrate tot e finalizzati'!E236-'Entrate tot e finalizzati'!F236</f>
        <v>0</v>
      </c>
      <c r="E236" s="30">
        <f>+'Entrate tot e finalizzati'!G236-'Entrate tot e finalizzati'!H236</f>
        <v>0</v>
      </c>
      <c r="F236" s="31">
        <f>+'Entrate tot e finalizzati'!I236-'Entrate tot e finalizzati'!J236</f>
        <v>0</v>
      </c>
      <c r="G236" s="30">
        <f>+'Entrate tot e finalizzati'!K236-'Entrate tot e finalizzati'!L236</f>
        <v>0</v>
      </c>
      <c r="H236" s="31">
        <f>+'Entrate tot e finalizzati'!M236-'Entrate tot e finalizzati'!N236</f>
        <v>0</v>
      </c>
      <c r="I236" s="30">
        <f>+'Entrate tot e finalizzati'!O236-'Entrate tot e finalizzati'!P236</f>
        <v>0</v>
      </c>
      <c r="J236" s="31">
        <f>+'Entrate tot e finalizzati'!Q236-'Entrate tot e finalizzati'!R236</f>
        <v>0</v>
      </c>
      <c r="K236" s="30">
        <f>+'Entrate tot e finalizzati'!S236-'Entrate tot e finalizzati'!T236</f>
        <v>0</v>
      </c>
      <c r="L236" s="30">
        <f>+'Entrate tot e finalizzati'!U236-'Entrate tot e finalizzati'!V236</f>
        <v>0</v>
      </c>
      <c r="M236" s="33"/>
      <c r="N236" s="33"/>
      <c r="O236" s="33"/>
      <c r="P236" s="33"/>
      <c r="Q236" s="33"/>
      <c r="R236" s="33"/>
      <c r="S236" s="33"/>
      <c r="T236" s="33"/>
    </row>
    <row r="237" spans="1:20" s="2" customFormat="1" ht="12.75">
      <c r="A237" s="43"/>
      <c r="B237" s="101" t="s">
        <v>59</v>
      </c>
      <c r="C237" s="31">
        <f>+'Entrate tot e finalizzati'!C237-'Entrate tot e finalizzati'!D237</f>
        <v>0</v>
      </c>
      <c r="D237" s="39">
        <f>+'Entrate tot e finalizzati'!E237-'Entrate tot e finalizzati'!F237</f>
        <v>0</v>
      </c>
      <c r="E237" s="30">
        <f>+'Entrate tot e finalizzati'!G237-'Entrate tot e finalizzati'!H237</f>
        <v>0</v>
      </c>
      <c r="F237" s="31">
        <f>+'Entrate tot e finalizzati'!I237-'Entrate tot e finalizzati'!J237</f>
        <v>5115</v>
      </c>
      <c r="G237" s="30">
        <f>+'Entrate tot e finalizzati'!K237-'Entrate tot e finalizzati'!L237</f>
        <v>3409</v>
      </c>
      <c r="H237" s="31">
        <f>+'Entrate tot e finalizzati'!M237-'Entrate tot e finalizzati'!N237</f>
        <v>2692</v>
      </c>
      <c r="I237" s="30">
        <f>+'Entrate tot e finalizzati'!O237-'Entrate tot e finalizzati'!P237</f>
        <v>2700</v>
      </c>
      <c r="J237" s="31">
        <f>+'Entrate tot e finalizzati'!Q237-'Entrate tot e finalizzati'!R237</f>
        <v>2700</v>
      </c>
      <c r="K237" s="30">
        <f>+'Entrate tot e finalizzati'!S237-'Entrate tot e finalizzati'!T237</f>
        <v>3004</v>
      </c>
      <c r="L237" s="31">
        <f>+'Entrate tot e finalizzati'!U237-'Entrate tot e finalizzati'!V237</f>
        <v>2143</v>
      </c>
      <c r="M237" s="33"/>
      <c r="N237" s="33"/>
      <c r="O237" s="33"/>
      <c r="P237" s="33"/>
      <c r="Q237" s="33"/>
      <c r="R237" s="33"/>
      <c r="S237" s="33"/>
      <c r="T237" s="33"/>
    </row>
    <row r="238" spans="1:20" s="2" customFormat="1" ht="12.75">
      <c r="A238" s="43"/>
      <c r="B238" s="42" t="s">
        <v>20</v>
      </c>
      <c r="C238" s="19">
        <f>+'Entrate tot e finalizzati'!C238-'Entrate tot e finalizzati'!D238</f>
        <v>2849</v>
      </c>
      <c r="D238" s="31">
        <f>+'Entrate tot e finalizzati'!E238-'Entrate tot e finalizzati'!F238</f>
        <v>2993</v>
      </c>
      <c r="E238" s="60">
        <f>+'Entrate tot e finalizzati'!G238-'Entrate tot e finalizzati'!H238</f>
        <v>2900</v>
      </c>
      <c r="F238" s="31">
        <f>+'Entrate tot e finalizzati'!I238-'Entrate tot e finalizzati'!J238</f>
        <v>3100</v>
      </c>
      <c r="G238" s="60">
        <f>+'Entrate tot e finalizzati'!K238-'Entrate tot e finalizzati'!L238</f>
        <v>3450</v>
      </c>
      <c r="H238" s="31">
        <f>+'Entrate tot e finalizzati'!M238-'Entrate tot e finalizzati'!N238</f>
        <v>3600</v>
      </c>
      <c r="I238" s="60">
        <f>+'Entrate tot e finalizzati'!O238-'Entrate tot e finalizzati'!P238</f>
        <v>3650</v>
      </c>
      <c r="J238" s="31">
        <f>+'Entrate tot e finalizzati'!Q238-'Entrate tot e finalizzati'!R238</f>
        <v>3900</v>
      </c>
      <c r="K238" s="60">
        <f>+'Entrate tot e finalizzati'!S238-'Entrate tot e finalizzati'!T238</f>
        <v>3900</v>
      </c>
      <c r="L238" s="31">
        <f>+'Entrate tot e finalizzati'!U238-'Entrate tot e finalizzati'!V238</f>
        <v>4050</v>
      </c>
      <c r="M238" s="93"/>
      <c r="N238" s="93"/>
      <c r="O238" s="93"/>
      <c r="P238" s="93"/>
      <c r="Q238" s="93"/>
      <c r="R238" s="93"/>
      <c r="S238" s="93"/>
      <c r="T238" s="93"/>
    </row>
    <row r="239" spans="1:20" s="2" customFormat="1" ht="12.75">
      <c r="A239" s="43"/>
      <c r="B239" s="42" t="s">
        <v>92</v>
      </c>
      <c r="C239" s="30">
        <f>+'Entrate tot e finalizzati'!C239-'Entrate tot e finalizzati'!D239</f>
        <v>1773</v>
      </c>
      <c r="D239" s="30">
        <f>+'Entrate tot e finalizzati'!E239-'Entrate tot e finalizzati'!F239</f>
        <v>2155</v>
      </c>
      <c r="E239" s="30">
        <f>+'Entrate tot e finalizzati'!G239-'Entrate tot e finalizzati'!H239</f>
        <v>2327</v>
      </c>
      <c r="F239" s="30">
        <f>+'Entrate tot e finalizzati'!I239-'Entrate tot e finalizzati'!J239</f>
        <v>2302</v>
      </c>
      <c r="G239" s="30">
        <f>+'Entrate tot e finalizzati'!K239-'Entrate tot e finalizzati'!L239</f>
        <v>2746</v>
      </c>
      <c r="H239" s="30">
        <f>+'Entrate tot e finalizzati'!M239-'Entrate tot e finalizzati'!N239</f>
        <v>2485</v>
      </c>
      <c r="I239" s="30">
        <f>+'Entrate tot e finalizzati'!O239-'Entrate tot e finalizzati'!P239</f>
        <v>2723</v>
      </c>
      <c r="J239" s="30">
        <f>+'Entrate tot e finalizzati'!Q239-'Entrate tot e finalizzati'!R239</f>
        <v>2778</v>
      </c>
      <c r="K239" s="30">
        <f>+'Entrate tot e finalizzati'!S239-'Entrate tot e finalizzati'!T239</f>
        <v>3082</v>
      </c>
      <c r="L239" s="30">
        <f>+'Entrate tot e finalizzati'!U239-'Entrate tot e finalizzati'!V239</f>
        <v>3133</v>
      </c>
      <c r="M239" s="94"/>
      <c r="N239" s="94"/>
      <c r="O239" s="94"/>
      <c r="P239" s="94"/>
      <c r="Q239" s="94"/>
      <c r="R239" s="94"/>
      <c r="S239" s="94"/>
      <c r="T239" s="94"/>
    </row>
    <row r="240" spans="1:20" s="2" customFormat="1" ht="12.75">
      <c r="A240" s="43"/>
      <c r="B240" s="42" t="s">
        <v>61</v>
      </c>
      <c r="C240" s="31">
        <f>+'Entrate tot e finalizzati'!C240-'Entrate tot e finalizzati'!D240</f>
        <v>864</v>
      </c>
      <c r="D240" s="31">
        <f>+'Entrate tot e finalizzati'!E240-'Entrate tot e finalizzati'!F240</f>
        <v>897</v>
      </c>
      <c r="E240" s="60">
        <f>+'Entrate tot e finalizzati'!G240-'Entrate tot e finalizzati'!H240</f>
        <v>949</v>
      </c>
      <c r="F240" s="31">
        <f>+'Entrate tot e finalizzati'!I240-'Entrate tot e finalizzati'!J240</f>
        <v>885</v>
      </c>
      <c r="G240" s="60">
        <f>+'Entrate tot e finalizzati'!K240-'Entrate tot e finalizzati'!L240</f>
        <v>960</v>
      </c>
      <c r="H240" s="31">
        <f>+'Entrate tot e finalizzati'!M240-'Entrate tot e finalizzati'!N240</f>
        <v>863</v>
      </c>
      <c r="I240" s="60">
        <f>+'Entrate tot e finalizzati'!O240-'Entrate tot e finalizzati'!P240</f>
        <v>894</v>
      </c>
      <c r="J240" s="31">
        <f>+'Entrate tot e finalizzati'!Q240-'Entrate tot e finalizzati'!R240</f>
        <v>800</v>
      </c>
      <c r="K240" s="60">
        <f>+'Entrate tot e finalizzati'!S240-'Entrate tot e finalizzati'!T240</f>
        <v>719</v>
      </c>
      <c r="L240" s="31">
        <f>+'Entrate tot e finalizzati'!U240-'Entrate tot e finalizzati'!V240</f>
        <v>877</v>
      </c>
      <c r="M240" s="33"/>
      <c r="N240" s="33"/>
      <c r="O240" s="33"/>
      <c r="P240" s="33"/>
      <c r="Q240" s="33"/>
      <c r="R240" s="33"/>
      <c r="S240" s="33"/>
      <c r="T240" s="33"/>
    </row>
    <row r="241" spans="1:20" s="2" customFormat="1" ht="12.75">
      <c r="A241" s="43"/>
      <c r="B241" s="101" t="s">
        <v>62</v>
      </c>
      <c r="C241" s="19">
        <f>+'Entrate tot e finalizzati'!C241-'Entrate tot e finalizzati'!D241</f>
        <v>0</v>
      </c>
      <c r="D241" s="31">
        <f>+'Entrate tot e finalizzati'!E241-'Entrate tot e finalizzati'!F241</f>
        <v>0</v>
      </c>
      <c r="E241" s="60">
        <f>+'Entrate tot e finalizzati'!G241-'Entrate tot e finalizzati'!H241</f>
        <v>0</v>
      </c>
      <c r="F241" s="31">
        <f>+'Entrate tot e finalizzati'!I241-'Entrate tot e finalizzati'!J241</f>
        <v>0</v>
      </c>
      <c r="G241" s="60">
        <f>+'Entrate tot e finalizzati'!K241-'Entrate tot e finalizzati'!L241</f>
        <v>0</v>
      </c>
      <c r="H241" s="31">
        <f>+'Entrate tot e finalizzati'!M241-'Entrate tot e finalizzati'!N241</f>
        <v>0</v>
      </c>
      <c r="I241" s="60">
        <f>+'Entrate tot e finalizzati'!O241-'Entrate tot e finalizzati'!P241</f>
        <v>0</v>
      </c>
      <c r="J241" s="31">
        <f>+'Entrate tot e finalizzati'!Q241-'Entrate tot e finalizzati'!R241</f>
        <v>0</v>
      </c>
      <c r="K241" s="60">
        <f>+'Entrate tot e finalizzati'!S241-'Entrate tot e finalizzati'!T241</f>
        <v>0</v>
      </c>
      <c r="L241" s="31">
        <f>+'Entrate tot e finalizzati'!U241-'Entrate tot e finalizzati'!V241</f>
        <v>0</v>
      </c>
      <c r="M241" s="33"/>
      <c r="N241" s="33"/>
      <c r="O241" s="33"/>
      <c r="P241" s="33"/>
      <c r="Q241" s="33"/>
      <c r="R241" s="33"/>
      <c r="S241" s="33"/>
      <c r="T241" s="33"/>
    </row>
    <row r="242" spans="1:20" s="2" customFormat="1" ht="12.75">
      <c r="A242" s="43"/>
      <c r="B242" s="42" t="s">
        <v>63</v>
      </c>
      <c r="C242" s="19">
        <f>+'Entrate tot e finalizzati'!C242-'Entrate tot e finalizzati'!D242</f>
        <v>9296</v>
      </c>
      <c r="D242" s="31">
        <f>+'Entrate tot e finalizzati'!E242-'Entrate tot e finalizzati'!F242</f>
        <v>9640</v>
      </c>
      <c r="E242" s="60">
        <f>+'Entrate tot e finalizzati'!G242-'Entrate tot e finalizzati'!H242</f>
        <v>10270</v>
      </c>
      <c r="F242" s="31">
        <f>+'Entrate tot e finalizzati'!I242-'Entrate tot e finalizzati'!J242</f>
        <v>10270</v>
      </c>
      <c r="G242" s="60">
        <f>+'Entrate tot e finalizzati'!K242-'Entrate tot e finalizzati'!L242</f>
        <v>11150</v>
      </c>
      <c r="H242" s="31">
        <f>+'Entrate tot e finalizzati'!M242-'Entrate tot e finalizzati'!N242</f>
        <v>0</v>
      </c>
      <c r="I242" s="60">
        <f>+'Entrate tot e finalizzati'!O242-'Entrate tot e finalizzati'!P242</f>
        <v>0</v>
      </c>
      <c r="J242" s="31">
        <f>+'Entrate tot e finalizzati'!Q242-'Entrate tot e finalizzati'!R242</f>
        <v>4</v>
      </c>
      <c r="K242" s="60">
        <f>+'Entrate tot e finalizzati'!S242-'Entrate tot e finalizzati'!T242</f>
        <v>0</v>
      </c>
      <c r="L242" s="31">
        <f>+'Entrate tot e finalizzati'!U242-'Entrate tot e finalizzati'!V242</f>
        <v>0</v>
      </c>
      <c r="M242" s="33"/>
      <c r="N242" s="33"/>
      <c r="O242" s="33"/>
      <c r="P242" s="33"/>
      <c r="Q242" s="33"/>
      <c r="R242" s="33"/>
      <c r="S242" s="33"/>
      <c r="T242" s="33"/>
    </row>
    <row r="243" spans="1:20" s="2" customFormat="1" ht="12.75">
      <c r="A243" s="43"/>
      <c r="B243" s="42" t="s">
        <v>82</v>
      </c>
      <c r="C243" s="19">
        <f>+'Entrate tot e finalizzati'!C243-'Entrate tot e finalizzati'!D243</f>
        <v>0</v>
      </c>
      <c r="D243" s="39">
        <f>+'Entrate tot e finalizzati'!E243-'Entrate tot e finalizzati'!F243</f>
        <v>0</v>
      </c>
      <c r="E243" s="30">
        <f>+'Entrate tot e finalizzati'!G243-'Entrate tot e finalizzati'!H243</f>
        <v>380</v>
      </c>
      <c r="F243" s="39">
        <f>+'Entrate tot e finalizzati'!I243-'Entrate tot e finalizzati'!J243</f>
        <v>361</v>
      </c>
      <c r="G243" s="30">
        <f>+'Entrate tot e finalizzati'!K243-'Entrate tot e finalizzati'!L243</f>
        <v>300</v>
      </c>
      <c r="H243" s="39">
        <f>+'Entrate tot e finalizzati'!M243-'Entrate tot e finalizzati'!N243</f>
        <v>317</v>
      </c>
      <c r="I243" s="30">
        <f>+'Entrate tot e finalizzati'!O243-'Entrate tot e finalizzati'!P243</f>
        <v>330</v>
      </c>
      <c r="J243" s="39">
        <f>+'Entrate tot e finalizzati'!Q243-'Entrate tot e finalizzati'!R243</f>
        <v>330</v>
      </c>
      <c r="K243" s="30">
        <f>+'Entrate tot e finalizzati'!S243-'Entrate tot e finalizzati'!T243</f>
        <v>81</v>
      </c>
      <c r="L243" s="39">
        <f>+'Entrate tot e finalizzati'!U243-'Entrate tot e finalizzati'!V243</f>
        <v>150</v>
      </c>
      <c r="M243" s="94"/>
      <c r="N243" s="94"/>
      <c r="O243" s="94"/>
      <c r="P243" s="94"/>
      <c r="Q243" s="94"/>
      <c r="R243" s="94"/>
      <c r="S243" s="94"/>
      <c r="T243" s="94"/>
    </row>
    <row r="244" spans="1:20" s="2" customFormat="1" ht="12.75">
      <c r="A244" s="43"/>
      <c r="B244" s="42" t="s">
        <v>14</v>
      </c>
      <c r="C244" s="19">
        <f>+'Entrate tot e finalizzati'!C244-'Entrate tot e finalizzati'!D244</f>
        <v>0</v>
      </c>
      <c r="D244" s="39">
        <f>+'Entrate tot e finalizzati'!E244-'Entrate tot e finalizzati'!F244</f>
        <v>0</v>
      </c>
      <c r="E244" s="30">
        <f>+'Entrate tot e finalizzati'!G244-'Entrate tot e finalizzati'!H244</f>
        <v>0</v>
      </c>
      <c r="F244" s="39">
        <f>+'Entrate tot e finalizzati'!I244-'Entrate tot e finalizzati'!J244</f>
        <v>550</v>
      </c>
      <c r="G244" s="30">
        <f>+'Entrate tot e finalizzati'!K244-'Entrate tot e finalizzati'!L244</f>
        <v>425</v>
      </c>
      <c r="H244" s="39">
        <f>+'Entrate tot e finalizzati'!M244-'Entrate tot e finalizzati'!N244</f>
        <v>480</v>
      </c>
      <c r="I244" s="30">
        <f>+'Entrate tot e finalizzati'!O244-'Entrate tot e finalizzati'!P244</f>
        <v>430</v>
      </c>
      <c r="J244" s="39">
        <f>+'Entrate tot e finalizzati'!Q244-'Entrate tot e finalizzati'!R244</f>
        <v>530</v>
      </c>
      <c r="K244" s="30">
        <f>+'Entrate tot e finalizzati'!S244-'Entrate tot e finalizzati'!T244</f>
        <v>1005</v>
      </c>
      <c r="L244" s="30">
        <f>+'Entrate tot e finalizzati'!U244-'Entrate tot e finalizzati'!V244</f>
        <v>0</v>
      </c>
      <c r="M244" s="33"/>
      <c r="N244" s="33"/>
      <c r="O244" s="33"/>
      <c r="P244" s="33"/>
      <c r="Q244" s="33"/>
      <c r="R244" s="33"/>
      <c r="S244" s="33"/>
      <c r="T244" s="33"/>
    </row>
    <row r="245" spans="1:20" s="2" customFormat="1" ht="12.75">
      <c r="A245" s="43"/>
      <c r="B245" s="42" t="s">
        <v>15</v>
      </c>
      <c r="C245" s="19">
        <f>+'Entrate tot e finalizzati'!C245-'Entrate tot e finalizzati'!D245</f>
        <v>0</v>
      </c>
      <c r="D245" s="39">
        <f>+'Entrate tot e finalizzati'!E245-'Entrate tot e finalizzati'!F245</f>
        <v>0</v>
      </c>
      <c r="E245" s="30">
        <f>+'Entrate tot e finalizzati'!G245-'Entrate tot e finalizzati'!H245</f>
        <v>0</v>
      </c>
      <c r="F245" s="39">
        <f>+'Entrate tot e finalizzati'!I245-'Entrate tot e finalizzati'!J245</f>
        <v>0</v>
      </c>
      <c r="G245" s="30">
        <f>+'Entrate tot e finalizzati'!K245-'Entrate tot e finalizzati'!L245</f>
        <v>0</v>
      </c>
      <c r="H245" s="39">
        <f>+'Entrate tot e finalizzati'!M245-'Entrate tot e finalizzati'!N245</f>
        <v>0</v>
      </c>
      <c r="I245" s="30">
        <f>+'Entrate tot e finalizzati'!O245-'Entrate tot e finalizzati'!P245</f>
        <v>0</v>
      </c>
      <c r="J245" s="39">
        <f>+'Entrate tot e finalizzati'!Q245-'Entrate tot e finalizzati'!R245</f>
        <v>0</v>
      </c>
      <c r="K245" s="30">
        <f>+'Entrate tot e finalizzati'!S245-'Entrate tot e finalizzati'!T245</f>
        <v>0</v>
      </c>
      <c r="L245" s="39">
        <f>+'Entrate tot e finalizzati'!U245-'Entrate tot e finalizzati'!V245</f>
        <v>0</v>
      </c>
      <c r="M245" s="94"/>
      <c r="N245" s="94"/>
      <c r="O245" s="94"/>
      <c r="P245" s="94"/>
      <c r="Q245" s="94"/>
      <c r="R245" s="94"/>
      <c r="S245" s="94"/>
      <c r="T245" s="94"/>
    </row>
    <row r="246" spans="1:20" s="2" customFormat="1" ht="12.75">
      <c r="A246" s="43"/>
      <c r="B246" s="101" t="s">
        <v>12</v>
      </c>
      <c r="C246" s="19">
        <f>+'Entrate tot e finalizzati'!C246-'Entrate tot e finalizzati'!D246</f>
        <v>0</v>
      </c>
      <c r="D246" s="39">
        <f>+'Entrate tot e finalizzati'!E246-'Entrate tot e finalizzati'!F246</f>
        <v>0</v>
      </c>
      <c r="E246" s="30">
        <f>+'Entrate tot e finalizzati'!G246-'Entrate tot e finalizzati'!H246</f>
        <v>0</v>
      </c>
      <c r="F246" s="39">
        <f>+'Entrate tot e finalizzati'!I246-'Entrate tot e finalizzati'!J246</f>
        <v>0</v>
      </c>
      <c r="G246" s="30">
        <f>+'Entrate tot e finalizzati'!K246-'Entrate tot e finalizzati'!L246</f>
        <v>0</v>
      </c>
      <c r="H246" s="39">
        <f>+'Entrate tot e finalizzati'!M246-'Entrate tot e finalizzati'!N246</f>
        <v>0</v>
      </c>
      <c r="I246" s="30">
        <f>+'Entrate tot e finalizzati'!O246-'Entrate tot e finalizzati'!P246</f>
        <v>0</v>
      </c>
      <c r="J246" s="39">
        <f>+'Entrate tot e finalizzati'!Q246-'Entrate tot e finalizzati'!R246</f>
        <v>0</v>
      </c>
      <c r="K246" s="30">
        <f>+'Entrate tot e finalizzati'!S246-'Entrate tot e finalizzati'!T246</f>
        <v>0</v>
      </c>
      <c r="L246" s="39">
        <f>+'Entrate tot e finalizzati'!U246-'Entrate tot e finalizzati'!V246</f>
        <v>0</v>
      </c>
      <c r="M246" s="33"/>
      <c r="N246" s="33"/>
      <c r="O246" s="33"/>
      <c r="P246" s="33"/>
      <c r="Q246" s="33"/>
      <c r="R246" s="33"/>
      <c r="S246" s="33"/>
      <c r="T246" s="33"/>
    </row>
    <row r="247" spans="1:20" s="2" customFormat="1" ht="12.75">
      <c r="A247" s="43"/>
      <c r="B247" s="103" t="s">
        <v>58</v>
      </c>
      <c r="C247" s="19">
        <f>+'Entrate tot e finalizzati'!C247-'Entrate tot e finalizzati'!D247</f>
        <v>467</v>
      </c>
      <c r="D247" s="39">
        <f>+'Entrate tot e finalizzati'!E247-'Entrate tot e finalizzati'!F247</f>
        <v>470</v>
      </c>
      <c r="E247" s="30">
        <f>+'Entrate tot e finalizzati'!G247-'Entrate tot e finalizzati'!H247</f>
        <v>794</v>
      </c>
      <c r="F247" s="39">
        <f>+'Entrate tot e finalizzati'!I247-'Entrate tot e finalizzati'!J247</f>
        <v>770</v>
      </c>
      <c r="G247" s="30">
        <f>+'Entrate tot e finalizzati'!K247-'Entrate tot e finalizzati'!L247</f>
        <v>871</v>
      </c>
      <c r="H247" s="39">
        <f>+'Entrate tot e finalizzati'!M247-'Entrate tot e finalizzati'!N247</f>
        <v>906</v>
      </c>
      <c r="I247" s="30">
        <f>+'Entrate tot e finalizzati'!O247-'Entrate tot e finalizzati'!P247</f>
        <v>959</v>
      </c>
      <c r="J247" s="39">
        <f>+'Entrate tot e finalizzati'!Q247-'Entrate tot e finalizzati'!R247</f>
        <v>3427</v>
      </c>
      <c r="K247" s="30">
        <f>+'Entrate tot e finalizzati'!S247-'Entrate tot e finalizzati'!T247</f>
        <v>3916</v>
      </c>
      <c r="L247" s="39">
        <f>+'Entrate tot e finalizzati'!U247-'Entrate tot e finalizzati'!V247</f>
        <v>3324</v>
      </c>
      <c r="M247" s="33"/>
      <c r="N247" s="33"/>
      <c r="O247" s="33"/>
      <c r="P247" s="33"/>
      <c r="Q247" s="33"/>
      <c r="R247" s="33"/>
      <c r="S247" s="33"/>
      <c r="T247" s="33"/>
    </row>
    <row r="248" spans="1:20" s="2" customFormat="1" ht="12.75">
      <c r="A248" s="43"/>
      <c r="B248" s="101" t="s">
        <v>57</v>
      </c>
      <c r="C248" s="31">
        <f>+'Entrate tot e finalizzati'!C248-'Entrate tot e finalizzati'!D248</f>
        <v>0</v>
      </c>
      <c r="D248" s="39">
        <f>+'Entrate tot e finalizzati'!E248-'Entrate tot e finalizzati'!F248</f>
        <v>0</v>
      </c>
      <c r="E248" s="30">
        <f>+'Entrate tot e finalizzati'!G248-'Entrate tot e finalizzati'!H248</f>
        <v>0</v>
      </c>
      <c r="F248" s="39">
        <f>+'Entrate tot e finalizzati'!I248-'Entrate tot e finalizzati'!J248</f>
        <v>0</v>
      </c>
      <c r="G248" s="30">
        <f>+'Entrate tot e finalizzati'!K248-'Entrate tot e finalizzati'!L248</f>
        <v>0</v>
      </c>
      <c r="H248" s="39">
        <f>+'Entrate tot e finalizzati'!M248-'Entrate tot e finalizzati'!N248</f>
        <v>0</v>
      </c>
      <c r="I248" s="30">
        <f>+'Entrate tot e finalizzati'!O248-'Entrate tot e finalizzati'!P248</f>
        <v>0</v>
      </c>
      <c r="J248" s="39">
        <f>+'Entrate tot e finalizzati'!Q248-'Entrate tot e finalizzati'!R248</f>
        <v>0</v>
      </c>
      <c r="K248" s="30">
        <f>+'Entrate tot e finalizzati'!S248-'Entrate tot e finalizzati'!T248</f>
        <v>0</v>
      </c>
      <c r="L248" s="39">
        <f>+'Entrate tot e finalizzati'!U248-'Entrate tot e finalizzati'!V248</f>
        <v>0</v>
      </c>
      <c r="M248" s="33"/>
      <c r="N248" s="33"/>
      <c r="O248" s="33"/>
      <c r="P248" s="33"/>
      <c r="Q248" s="33"/>
      <c r="R248" s="33"/>
      <c r="S248" s="33"/>
      <c r="T248" s="33"/>
    </row>
    <row r="249" spans="1:20" s="2" customFormat="1" ht="12.75">
      <c r="A249" s="13"/>
      <c r="B249" s="101" t="s">
        <v>108</v>
      </c>
      <c r="C249" s="22">
        <f>+'Entrate tot e finalizzati'!C249-'Entrate tot e finalizzati'!D249</f>
        <v>0</v>
      </c>
      <c r="D249" s="15">
        <f>+'Entrate tot e finalizzati'!E249-'Entrate tot e finalizzati'!F249</f>
        <v>51</v>
      </c>
      <c r="E249" s="22">
        <f>+'Entrate tot e finalizzati'!G249-'Entrate tot e finalizzati'!H249</f>
        <v>54</v>
      </c>
      <c r="F249" s="15">
        <f>+'Entrate tot e finalizzati'!I249-'Entrate tot e finalizzati'!J249</f>
        <v>76</v>
      </c>
      <c r="G249" s="22">
        <f>+'Entrate tot e finalizzati'!K249-'Entrate tot e finalizzati'!L249</f>
        <v>56</v>
      </c>
      <c r="H249" s="15">
        <f>+'Entrate tot e finalizzati'!M249-'Entrate tot e finalizzati'!N249</f>
        <v>59</v>
      </c>
      <c r="I249" s="22">
        <f>+'Entrate tot e finalizzati'!O249-'Entrate tot e finalizzati'!P249</f>
        <v>73</v>
      </c>
      <c r="J249" s="15">
        <f>+'Entrate tot e finalizzati'!Q249-'Entrate tot e finalizzati'!R249</f>
        <v>80</v>
      </c>
      <c r="K249" s="22">
        <f>+'Entrate tot e finalizzati'!S249-'Entrate tot e finalizzati'!T249</f>
        <v>89</v>
      </c>
      <c r="L249" s="15">
        <f>+'Entrate tot e finalizzati'!U249-'Entrate tot e finalizzati'!V249</f>
        <v>90</v>
      </c>
      <c r="M249" s="94"/>
      <c r="N249" s="94"/>
      <c r="O249" s="94"/>
      <c r="P249" s="94"/>
      <c r="Q249" s="94"/>
      <c r="R249" s="94"/>
      <c r="S249" s="94"/>
      <c r="T249" s="94"/>
    </row>
    <row r="250" spans="1:20" s="2" customFormat="1" ht="12.75">
      <c r="A250" s="13"/>
      <c r="B250" s="103" t="s">
        <v>58</v>
      </c>
      <c r="C250" s="22">
        <f>+'Entrate tot e finalizzati'!C250-'Entrate tot e finalizzati'!D250</f>
        <v>981</v>
      </c>
      <c r="D250" s="15">
        <f>+'Entrate tot e finalizzati'!E250-'Entrate tot e finalizzati'!F250</f>
        <v>647</v>
      </c>
      <c r="E250" s="22">
        <f>+'Entrate tot e finalizzati'!G250-'Entrate tot e finalizzati'!H250</f>
        <v>36</v>
      </c>
      <c r="F250" s="15">
        <f>+'Entrate tot e finalizzati'!I250-'Entrate tot e finalizzati'!J250</f>
        <v>0</v>
      </c>
      <c r="G250" s="22">
        <f>+'Entrate tot e finalizzati'!K250-'Entrate tot e finalizzati'!L250</f>
        <v>0</v>
      </c>
      <c r="H250" s="15">
        <f>+'Entrate tot e finalizzati'!M250-'Entrate tot e finalizzati'!N250</f>
        <v>0</v>
      </c>
      <c r="I250" s="22">
        <f>+'Entrate tot e finalizzati'!O250-'Entrate tot e finalizzati'!P250</f>
        <v>0</v>
      </c>
      <c r="J250" s="15">
        <f>+'Entrate tot e finalizzati'!Q250-'Entrate tot e finalizzati'!R250</f>
        <v>0</v>
      </c>
      <c r="K250" s="22">
        <f>+'Entrate tot e finalizzati'!S250-'Entrate tot e finalizzati'!T250</f>
        <v>0</v>
      </c>
      <c r="L250" s="15">
        <f>+'Entrate tot e finalizzati'!U250-'Entrate tot e finalizzati'!V250</f>
        <v>0</v>
      </c>
      <c r="M250" s="33"/>
      <c r="N250" s="33"/>
      <c r="O250" s="33"/>
      <c r="P250" s="33"/>
      <c r="Q250" s="33"/>
      <c r="R250" s="33"/>
      <c r="S250" s="33"/>
      <c r="T250" s="33"/>
    </row>
    <row r="251" spans="1:20" s="2" customFormat="1" ht="12.75">
      <c r="A251" s="23" t="s">
        <v>100</v>
      </c>
      <c r="B251" s="109"/>
      <c r="C251" s="25">
        <f>+'Entrate tot e finalizzati'!C251-'Entrate tot e finalizzati'!D251</f>
        <v>0</v>
      </c>
      <c r="D251" s="25">
        <f>+'Entrate tot e finalizzati'!E251-'Entrate tot e finalizzati'!F251</f>
        <v>0</v>
      </c>
      <c r="E251" s="25">
        <f>+'Entrate tot e finalizzati'!G251-'Entrate tot e finalizzati'!H251</f>
        <v>0</v>
      </c>
      <c r="F251" s="25">
        <f>+'Entrate tot e finalizzati'!I251-'Entrate tot e finalizzati'!J251</f>
        <v>0</v>
      </c>
      <c r="G251" s="25">
        <f>+'Entrate tot e finalizzati'!K251-'Entrate tot e finalizzati'!L251</f>
        <v>0</v>
      </c>
      <c r="H251" s="25">
        <f>+'Entrate tot e finalizzati'!M251-'Entrate tot e finalizzati'!N251</f>
        <v>0</v>
      </c>
      <c r="I251" s="25">
        <f>+'Entrate tot e finalizzati'!O251-'Entrate tot e finalizzati'!P251</f>
        <v>0</v>
      </c>
      <c r="J251" s="25">
        <f>+'Entrate tot e finalizzati'!Q251-'Entrate tot e finalizzati'!R251</f>
        <v>2</v>
      </c>
      <c r="K251" s="25">
        <f>+'Entrate tot e finalizzati'!S251-'Entrate tot e finalizzati'!T251</f>
        <v>2</v>
      </c>
      <c r="L251" s="25">
        <f>+'Entrate tot e finalizzati'!U251-'Entrate tot e finalizzati'!V251</f>
        <v>7</v>
      </c>
      <c r="M251" s="33"/>
      <c r="N251" s="33"/>
      <c r="O251" s="33"/>
      <c r="P251" s="33"/>
      <c r="Q251" s="33"/>
      <c r="R251" s="33"/>
      <c r="S251" s="33"/>
      <c r="T251" s="33"/>
    </row>
    <row r="252" spans="1:20" s="2" customFormat="1" ht="12.75">
      <c r="A252" s="47"/>
      <c r="B252" s="102" t="s">
        <v>60</v>
      </c>
      <c r="C252" s="85">
        <f>+'Entrate tot e finalizzati'!C252-'Entrate tot e finalizzati'!D252</f>
        <v>0</v>
      </c>
      <c r="D252" s="32">
        <f>+'Entrate tot e finalizzati'!E252-'Entrate tot e finalizzati'!F252</f>
        <v>0</v>
      </c>
      <c r="E252" s="32">
        <f>+'Entrate tot e finalizzati'!G252-'Entrate tot e finalizzati'!H252</f>
        <v>0</v>
      </c>
      <c r="F252" s="32">
        <f>+'Entrate tot e finalizzati'!I252-'Entrate tot e finalizzati'!J252</f>
        <v>0</v>
      </c>
      <c r="G252" s="32">
        <f>+'Entrate tot e finalizzati'!K252-'Entrate tot e finalizzati'!L252</f>
        <v>0</v>
      </c>
      <c r="H252" s="32">
        <f>+'Entrate tot e finalizzati'!M252-'Entrate tot e finalizzati'!N252</f>
        <v>0</v>
      </c>
      <c r="I252" s="32">
        <f>+'Entrate tot e finalizzati'!O252-'Entrate tot e finalizzati'!P252</f>
        <v>0</v>
      </c>
      <c r="J252" s="32">
        <f>+'Entrate tot e finalizzati'!Q252-'Entrate tot e finalizzati'!R252</f>
        <v>2</v>
      </c>
      <c r="K252" s="32">
        <f>+'Entrate tot e finalizzati'!S252-'Entrate tot e finalizzati'!T252</f>
        <v>2</v>
      </c>
      <c r="L252" s="32">
        <f>+'Entrate tot e finalizzati'!U252-'Entrate tot e finalizzati'!V252</f>
        <v>7</v>
      </c>
      <c r="M252" s="94"/>
      <c r="N252" s="94"/>
      <c r="O252" s="94"/>
      <c r="P252" s="94"/>
      <c r="Q252" s="94"/>
      <c r="R252" s="94"/>
      <c r="S252" s="94"/>
      <c r="T252" s="94"/>
    </row>
    <row r="253" spans="1:20" s="2" customFormat="1" ht="12.75">
      <c r="A253" s="23" t="s">
        <v>0</v>
      </c>
      <c r="B253" s="100"/>
      <c r="C253" s="28">
        <f>+'Entrate tot e finalizzati'!C253-'Entrate tot e finalizzati'!D253</f>
        <v>0</v>
      </c>
      <c r="D253" s="28">
        <f>+'Entrate tot e finalizzati'!E253-'Entrate tot e finalizzati'!F253</f>
        <v>0</v>
      </c>
      <c r="E253" s="28">
        <f>+'Entrate tot e finalizzati'!G253-'Entrate tot e finalizzati'!H253</f>
        <v>0</v>
      </c>
      <c r="F253" s="28">
        <f>+'Entrate tot e finalizzati'!I253-'Entrate tot e finalizzati'!J253</f>
        <v>0</v>
      </c>
      <c r="G253" s="28">
        <f>+'Entrate tot e finalizzati'!K253-'Entrate tot e finalizzati'!L253</f>
        <v>0</v>
      </c>
      <c r="H253" s="28">
        <f>+'Entrate tot e finalizzati'!M253-'Entrate tot e finalizzati'!N253</f>
        <v>0</v>
      </c>
      <c r="I253" s="28">
        <f>+'Entrate tot e finalizzati'!O253-'Entrate tot e finalizzati'!P253</f>
        <v>0</v>
      </c>
      <c r="J253" s="28">
        <f>+'Entrate tot e finalizzati'!Q253-'Entrate tot e finalizzati'!R253</f>
        <v>0</v>
      </c>
      <c r="K253" s="28">
        <f>+'Entrate tot e finalizzati'!S253-'Entrate tot e finalizzati'!T253</f>
        <v>0</v>
      </c>
      <c r="L253" s="28">
        <f>+'Entrate tot e finalizzati'!U253-'Entrate tot e finalizzati'!V253</f>
        <v>0</v>
      </c>
      <c r="M253" s="33"/>
      <c r="N253" s="33"/>
      <c r="O253" s="33"/>
      <c r="P253" s="33"/>
      <c r="Q253" s="33"/>
      <c r="R253" s="33"/>
      <c r="S253" s="33"/>
      <c r="T253" s="33"/>
    </row>
    <row r="254" spans="1:20" s="2" customFormat="1" ht="12.75">
      <c r="A254" s="13"/>
      <c r="B254" s="101" t="s">
        <v>95</v>
      </c>
      <c r="C254" s="22">
        <f>+'Entrate tot e finalizzati'!C254-'Entrate tot e finalizzati'!D254</f>
        <v>0</v>
      </c>
      <c r="D254" s="15">
        <f>+'Entrate tot e finalizzati'!E254-'Entrate tot e finalizzati'!F254</f>
        <v>0</v>
      </c>
      <c r="E254" s="22">
        <f>+'Entrate tot e finalizzati'!G254-'Entrate tot e finalizzati'!H254</f>
        <v>0</v>
      </c>
      <c r="F254" s="15">
        <f>+'Entrate tot e finalizzati'!I254-'Entrate tot e finalizzati'!J254</f>
        <v>0</v>
      </c>
      <c r="G254" s="22">
        <f>+'Entrate tot e finalizzati'!K254-'Entrate tot e finalizzati'!L254</f>
        <v>0</v>
      </c>
      <c r="H254" s="15">
        <f>+'Entrate tot e finalizzati'!M254-'Entrate tot e finalizzati'!N254</f>
        <v>0</v>
      </c>
      <c r="I254" s="22">
        <f>+'Entrate tot e finalizzati'!O254-'Entrate tot e finalizzati'!P254</f>
        <v>0</v>
      </c>
      <c r="J254" s="15">
        <f>+'Entrate tot e finalizzati'!Q254-'Entrate tot e finalizzati'!R254</f>
        <v>0</v>
      </c>
      <c r="K254" s="22">
        <f>+'Entrate tot e finalizzati'!S254-'Entrate tot e finalizzati'!T254</f>
        <v>0</v>
      </c>
      <c r="L254" s="15">
        <f>+'Entrate tot e finalizzati'!U254-'Entrate tot e finalizzati'!V254</f>
        <v>0</v>
      </c>
      <c r="M254" s="33"/>
      <c r="N254" s="33"/>
      <c r="O254" s="33"/>
      <c r="P254" s="33"/>
      <c r="Q254" s="33"/>
      <c r="R254" s="33"/>
      <c r="S254" s="33"/>
      <c r="T254" s="33"/>
    </row>
    <row r="255" spans="1:20" s="2" customFormat="1" ht="12.75">
      <c r="A255" s="13"/>
      <c r="B255" s="17" t="s">
        <v>60</v>
      </c>
      <c r="C255" s="22">
        <f>+'Entrate tot e finalizzati'!C255-'Entrate tot e finalizzati'!D255</f>
        <v>0</v>
      </c>
      <c r="D255" s="15">
        <f>+'Entrate tot e finalizzati'!E255-'Entrate tot e finalizzati'!F255</f>
        <v>0</v>
      </c>
      <c r="E255" s="22">
        <f>+'Entrate tot e finalizzati'!G255-'Entrate tot e finalizzati'!H255</f>
        <v>0</v>
      </c>
      <c r="F255" s="15">
        <f>+'Entrate tot e finalizzati'!I255-'Entrate tot e finalizzati'!J255</f>
        <v>0</v>
      </c>
      <c r="G255" s="22">
        <f>+'Entrate tot e finalizzati'!K255-'Entrate tot e finalizzati'!L255</f>
        <v>0</v>
      </c>
      <c r="H255" s="15">
        <f>+'Entrate tot e finalizzati'!M255-'Entrate tot e finalizzati'!N255</f>
        <v>0</v>
      </c>
      <c r="I255" s="22">
        <f>+'Entrate tot e finalizzati'!O255-'Entrate tot e finalizzati'!P255</f>
        <v>0</v>
      </c>
      <c r="J255" s="15">
        <f>+'Entrate tot e finalizzati'!Q255-'Entrate tot e finalizzati'!R255</f>
        <v>0</v>
      </c>
      <c r="K255" s="22">
        <f>+'Entrate tot e finalizzati'!S255-'Entrate tot e finalizzati'!T255</f>
        <v>0</v>
      </c>
      <c r="L255" s="15">
        <f>+'Entrate tot e finalizzati'!U255-'Entrate tot e finalizzati'!V255</f>
        <v>0</v>
      </c>
      <c r="M255" s="33"/>
      <c r="N255" s="33"/>
      <c r="O255" s="33"/>
      <c r="P255" s="33"/>
      <c r="Q255" s="33"/>
      <c r="R255" s="33"/>
      <c r="S255" s="33"/>
      <c r="T255" s="33"/>
    </row>
    <row r="256" spans="1:20" s="2" customFormat="1" ht="12.75">
      <c r="A256" s="47"/>
      <c r="B256" s="102" t="s">
        <v>98</v>
      </c>
      <c r="C256" s="85">
        <f>+'Entrate tot e finalizzati'!C256-'Entrate tot e finalizzati'!D256</f>
        <v>0</v>
      </c>
      <c r="D256" s="32">
        <f>+'Entrate tot e finalizzati'!E256-'Entrate tot e finalizzati'!F256</f>
        <v>0</v>
      </c>
      <c r="E256" s="32">
        <f>+'Entrate tot e finalizzati'!G256-'Entrate tot e finalizzati'!H256</f>
        <v>0</v>
      </c>
      <c r="F256" s="32">
        <f>+'Entrate tot e finalizzati'!I256-'Entrate tot e finalizzati'!J256</f>
        <v>0</v>
      </c>
      <c r="G256" s="32">
        <f>+'Entrate tot e finalizzati'!K256-'Entrate tot e finalizzati'!L256</f>
        <v>0</v>
      </c>
      <c r="H256" s="32">
        <f>+'Entrate tot e finalizzati'!M256-'Entrate tot e finalizzati'!N256</f>
        <v>0</v>
      </c>
      <c r="I256" s="32">
        <f>+'Entrate tot e finalizzati'!O256-'Entrate tot e finalizzati'!P256</f>
        <v>0</v>
      </c>
      <c r="J256" s="32">
        <f>+'Entrate tot e finalizzati'!Q256-'Entrate tot e finalizzati'!R256</f>
        <v>0</v>
      </c>
      <c r="K256" s="32">
        <f>+'Entrate tot e finalizzati'!S256-'Entrate tot e finalizzati'!T256</f>
        <v>0</v>
      </c>
      <c r="L256" s="32">
        <f>+'Entrate tot e finalizzati'!U256-'Entrate tot e finalizzati'!V256</f>
        <v>0</v>
      </c>
      <c r="M256" s="94"/>
      <c r="N256" s="94"/>
      <c r="O256" s="94"/>
      <c r="P256" s="94"/>
      <c r="Q256" s="94"/>
      <c r="R256" s="94"/>
      <c r="S256" s="94"/>
      <c r="T256" s="94"/>
    </row>
    <row r="257" spans="1:20" s="2" customFormat="1" ht="12.75">
      <c r="A257" s="64" t="s">
        <v>1</v>
      </c>
      <c r="B257" s="112"/>
      <c r="C257" s="28">
        <f>+'Entrate tot e finalizzati'!C257-'Entrate tot e finalizzati'!D257</f>
        <v>0</v>
      </c>
      <c r="D257" s="28">
        <f>+'Entrate tot e finalizzati'!E257-'Entrate tot e finalizzati'!F257</f>
        <v>0</v>
      </c>
      <c r="E257" s="28">
        <f>+'Entrate tot e finalizzati'!G257-'Entrate tot e finalizzati'!H257</f>
        <v>0</v>
      </c>
      <c r="F257" s="28">
        <f>+'Entrate tot e finalizzati'!I257-'Entrate tot e finalizzati'!J257</f>
        <v>0</v>
      </c>
      <c r="G257" s="28">
        <f>+'Entrate tot e finalizzati'!K257-'Entrate tot e finalizzati'!L257</f>
        <v>0</v>
      </c>
      <c r="H257" s="28">
        <f>+'Entrate tot e finalizzati'!M257-'Entrate tot e finalizzati'!N257</f>
        <v>0</v>
      </c>
      <c r="I257" s="28">
        <f>+'Entrate tot e finalizzati'!O257-'Entrate tot e finalizzati'!P257</f>
        <v>0</v>
      </c>
      <c r="J257" s="28">
        <f>+'Entrate tot e finalizzati'!Q257-'Entrate tot e finalizzati'!R257</f>
        <v>0</v>
      </c>
      <c r="K257" s="28">
        <f>+'Entrate tot e finalizzati'!S257-'Entrate tot e finalizzati'!T257</f>
        <v>0</v>
      </c>
      <c r="L257" s="28">
        <f>+'Entrate tot e finalizzati'!U257-'Entrate tot e finalizzati'!V257</f>
        <v>0</v>
      </c>
      <c r="M257" s="33"/>
      <c r="N257" s="33"/>
      <c r="O257" s="33"/>
      <c r="P257" s="33"/>
      <c r="Q257" s="33"/>
      <c r="R257" s="33"/>
      <c r="S257" s="33"/>
      <c r="T257" s="33"/>
    </row>
    <row r="258" spans="1:20" s="2" customFormat="1" ht="12.75">
      <c r="A258" s="76"/>
      <c r="B258" s="17" t="s">
        <v>60</v>
      </c>
      <c r="C258" s="21">
        <f>+'Entrate tot e finalizzati'!C258-'Entrate tot e finalizzati'!D258</f>
        <v>0</v>
      </c>
      <c r="D258" s="21">
        <f>+'Entrate tot e finalizzati'!E258-'Entrate tot e finalizzati'!F258</f>
        <v>0</v>
      </c>
      <c r="E258" s="21">
        <f>+'Entrate tot e finalizzati'!G258-'Entrate tot e finalizzati'!H258</f>
        <v>0</v>
      </c>
      <c r="F258" s="21">
        <f>+'Entrate tot e finalizzati'!I258-'Entrate tot e finalizzati'!J258</f>
        <v>0</v>
      </c>
      <c r="G258" s="21">
        <f>+'Entrate tot e finalizzati'!K258-'Entrate tot e finalizzati'!L258</f>
        <v>0</v>
      </c>
      <c r="H258" s="21">
        <f>+'Entrate tot e finalizzati'!M258-'Entrate tot e finalizzati'!N258</f>
        <v>0</v>
      </c>
      <c r="I258" s="21">
        <f>+'Entrate tot e finalizzati'!O258-'Entrate tot e finalizzati'!P258</f>
        <v>0</v>
      </c>
      <c r="J258" s="21">
        <f>+'Entrate tot e finalizzati'!Q258-'Entrate tot e finalizzati'!R258</f>
        <v>0</v>
      </c>
      <c r="K258" s="21">
        <f>+'Entrate tot e finalizzati'!S258-'Entrate tot e finalizzati'!T258</f>
        <v>0</v>
      </c>
      <c r="L258" s="21">
        <f>+'Entrate tot e finalizzati'!U258-'Entrate tot e finalizzati'!V258</f>
        <v>0</v>
      </c>
      <c r="M258" s="94"/>
      <c r="N258" s="94"/>
      <c r="O258" s="94"/>
      <c r="P258" s="94"/>
      <c r="Q258" s="94"/>
      <c r="R258" s="94"/>
      <c r="S258" s="94"/>
      <c r="T258" s="94"/>
    </row>
    <row r="259" spans="1:20" s="2" customFormat="1" ht="12.75">
      <c r="A259" s="47"/>
      <c r="B259" s="102" t="s">
        <v>59</v>
      </c>
      <c r="C259" s="85">
        <f>+'Entrate tot e finalizzati'!C259-'Entrate tot e finalizzati'!D259</f>
        <v>0</v>
      </c>
      <c r="D259" s="32">
        <f>+'Entrate tot e finalizzati'!E259-'Entrate tot e finalizzati'!F259</f>
        <v>0</v>
      </c>
      <c r="E259" s="32">
        <f>+'Entrate tot e finalizzati'!G259-'Entrate tot e finalizzati'!H259</f>
        <v>0</v>
      </c>
      <c r="F259" s="32">
        <f>+'Entrate tot e finalizzati'!I259-'Entrate tot e finalizzati'!J259</f>
        <v>0</v>
      </c>
      <c r="G259" s="32">
        <f>+'Entrate tot e finalizzati'!K259-'Entrate tot e finalizzati'!L259</f>
        <v>0</v>
      </c>
      <c r="H259" s="32">
        <f>+'Entrate tot e finalizzati'!M259-'Entrate tot e finalizzati'!N259</f>
        <v>0</v>
      </c>
      <c r="I259" s="32">
        <f>+'Entrate tot e finalizzati'!O259-'Entrate tot e finalizzati'!P259</f>
        <v>0</v>
      </c>
      <c r="J259" s="32">
        <f>+'Entrate tot e finalizzati'!Q259-'Entrate tot e finalizzati'!R259</f>
        <v>0</v>
      </c>
      <c r="K259" s="32">
        <f>+'Entrate tot e finalizzati'!S259-'Entrate tot e finalizzati'!T259</f>
        <v>0</v>
      </c>
      <c r="L259" s="32">
        <f>+'Entrate tot e finalizzati'!U259-'Entrate tot e finalizzati'!V259</f>
        <v>0</v>
      </c>
      <c r="M259" s="33"/>
      <c r="N259" s="33"/>
      <c r="O259" s="33"/>
      <c r="P259" s="33"/>
      <c r="Q259" s="33"/>
      <c r="R259" s="33"/>
      <c r="S259" s="33"/>
      <c r="T259" s="33"/>
    </row>
    <row r="260" spans="1:20" s="2" customFormat="1" ht="12.75">
      <c r="A260" s="64" t="s">
        <v>2</v>
      </c>
      <c r="B260" s="112"/>
      <c r="C260" s="28">
        <f>+'Entrate tot e finalizzati'!C260-'Entrate tot e finalizzati'!D260</f>
        <v>0</v>
      </c>
      <c r="D260" s="28">
        <f>+'Entrate tot e finalizzati'!E260-'Entrate tot e finalizzati'!F260</f>
        <v>0</v>
      </c>
      <c r="E260" s="28">
        <f>+'Entrate tot e finalizzati'!G260-'Entrate tot e finalizzati'!H260</f>
        <v>0</v>
      </c>
      <c r="F260" s="28">
        <f>+'Entrate tot e finalizzati'!I260-'Entrate tot e finalizzati'!J260</f>
        <v>0</v>
      </c>
      <c r="G260" s="28">
        <f>+'Entrate tot e finalizzati'!K260-'Entrate tot e finalizzati'!L260</f>
        <v>0</v>
      </c>
      <c r="H260" s="28">
        <f>+'Entrate tot e finalizzati'!M260-'Entrate tot e finalizzati'!N260</f>
        <v>0</v>
      </c>
      <c r="I260" s="28">
        <f>+'Entrate tot e finalizzati'!O260-'Entrate tot e finalizzati'!P260</f>
        <v>10</v>
      </c>
      <c r="J260" s="28">
        <f>+'Entrate tot e finalizzati'!Q260-'Entrate tot e finalizzati'!R260</f>
        <v>10</v>
      </c>
      <c r="K260" s="28">
        <f>+'Entrate tot e finalizzati'!S260-'Entrate tot e finalizzati'!T260</f>
        <v>0</v>
      </c>
      <c r="L260" s="28">
        <f>+'Entrate tot e finalizzati'!U260-'Entrate tot e finalizzati'!V260</f>
        <v>0</v>
      </c>
      <c r="M260" s="33"/>
      <c r="N260" s="33"/>
      <c r="O260" s="33"/>
      <c r="P260" s="33"/>
      <c r="Q260" s="33"/>
      <c r="R260" s="33"/>
      <c r="S260" s="33"/>
      <c r="T260" s="33"/>
    </row>
    <row r="261" spans="1:20" s="2" customFormat="1" ht="12.75">
      <c r="A261" s="76"/>
      <c r="B261" s="42" t="s">
        <v>60</v>
      </c>
      <c r="C261" s="21">
        <f>+'Entrate tot e finalizzati'!C261-'Entrate tot e finalizzati'!D261</f>
        <v>0</v>
      </c>
      <c r="D261" s="21">
        <f>+'Entrate tot e finalizzati'!E261-'Entrate tot e finalizzati'!F261</f>
        <v>0</v>
      </c>
      <c r="E261" s="21">
        <f>+'Entrate tot e finalizzati'!G261-'Entrate tot e finalizzati'!H261</f>
        <v>0</v>
      </c>
      <c r="F261" s="21">
        <f>+'Entrate tot e finalizzati'!I261-'Entrate tot e finalizzati'!J261</f>
        <v>0</v>
      </c>
      <c r="G261" s="21">
        <f>+'Entrate tot e finalizzati'!K261-'Entrate tot e finalizzati'!L261</f>
        <v>0</v>
      </c>
      <c r="H261" s="21">
        <f>+'Entrate tot e finalizzati'!M261-'Entrate tot e finalizzati'!N261</f>
        <v>0</v>
      </c>
      <c r="I261" s="21">
        <f>+'Entrate tot e finalizzati'!O261-'Entrate tot e finalizzati'!P261</f>
        <v>10</v>
      </c>
      <c r="J261" s="21">
        <f>+'Entrate tot e finalizzati'!Q261-'Entrate tot e finalizzati'!R261</f>
        <v>10</v>
      </c>
      <c r="K261" s="21">
        <f>+'Entrate tot e finalizzati'!S261-'Entrate tot e finalizzati'!T261</f>
        <v>0</v>
      </c>
      <c r="L261" s="21">
        <f>+'Entrate tot e finalizzati'!U261-'Entrate tot e finalizzati'!V261</f>
        <v>0</v>
      </c>
      <c r="M261" s="33"/>
      <c r="N261" s="33"/>
      <c r="O261" s="33"/>
      <c r="P261" s="33"/>
      <c r="Q261" s="33"/>
      <c r="R261" s="33"/>
      <c r="S261" s="33"/>
      <c r="T261" s="33"/>
    </row>
    <row r="262" spans="1:20" s="2" customFormat="1" ht="12.75">
      <c r="A262" s="47"/>
      <c r="B262" s="102" t="s">
        <v>98</v>
      </c>
      <c r="C262" s="85">
        <f>+'Entrate tot e finalizzati'!C262-'Entrate tot e finalizzati'!D262</f>
        <v>0</v>
      </c>
      <c r="D262" s="32">
        <f>+'Entrate tot e finalizzati'!E262-'Entrate tot e finalizzati'!F262</f>
        <v>0</v>
      </c>
      <c r="E262" s="32">
        <f>+'Entrate tot e finalizzati'!G262-'Entrate tot e finalizzati'!H262</f>
        <v>0</v>
      </c>
      <c r="F262" s="32">
        <f>+'Entrate tot e finalizzati'!I262-'Entrate tot e finalizzati'!J262</f>
        <v>0</v>
      </c>
      <c r="G262" s="32">
        <f>+'Entrate tot e finalizzati'!K262-'Entrate tot e finalizzati'!L262</f>
        <v>0</v>
      </c>
      <c r="H262" s="32">
        <f>+'Entrate tot e finalizzati'!M262-'Entrate tot e finalizzati'!N262</f>
        <v>0</v>
      </c>
      <c r="I262" s="32">
        <f>+'Entrate tot e finalizzati'!O262-'Entrate tot e finalizzati'!P262</f>
        <v>0</v>
      </c>
      <c r="J262" s="32">
        <f>+'Entrate tot e finalizzati'!Q262-'Entrate tot e finalizzati'!R262</f>
        <v>0</v>
      </c>
      <c r="K262" s="32">
        <f>+'Entrate tot e finalizzati'!S262-'Entrate tot e finalizzati'!T262</f>
        <v>0</v>
      </c>
      <c r="L262" s="32">
        <f>+'Entrate tot e finalizzati'!U262-'Entrate tot e finalizzati'!V262</f>
        <v>0</v>
      </c>
      <c r="M262" s="94"/>
      <c r="N262" s="94"/>
      <c r="O262" s="94"/>
      <c r="P262" s="94"/>
      <c r="Q262" s="94"/>
      <c r="R262" s="94"/>
      <c r="S262" s="94"/>
      <c r="T262" s="94"/>
    </row>
    <row r="263" spans="1:20" s="2" customFormat="1" ht="12.75">
      <c r="A263" s="64" t="s">
        <v>101</v>
      </c>
      <c r="B263" s="112"/>
      <c r="C263" s="28">
        <f>+'Entrate tot e finalizzati'!C263-'Entrate tot e finalizzati'!D263</f>
        <v>0</v>
      </c>
      <c r="D263" s="28">
        <f>+'Entrate tot e finalizzati'!E263-'Entrate tot e finalizzati'!F263</f>
        <v>0</v>
      </c>
      <c r="E263" s="28">
        <f>+'Entrate tot e finalizzati'!G263-'Entrate tot e finalizzati'!H263</f>
        <v>0</v>
      </c>
      <c r="F263" s="28">
        <f>+'Entrate tot e finalizzati'!I263-'Entrate tot e finalizzati'!J263</f>
        <v>0</v>
      </c>
      <c r="G263" s="28">
        <f>+'Entrate tot e finalizzati'!K263-'Entrate tot e finalizzati'!L263</f>
        <v>0</v>
      </c>
      <c r="H263" s="28">
        <f>+'Entrate tot e finalizzati'!M263-'Entrate tot e finalizzati'!N263</f>
        <v>0</v>
      </c>
      <c r="I263" s="28">
        <f>+'Entrate tot e finalizzati'!O263-'Entrate tot e finalizzati'!P263</f>
        <v>0</v>
      </c>
      <c r="J263" s="28">
        <f>+'Entrate tot e finalizzati'!Q263-'Entrate tot e finalizzati'!R263</f>
        <v>0</v>
      </c>
      <c r="K263" s="28">
        <f>+'Entrate tot e finalizzati'!S263-'Entrate tot e finalizzati'!T263</f>
        <v>0</v>
      </c>
      <c r="L263" s="28">
        <f>+'Entrate tot e finalizzati'!U263-'Entrate tot e finalizzati'!V263</f>
        <v>0</v>
      </c>
      <c r="M263" s="33"/>
      <c r="N263" s="33"/>
      <c r="O263" s="33"/>
      <c r="P263" s="33"/>
      <c r="Q263" s="33"/>
      <c r="R263" s="33"/>
      <c r="S263" s="33"/>
      <c r="T263" s="33"/>
    </row>
    <row r="264" spans="1:20" s="2" customFormat="1" ht="12.75">
      <c r="A264" s="47"/>
      <c r="B264" s="102" t="s">
        <v>60</v>
      </c>
      <c r="C264" s="85">
        <f>+'Entrate tot e finalizzati'!C264-'Entrate tot e finalizzati'!D264</f>
        <v>0</v>
      </c>
      <c r="D264" s="32">
        <f>+'Entrate tot e finalizzati'!E264-'Entrate tot e finalizzati'!F264</f>
        <v>0</v>
      </c>
      <c r="E264" s="32">
        <f>+'Entrate tot e finalizzati'!G264-'Entrate tot e finalizzati'!H264</f>
        <v>0</v>
      </c>
      <c r="F264" s="32">
        <f>+'Entrate tot e finalizzati'!I264-'Entrate tot e finalizzati'!J264</f>
        <v>0</v>
      </c>
      <c r="G264" s="32">
        <f>+'Entrate tot e finalizzati'!K264-'Entrate tot e finalizzati'!L264</f>
        <v>0</v>
      </c>
      <c r="H264" s="32">
        <f>+'Entrate tot e finalizzati'!M264-'Entrate tot e finalizzati'!N264</f>
        <v>0</v>
      </c>
      <c r="I264" s="32">
        <f>+'Entrate tot e finalizzati'!O264-'Entrate tot e finalizzati'!P264</f>
        <v>0</v>
      </c>
      <c r="J264" s="32">
        <f>+'Entrate tot e finalizzati'!Q264-'Entrate tot e finalizzati'!R264</f>
        <v>0</v>
      </c>
      <c r="K264" s="32">
        <f>+'Entrate tot e finalizzati'!S264-'Entrate tot e finalizzati'!T264</f>
        <v>0</v>
      </c>
      <c r="L264" s="32">
        <f>+'Entrate tot e finalizzati'!U264-'Entrate tot e finalizzati'!V264</f>
        <v>0</v>
      </c>
      <c r="M264" s="94"/>
      <c r="N264" s="94"/>
      <c r="O264" s="94"/>
      <c r="P264" s="94"/>
      <c r="Q264" s="94"/>
      <c r="R264" s="94"/>
      <c r="S264" s="94"/>
      <c r="T264" s="94"/>
    </row>
    <row r="265" spans="1:20" s="2" customFormat="1" ht="12.75">
      <c r="A265" s="64" t="s">
        <v>94</v>
      </c>
      <c r="B265" s="112"/>
      <c r="C265" s="28">
        <f>+'Entrate tot e finalizzati'!C265-'Entrate tot e finalizzati'!D265</f>
        <v>0</v>
      </c>
      <c r="D265" s="28">
        <f>+'Entrate tot e finalizzati'!E265-'Entrate tot e finalizzati'!F265</f>
        <v>0</v>
      </c>
      <c r="E265" s="28">
        <f>+'Entrate tot e finalizzati'!G265-'Entrate tot e finalizzati'!H265</f>
        <v>0</v>
      </c>
      <c r="F265" s="28">
        <f>+'Entrate tot e finalizzati'!I265-'Entrate tot e finalizzati'!J265</f>
        <v>0</v>
      </c>
      <c r="G265" s="28">
        <f>+'Entrate tot e finalizzati'!K265-'Entrate tot e finalizzati'!L265</f>
        <v>0</v>
      </c>
      <c r="H265" s="28">
        <f>+'Entrate tot e finalizzati'!M265-'Entrate tot e finalizzati'!N265</f>
        <v>0</v>
      </c>
      <c r="I265" s="28">
        <f>+'Entrate tot e finalizzati'!O265-'Entrate tot e finalizzati'!P265</f>
        <v>0</v>
      </c>
      <c r="J265" s="28">
        <f>+'Entrate tot e finalizzati'!Q265-'Entrate tot e finalizzati'!R265</f>
        <v>0</v>
      </c>
      <c r="K265" s="28">
        <f>+'Entrate tot e finalizzati'!S265-'Entrate tot e finalizzati'!T265</f>
        <v>0</v>
      </c>
      <c r="L265" s="28">
        <f>+'Entrate tot e finalizzati'!U265-'Entrate tot e finalizzati'!V265</f>
        <v>0</v>
      </c>
      <c r="M265" s="33"/>
      <c r="N265" s="33"/>
      <c r="O265" s="33"/>
      <c r="P265" s="33"/>
      <c r="Q265" s="33"/>
      <c r="R265" s="33"/>
      <c r="S265" s="33"/>
      <c r="T265" s="33"/>
    </row>
    <row r="266" spans="1:20" s="2" customFormat="1" ht="12.75">
      <c r="A266" s="76"/>
      <c r="B266" s="42" t="s">
        <v>98</v>
      </c>
      <c r="C266" s="21">
        <f>+'Entrate tot e finalizzati'!C266-'Entrate tot e finalizzati'!D266</f>
        <v>0</v>
      </c>
      <c r="D266" s="21">
        <f>+'Entrate tot e finalizzati'!E266-'Entrate tot e finalizzati'!F266</f>
        <v>0</v>
      </c>
      <c r="E266" s="21">
        <f>+'Entrate tot e finalizzati'!G266-'Entrate tot e finalizzati'!H266</f>
        <v>0</v>
      </c>
      <c r="F266" s="21">
        <f>+'Entrate tot e finalizzati'!I266-'Entrate tot e finalizzati'!J266</f>
        <v>0</v>
      </c>
      <c r="G266" s="21">
        <f>+'Entrate tot e finalizzati'!K266-'Entrate tot e finalizzati'!L266</f>
        <v>0</v>
      </c>
      <c r="H266" s="21">
        <f>+'Entrate tot e finalizzati'!M266-'Entrate tot e finalizzati'!N266</f>
        <v>0</v>
      </c>
      <c r="I266" s="21">
        <f>+'Entrate tot e finalizzati'!O266-'Entrate tot e finalizzati'!P266</f>
        <v>0</v>
      </c>
      <c r="J266" s="21">
        <f>+'Entrate tot e finalizzati'!Q266-'Entrate tot e finalizzati'!R266</f>
        <v>0</v>
      </c>
      <c r="K266" s="21">
        <f>+'Entrate tot e finalizzati'!S266-'Entrate tot e finalizzati'!T266</f>
        <v>0</v>
      </c>
      <c r="L266" s="21">
        <f>+'Entrate tot e finalizzati'!U266-'Entrate tot e finalizzati'!V266</f>
        <v>0</v>
      </c>
      <c r="M266" s="33"/>
      <c r="N266" s="33"/>
      <c r="O266" s="33"/>
      <c r="P266" s="33"/>
      <c r="Q266" s="33"/>
      <c r="R266" s="33"/>
      <c r="S266" s="33"/>
      <c r="T266" s="33"/>
    </row>
    <row r="267" spans="1:20" s="2" customFormat="1" ht="12.75">
      <c r="A267" s="76"/>
      <c r="B267" s="101" t="s">
        <v>95</v>
      </c>
      <c r="C267" s="121">
        <f>+'Entrate tot e finalizzati'!C267-'Entrate tot e finalizzati'!D267</f>
        <v>0</v>
      </c>
      <c r="D267" s="21">
        <f>+'Entrate tot e finalizzati'!E267-'Entrate tot e finalizzati'!F267</f>
        <v>0</v>
      </c>
      <c r="E267" s="21">
        <f>+'Entrate tot e finalizzati'!G267-'Entrate tot e finalizzati'!H267</f>
        <v>0</v>
      </c>
      <c r="F267" s="21">
        <f>+'Entrate tot e finalizzati'!I267-'Entrate tot e finalizzati'!J267</f>
        <v>0</v>
      </c>
      <c r="G267" s="21">
        <f>+'Entrate tot e finalizzati'!K267-'Entrate tot e finalizzati'!L267</f>
        <v>0</v>
      </c>
      <c r="H267" s="21">
        <f>+'Entrate tot e finalizzati'!M267-'Entrate tot e finalizzati'!N267</f>
        <v>0</v>
      </c>
      <c r="I267" s="21">
        <f>+'Entrate tot e finalizzati'!O267-'Entrate tot e finalizzati'!P267</f>
        <v>0</v>
      </c>
      <c r="J267" s="21">
        <f>+'Entrate tot e finalizzati'!Q267-'Entrate tot e finalizzati'!R267</f>
        <v>0</v>
      </c>
      <c r="K267" s="21">
        <f>+'Entrate tot e finalizzati'!S267-'Entrate tot e finalizzati'!T267</f>
        <v>0</v>
      </c>
      <c r="L267" s="21">
        <f>+'Entrate tot e finalizzati'!U267-'Entrate tot e finalizzati'!V267</f>
        <v>0</v>
      </c>
      <c r="M267" s="33"/>
      <c r="N267" s="33"/>
      <c r="O267" s="33"/>
      <c r="P267" s="33"/>
      <c r="Q267" s="33"/>
      <c r="R267" s="33"/>
      <c r="S267" s="33"/>
      <c r="T267" s="33"/>
    </row>
    <row r="268" spans="1:20" s="2" customFormat="1" ht="12.75">
      <c r="A268" s="47"/>
      <c r="B268" s="102" t="s">
        <v>60</v>
      </c>
      <c r="C268" s="85">
        <f>+'Entrate tot e finalizzati'!C268-'Entrate tot e finalizzati'!D268</f>
        <v>0</v>
      </c>
      <c r="D268" s="32">
        <f>+'Entrate tot e finalizzati'!E268-'Entrate tot e finalizzati'!F268</f>
        <v>0</v>
      </c>
      <c r="E268" s="32">
        <f>+'Entrate tot e finalizzati'!G268-'Entrate tot e finalizzati'!H268</f>
        <v>0</v>
      </c>
      <c r="F268" s="32">
        <f>+'Entrate tot e finalizzati'!I268-'Entrate tot e finalizzati'!J268</f>
        <v>0</v>
      </c>
      <c r="G268" s="32">
        <f>+'Entrate tot e finalizzati'!K268-'Entrate tot e finalizzati'!L268</f>
        <v>0</v>
      </c>
      <c r="H268" s="32">
        <f>+'Entrate tot e finalizzati'!M268-'Entrate tot e finalizzati'!N268</f>
        <v>0</v>
      </c>
      <c r="I268" s="32">
        <f>+'Entrate tot e finalizzati'!O268-'Entrate tot e finalizzati'!P268</f>
        <v>0</v>
      </c>
      <c r="J268" s="32">
        <f>+'Entrate tot e finalizzati'!Q268-'Entrate tot e finalizzati'!R268</f>
        <v>0</v>
      </c>
      <c r="K268" s="32">
        <f>+'Entrate tot e finalizzati'!S268-'Entrate tot e finalizzati'!T268</f>
        <v>0</v>
      </c>
      <c r="L268" s="32">
        <f>+'Entrate tot e finalizzati'!U268-'Entrate tot e finalizzati'!V268</f>
        <v>0</v>
      </c>
      <c r="M268" s="33"/>
      <c r="N268" s="33"/>
      <c r="O268" s="33"/>
      <c r="P268" s="33"/>
      <c r="Q268" s="33"/>
      <c r="R268" s="33"/>
      <c r="S268" s="33"/>
      <c r="T268" s="33"/>
    </row>
    <row r="269" spans="1:12" ht="12.75">
      <c r="A269" s="64" t="s">
        <v>102</v>
      </c>
      <c r="B269" s="112"/>
      <c r="C269" s="28">
        <f>+'Entrate tot e finalizzati'!C269-'Entrate tot e finalizzati'!D269</f>
        <v>0</v>
      </c>
      <c r="D269" s="28">
        <f>+'Entrate tot e finalizzati'!E269-'Entrate tot e finalizzati'!F269</f>
        <v>0</v>
      </c>
      <c r="E269" s="28">
        <f>+'Entrate tot e finalizzati'!G269-'Entrate tot e finalizzati'!H269</f>
        <v>0</v>
      </c>
      <c r="F269" s="28">
        <f>+'Entrate tot e finalizzati'!I269-'Entrate tot e finalizzati'!J269</f>
        <v>0</v>
      </c>
      <c r="G269" s="28">
        <f>+'Entrate tot e finalizzati'!K269-'Entrate tot e finalizzati'!L269</f>
        <v>0</v>
      </c>
      <c r="H269" s="28">
        <f>+'Entrate tot e finalizzati'!M269-'Entrate tot e finalizzati'!N269</f>
        <v>0</v>
      </c>
      <c r="I269" s="28">
        <f>+'Entrate tot e finalizzati'!O269-'Entrate tot e finalizzati'!P269</f>
        <v>0</v>
      </c>
      <c r="J269" s="28">
        <f>+'Entrate tot e finalizzati'!Q269-'Entrate tot e finalizzati'!R269</f>
        <v>0</v>
      </c>
      <c r="K269" s="28">
        <f>+'Entrate tot e finalizzati'!S269-'Entrate tot e finalizzati'!T269</f>
        <v>0</v>
      </c>
      <c r="L269" s="28">
        <f>+'Entrate tot e finalizzati'!U269-'Entrate tot e finalizzati'!V269</f>
        <v>0</v>
      </c>
    </row>
    <row r="270" spans="1:12" ht="12.75">
      <c r="A270" s="76"/>
      <c r="B270" s="42" t="s">
        <v>98</v>
      </c>
      <c r="C270" s="21">
        <f>+'Entrate tot e finalizzati'!C270-'Entrate tot e finalizzati'!D270</f>
        <v>0</v>
      </c>
      <c r="D270" s="21">
        <f>+'Entrate tot e finalizzati'!E270-'Entrate tot e finalizzati'!F270</f>
        <v>0</v>
      </c>
      <c r="E270" s="21">
        <f>+'Entrate tot e finalizzati'!G270-'Entrate tot e finalizzati'!H270</f>
        <v>0</v>
      </c>
      <c r="F270" s="21">
        <f>+'Entrate tot e finalizzati'!I270-'Entrate tot e finalizzati'!J270</f>
        <v>0</v>
      </c>
      <c r="G270" s="21">
        <f>+'Entrate tot e finalizzati'!K270-'Entrate tot e finalizzati'!L270</f>
        <v>0</v>
      </c>
      <c r="H270" s="21">
        <f>+'Entrate tot e finalizzati'!M270-'Entrate tot e finalizzati'!N270</f>
        <v>0</v>
      </c>
      <c r="I270" s="21">
        <f>+'Entrate tot e finalizzati'!O270-'Entrate tot e finalizzati'!P270</f>
        <v>0</v>
      </c>
      <c r="J270" s="21">
        <f>+'Entrate tot e finalizzati'!Q270-'Entrate tot e finalizzati'!R270</f>
        <v>0</v>
      </c>
      <c r="K270" s="21">
        <f>+'Entrate tot e finalizzati'!S270-'Entrate tot e finalizzati'!T270</f>
        <v>0</v>
      </c>
      <c r="L270" s="21">
        <f>+'Entrate tot e finalizzati'!U270-'Entrate tot e finalizzati'!V270</f>
        <v>0</v>
      </c>
    </row>
    <row r="271" spans="1:12" ht="12.75">
      <c r="A271" s="47"/>
      <c r="B271" s="102" t="s">
        <v>60</v>
      </c>
      <c r="C271" s="85">
        <f>+'Entrate tot e finalizzati'!C271-'Entrate tot e finalizzati'!D271</f>
        <v>0</v>
      </c>
      <c r="D271" s="32">
        <f>+'Entrate tot e finalizzati'!E271-'Entrate tot e finalizzati'!F271</f>
        <v>0</v>
      </c>
      <c r="E271" s="32">
        <f>+'Entrate tot e finalizzati'!G271-'Entrate tot e finalizzati'!H271</f>
        <v>0</v>
      </c>
      <c r="F271" s="32">
        <f>+'Entrate tot e finalizzati'!I271-'Entrate tot e finalizzati'!J271</f>
        <v>0</v>
      </c>
      <c r="G271" s="32">
        <f>+'Entrate tot e finalizzati'!K271-'Entrate tot e finalizzati'!L271</f>
        <v>0</v>
      </c>
      <c r="H271" s="32">
        <f>+'Entrate tot e finalizzati'!M271-'Entrate tot e finalizzati'!N271</f>
        <v>0</v>
      </c>
      <c r="I271" s="32">
        <f>+'Entrate tot e finalizzati'!O271-'Entrate tot e finalizzati'!P271</f>
        <v>0</v>
      </c>
      <c r="J271" s="32">
        <f>+'Entrate tot e finalizzati'!Q271-'Entrate tot e finalizzati'!R271</f>
        <v>0</v>
      </c>
      <c r="K271" s="32">
        <f>+'Entrate tot e finalizzati'!S271-'Entrate tot e finalizzati'!T271</f>
        <v>0</v>
      </c>
      <c r="L271" s="32">
        <f>+'Entrate tot e finalizzati'!U271-'Entrate tot e finalizzati'!V271</f>
        <v>0</v>
      </c>
    </row>
    <row r="272" spans="1:12" ht="12.75">
      <c r="A272" s="64" t="s">
        <v>3</v>
      </c>
      <c r="B272" s="112"/>
      <c r="C272" s="28">
        <f>+'Entrate tot e finalizzati'!C272-'Entrate tot e finalizzati'!D272</f>
        <v>0</v>
      </c>
      <c r="D272" s="28">
        <f>+'Entrate tot e finalizzati'!E272-'Entrate tot e finalizzati'!F272</f>
        <v>0</v>
      </c>
      <c r="E272" s="28">
        <f>+'Entrate tot e finalizzati'!G272-'Entrate tot e finalizzati'!H272</f>
        <v>1</v>
      </c>
      <c r="F272" s="28">
        <f>+'Entrate tot e finalizzati'!I272-'Entrate tot e finalizzati'!J272</f>
        <v>0</v>
      </c>
      <c r="G272" s="28">
        <f>+'Entrate tot e finalizzati'!K272-'Entrate tot e finalizzati'!L272</f>
        <v>0</v>
      </c>
      <c r="H272" s="28">
        <f>+'Entrate tot e finalizzati'!M272-'Entrate tot e finalizzati'!N272</f>
        <v>0</v>
      </c>
      <c r="I272" s="28">
        <f>+'Entrate tot e finalizzati'!O272-'Entrate tot e finalizzati'!P272</f>
        <v>0</v>
      </c>
      <c r="J272" s="28">
        <f>+'Entrate tot e finalizzati'!Q272-'Entrate tot e finalizzati'!R272</f>
        <v>0</v>
      </c>
      <c r="K272" s="28">
        <f>+'Entrate tot e finalizzati'!S272-'Entrate tot e finalizzati'!T272</f>
        <v>0</v>
      </c>
      <c r="L272" s="28">
        <f>+'Entrate tot e finalizzati'!U272-'Entrate tot e finalizzati'!V272</f>
        <v>0</v>
      </c>
    </row>
    <row r="273" spans="1:12" ht="12.75">
      <c r="A273" s="76"/>
      <c r="B273" s="42" t="s">
        <v>34</v>
      </c>
      <c r="C273" s="21">
        <f>+'Entrate tot e finalizzati'!C273-'Entrate tot e finalizzati'!D273</f>
        <v>0</v>
      </c>
      <c r="D273" s="21">
        <f>+'Entrate tot e finalizzati'!E273-'Entrate tot e finalizzati'!F273</f>
        <v>0</v>
      </c>
      <c r="E273" s="21">
        <f>+'Entrate tot e finalizzati'!G273-'Entrate tot e finalizzati'!H273</f>
        <v>1</v>
      </c>
      <c r="F273" s="21">
        <f>+'Entrate tot e finalizzati'!I273-'Entrate tot e finalizzati'!J273</f>
        <v>0</v>
      </c>
      <c r="G273" s="21">
        <f>+'Entrate tot e finalizzati'!K273-'Entrate tot e finalizzati'!L273</f>
        <v>0</v>
      </c>
      <c r="H273" s="21">
        <f>+'Entrate tot e finalizzati'!M273-'Entrate tot e finalizzati'!N273</f>
        <v>0</v>
      </c>
      <c r="I273" s="21">
        <f>+'Entrate tot e finalizzati'!O273-'Entrate tot e finalizzati'!P273</f>
        <v>0</v>
      </c>
      <c r="J273" s="21">
        <f>+'Entrate tot e finalizzati'!Q273-'Entrate tot e finalizzati'!R273</f>
        <v>0</v>
      </c>
      <c r="K273" s="21">
        <f>+'Entrate tot e finalizzati'!S273-'Entrate tot e finalizzati'!T273</f>
        <v>0</v>
      </c>
      <c r="L273" s="21">
        <f>+'Entrate tot e finalizzati'!U273-'Entrate tot e finalizzati'!V273</f>
        <v>0</v>
      </c>
    </row>
    <row r="274" spans="1:12" ht="12.75">
      <c r="A274" s="13"/>
      <c r="B274" s="17" t="s">
        <v>60</v>
      </c>
      <c r="C274" s="22">
        <f>+'Entrate tot e finalizzati'!C274-'Entrate tot e finalizzati'!D274</f>
        <v>0</v>
      </c>
      <c r="D274" s="22">
        <f>+'Entrate tot e finalizzati'!E274-'Entrate tot e finalizzati'!F274</f>
        <v>0</v>
      </c>
      <c r="E274" s="22">
        <f>+'Entrate tot e finalizzati'!G274-'Entrate tot e finalizzati'!H274</f>
        <v>0</v>
      </c>
      <c r="F274" s="22">
        <f>+'Entrate tot e finalizzati'!I274-'Entrate tot e finalizzati'!J274</f>
        <v>0</v>
      </c>
      <c r="G274" s="22">
        <f>+'Entrate tot e finalizzati'!K274-'Entrate tot e finalizzati'!L274</f>
        <v>0</v>
      </c>
      <c r="H274" s="22">
        <f>+'Entrate tot e finalizzati'!M274-'Entrate tot e finalizzati'!N274</f>
        <v>0</v>
      </c>
      <c r="I274" s="22">
        <f>+'Entrate tot e finalizzati'!O274-'Entrate tot e finalizzati'!P274</f>
        <v>0</v>
      </c>
      <c r="J274" s="22">
        <f>+'Entrate tot e finalizzati'!Q274-'Entrate tot e finalizzati'!R274</f>
        <v>0</v>
      </c>
      <c r="K274" s="22">
        <f>+'Entrate tot e finalizzati'!S274-'Entrate tot e finalizzati'!T274</f>
        <v>0</v>
      </c>
      <c r="L274" s="22">
        <f>+'Entrate tot e finalizzati'!U274-'Entrate tot e finalizzati'!V274</f>
        <v>0</v>
      </c>
    </row>
    <row r="275" spans="1:12" ht="15.75">
      <c r="A275" s="90" t="s">
        <v>5</v>
      </c>
      <c r="B275" s="113"/>
      <c r="C275" s="67">
        <f>+'Entrate tot e finalizzati'!C275-'Entrate tot e finalizzati'!D275</f>
        <v>436163</v>
      </c>
      <c r="D275" s="67">
        <f>+'Entrate tot e finalizzati'!E275-'Entrate tot e finalizzati'!F275</f>
        <v>450278</v>
      </c>
      <c r="E275" s="67">
        <f>+'Entrate tot e finalizzati'!G275-'Entrate tot e finalizzati'!H275</f>
        <v>472130</v>
      </c>
      <c r="F275" s="67">
        <f>+'Entrate tot e finalizzati'!I275-'Entrate tot e finalizzati'!J275</f>
        <v>475519</v>
      </c>
      <c r="G275" s="67">
        <f>+'Entrate tot e finalizzati'!K275-'Entrate tot e finalizzati'!L275</f>
        <v>486880</v>
      </c>
      <c r="H275" s="67">
        <f>+'Entrate tot e finalizzati'!M275-'Entrate tot e finalizzati'!N275</f>
        <v>476218</v>
      </c>
      <c r="I275" s="67">
        <f>+'Entrate tot e finalizzati'!O275-'Entrate tot e finalizzati'!P275</f>
        <v>503464</v>
      </c>
      <c r="J275" s="67">
        <f>+'Entrate tot e finalizzati'!Q275-'Entrate tot e finalizzati'!R275</f>
        <v>502511</v>
      </c>
      <c r="K275" s="67">
        <f>+'Entrate tot e finalizzati'!S275-'Entrate tot e finalizzati'!T275</f>
        <v>502091</v>
      </c>
      <c r="L275" s="67">
        <f>+'Entrate tot e finalizzati'!U275-'Entrate tot e finalizzati'!V275</f>
        <v>503975</v>
      </c>
    </row>
    <row r="277" ht="12.75">
      <c r="G277" s="4"/>
    </row>
    <row r="448" ht="12.75">
      <c r="C448" s="4" t="s">
        <v>6</v>
      </c>
    </row>
  </sheetData>
  <printOptions horizontalCentered="1"/>
  <pageMargins left="0.2362204724409449" right="0.1968503937007874" top="0.15" bottom="0.13" header="0.14" footer="0.11"/>
  <pageSetup horizontalDpi="600" verticalDpi="600" orientation="landscape" paperSize="9" scale="90" r:id="rId1"/>
  <rowBreaks count="7" manualBreakCount="7">
    <brk id="38" max="11" man="1"/>
    <brk id="81" max="11" man="1"/>
    <brk id="124" max="11" man="1"/>
    <brk id="147" max="11" man="1"/>
    <brk id="170" max="11" man="1"/>
    <brk id="203" max="11" man="1"/>
    <brk id="2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2011-04-14T09:37:44Z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