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165" windowHeight="5250" tabRatio="601" activeTab="0"/>
  </bookViews>
  <sheets>
    <sheet name="Cons spec tot e finalizzati" sheetId="1" r:id="rId1"/>
    <sheet name="Cons spec netti " sheetId="2" r:id="rId2"/>
    <sheet name="Staff politico isti" sheetId="3" r:id="rId3"/>
    <sheet name="SEG GEN" sheetId="4" r:id="rId4"/>
    <sheet name="Gabinetto" sheetId="5" r:id="rId5"/>
    <sheet name="PM" sheetId="6" r:id="rId6"/>
    <sheet name="Avvocatura" sheetId="7" r:id="rId7"/>
    <sheet name="Mark_ter" sheetId="8" r:id="rId8"/>
    <sheet name="Segreteria Generale" sheetId="9" r:id="rId9"/>
    <sheet name="Consulenza giu" sheetId="10" r:id="rId10"/>
    <sheet name="Dip Qualità città" sheetId="11" r:id="rId11"/>
    <sheet name="Dir Dip Qualità città " sheetId="12" r:id="rId12"/>
    <sheet name="Urbanistica" sheetId="13" r:id="rId13"/>
    <sheet name="Ambiente " sheetId="14" r:id="rId14"/>
    <sheet name="Mobilità" sheetId="15" r:id="rId15"/>
    <sheet name="LLPP" sheetId="16" r:id="rId16"/>
    <sheet name="Patrimonio" sheetId="17" r:id="rId17"/>
    <sheet name="Dip servizi famiglie" sheetId="18" r:id="rId18"/>
    <sheet name="Dir Dip servizi famiglie" sheetId="19" r:id="rId19"/>
    <sheet name="Sociale e salute" sheetId="20" r:id="rId20"/>
    <sheet name="Istruzione" sheetId="21" r:id="rId21"/>
    <sheet name="Casa" sheetId="22" r:id="rId22"/>
    <sheet name="Cultura" sheetId="23" r:id="rId23"/>
    <sheet name="Vivibilità urbana" sheetId="24" r:id="rId24"/>
    <sheet name="Dip bilancio" sheetId="25" r:id="rId25"/>
    <sheet name="Finanze" sheetId="26" r:id="rId26"/>
    <sheet name="Entrate" sheetId="27" r:id="rId27"/>
    <sheet name="Gare" sheetId="28" r:id="rId28"/>
    <sheet name="Dip Programmazione" sheetId="29" r:id="rId29"/>
    <sheet name="Dip Organizzazione" sheetId="30" r:id="rId30"/>
    <sheet name="Sistemi info" sheetId="31" r:id="rId31"/>
    <sheet name="Personale " sheetId="32" r:id="rId32"/>
    <sheet name="Comunicazione " sheetId="33" r:id="rId33"/>
    <sheet name="Affari ist" sheetId="34" r:id="rId34"/>
    <sheet name="Quartieri" sheetId="35" r:id="rId35"/>
    <sheet name="Coord Quartieri" sheetId="36" r:id="rId36"/>
    <sheet name="Q.Borgo" sheetId="37" r:id="rId37"/>
    <sheet name="Q.Navile" sheetId="38" r:id="rId38"/>
    <sheet name="Q.Porto" sheetId="39" r:id="rId39"/>
    <sheet name="Q.Reno" sheetId="40" r:id="rId40"/>
    <sheet name="Q.SDonato" sheetId="41" r:id="rId41"/>
    <sheet name="Q.SStefano" sheetId="42" r:id="rId42"/>
    <sheet name="Q.SVitale" sheetId="43" r:id="rId43"/>
    <sheet name="Q.Saragozza" sheetId="44" r:id="rId44"/>
    <sheet name="Q.Savena" sheetId="45" r:id="rId45"/>
    <sheet name="TOTALE CS" sheetId="46" r:id="rId46"/>
  </sheets>
  <externalReferences>
    <externalReference r:id="rId49"/>
  </externalReferences>
  <definedNames>
    <definedName name="_xlnm.Print_Area" localSheetId="33">'Affari ist'!$I$1:$W$17</definedName>
    <definedName name="_xlnm.Print_Area" localSheetId="13">'Ambiente '!$I$1:$W$17</definedName>
    <definedName name="_xlnm.Print_Area" localSheetId="6">'Avvocatura'!$I$1:$W$17</definedName>
    <definedName name="_xlnm.Print_Area" localSheetId="21">'Casa'!$I$1:$W$17</definedName>
    <definedName name="_xlnm.Print_Area" localSheetId="32">'Comunicazione '!$I$1:$W$17</definedName>
    <definedName name="_xlnm.Print_Area" localSheetId="1">'Cons spec netti '!$A$1:$K$226</definedName>
    <definedName name="_xlnm.Print_Area" localSheetId="0">'Cons spec tot e finalizzati'!$A$1:$S$231</definedName>
    <definedName name="_xlnm.Print_Area" localSheetId="9">'Consulenza giu'!$I$1:$W$17</definedName>
    <definedName name="_xlnm.Print_Area" localSheetId="35">'Coord Quartieri'!$I$1:$W$17</definedName>
    <definedName name="_xlnm.Print_Area" localSheetId="22">'Cultura'!$I$1:$W$17</definedName>
    <definedName name="_xlnm.Print_Area" localSheetId="24">'Dip bilancio'!$I$1:$W$17</definedName>
    <definedName name="_xlnm.Print_Area" localSheetId="29">'Dip Organizzazione'!$I$1:$W$17</definedName>
    <definedName name="_xlnm.Print_Area" localSheetId="28">'Dip Programmazione'!$I$1:$W$17</definedName>
    <definedName name="_xlnm.Print_Area" localSheetId="10">'Dip Qualità città'!$I$1:$W$17</definedName>
    <definedName name="_xlnm.Print_Area" localSheetId="17">'Dip servizi famiglie'!$I$1:$W$17</definedName>
    <definedName name="_xlnm.Print_Area" localSheetId="11">'Dir Dip Qualità città '!$I$1:$W$17</definedName>
    <definedName name="_xlnm.Print_Area" localSheetId="18">'Dir Dip servizi famiglie'!$I$1:$W$17</definedName>
    <definedName name="_xlnm.Print_Area" localSheetId="26">'Entrate'!$I$1:$W$17</definedName>
    <definedName name="_xlnm.Print_Area" localSheetId="25">'Finanze'!$I$1:$W$17</definedName>
    <definedName name="_xlnm.Print_Area" localSheetId="4">'Gabinetto'!$I$1:$W$17</definedName>
    <definedName name="_xlnm.Print_Area" localSheetId="27">'Gare'!$I$1:$W$17</definedName>
    <definedName name="_xlnm.Print_Area" localSheetId="20">'Istruzione'!$I$1:$W$17</definedName>
    <definedName name="_xlnm.Print_Area" localSheetId="15">'LLPP'!$I$1:$W$17</definedName>
    <definedName name="_xlnm.Print_Area" localSheetId="7">'Mark_ter'!$I$1:$W$17</definedName>
    <definedName name="_xlnm.Print_Area" localSheetId="14">'Mobilità'!$I$1:$W$17</definedName>
    <definedName name="_xlnm.Print_Area" localSheetId="16">'Patrimonio'!$I$1:$W$17</definedName>
    <definedName name="_xlnm.Print_Area" localSheetId="31">'Personale '!$I$1:$W$17</definedName>
    <definedName name="_xlnm.Print_Area" localSheetId="5">'PM'!$I$1:$W$17</definedName>
    <definedName name="_xlnm.Print_Area" localSheetId="36">'Q.Borgo'!$I$1:$W$17</definedName>
    <definedName name="_xlnm.Print_Area" localSheetId="37">'Q.Navile'!$I$1:$W$17</definedName>
    <definedName name="_xlnm.Print_Area" localSheetId="38">'Q.Porto'!$I$1:$W$17</definedName>
    <definedName name="_xlnm.Print_Area" localSheetId="39">'Q.Reno'!$I$1:$W$17</definedName>
    <definedName name="_xlnm.Print_Area" localSheetId="43">'Q.Saragozza'!$I$1:$W$17</definedName>
    <definedName name="_xlnm.Print_Area" localSheetId="44">'Q.Savena'!$I$1:$W$17</definedName>
    <definedName name="_xlnm.Print_Area" localSheetId="40">'Q.SDonato'!$I$1:$W$17</definedName>
    <definedName name="_xlnm.Print_Area" localSheetId="41">'Q.SStefano'!$I$1:$W$17</definedName>
    <definedName name="_xlnm.Print_Area" localSheetId="42">'Q.SVitale'!$I$1:$W$17</definedName>
    <definedName name="_xlnm.Print_Area" localSheetId="34">'Quartieri'!$I$1:$W$17</definedName>
    <definedName name="_xlnm.Print_Area" localSheetId="3">'SEG GEN'!$I$1:$W$17</definedName>
    <definedName name="_xlnm.Print_Area" localSheetId="8">'Segreteria Generale'!$I$1:$W$23</definedName>
    <definedName name="_xlnm.Print_Area" localSheetId="30">'Sistemi info'!$I$1:$W$17</definedName>
    <definedName name="_xlnm.Print_Area" localSheetId="19">'Sociale e salute'!$I$1:$W$17</definedName>
    <definedName name="_xlnm.Print_Area" localSheetId="2">'Staff politico isti'!$I$1:$W$17</definedName>
    <definedName name="_xlnm.Print_Area" localSheetId="45">'TOTALE CS'!$I$1:$W$17</definedName>
    <definedName name="_xlnm.Print_Area" localSheetId="12">'Urbanistica'!$I$1:$W$17</definedName>
    <definedName name="_xlnm.Print_Area" localSheetId="23">'Vivibilità urbana'!$I$1:$W$17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'Cons spec netti '!$6:$8</definedName>
    <definedName name="_xlnm.Print_Titles" localSheetId="0">'Cons spec tot e finalizzati'!$6:$8</definedName>
  </definedNames>
  <calcPr fullCalcOnLoad="1"/>
</workbook>
</file>

<file path=xl/sharedStrings.xml><?xml version="1.0" encoding="utf-8"?>
<sst xmlns="http://schemas.openxmlformats.org/spreadsheetml/2006/main" count="758" uniqueCount="174">
  <si>
    <t>UFFICIO STAMPA</t>
  </si>
  <si>
    <t>CERIMONIALE</t>
  </si>
  <si>
    <t>PROTEZIONE CIVILE</t>
  </si>
  <si>
    <t>DIREZIONE, AMMINISTRAZIONE/ALTRO</t>
  </si>
  <si>
    <t>DIREZIONE, AMMINISTRAZIONE, CDG/ALTRO</t>
  </si>
  <si>
    <t>GESTIONE ACQUISTI - FORNITORI</t>
  </si>
  <si>
    <t>STUDI E INTERVENTI STORICO MONUMENTALI</t>
  </si>
  <si>
    <t>EDILIZIA PUBBLICA</t>
  </si>
  <si>
    <t>MANUTENZIONE VERDE</t>
  </si>
  <si>
    <t>PERSONALE E ORGANIZZAZIONE NON GESTITI</t>
  </si>
  <si>
    <t>PROGETTAZIONE E SVILUPPO</t>
  </si>
  <si>
    <t>ISTITUZIONE CINETECA</t>
  </si>
  <si>
    <t xml:space="preserve">ISTITUZIONE GALLERIA D'ARTE MODERNA </t>
  </si>
  <si>
    <t>ENTI CULTURALI NON GESTITI</t>
  </si>
  <si>
    <t>SPORT</t>
  </si>
  <si>
    <t>DIREZIONE, AMMINISTRAZIONE E CDG/ALTRO</t>
  </si>
  <si>
    <t>SERVIZI A MINORI E FAMIGLIE</t>
  </si>
  <si>
    <t>SERVIZI SOCIALI PER ADULTI</t>
  </si>
  <si>
    <t>SISTEMA INFORMATIVO TERRITORIALE</t>
  </si>
  <si>
    <t>QUARTIERE BORGO PANIGALE</t>
  </si>
  <si>
    <t>DIREZIONE, AFFARI GENERALI E ISTITUZIONALI</t>
  </si>
  <si>
    <t>SERVIZI SOCIO-ASSISTENZIALI</t>
  </si>
  <si>
    <t>COORDINAMENTO SERVIZI SCOLASTICI</t>
  </si>
  <si>
    <t>SCUOLA DELL'INFANZIA</t>
  </si>
  <si>
    <t>QUARTIERE NAVILE</t>
  </si>
  <si>
    <t>QUARTIERE PORTO</t>
  </si>
  <si>
    <t>QUARTIERE RENO</t>
  </si>
  <si>
    <t>QUARTIERE S.DONATO</t>
  </si>
  <si>
    <t>QUARTIERE S.STEFANO</t>
  </si>
  <si>
    <t>QUARTIERE S.VITALE</t>
  </si>
  <si>
    <t>QUARTIERE SARAGOZZA</t>
  </si>
  <si>
    <t>QUARTIERE SAVENA</t>
  </si>
  <si>
    <t>TOTALE</t>
  </si>
  <si>
    <t>+</t>
  </si>
  <si>
    <t>TOT</t>
  </si>
  <si>
    <t>TEATRI, SPETTACOLO E PROMOZ. GIOVANI ARTISTI E LL.FF.AA.</t>
  </si>
  <si>
    <t>Indice inflazione</t>
  </si>
  <si>
    <t>CONS</t>
  </si>
  <si>
    <t>Consumi specifici finalizzati</t>
  </si>
  <si>
    <t>Indice consumi specifici netti</t>
  </si>
  <si>
    <t>STATISTICA</t>
  </si>
  <si>
    <t>Consumi specifici netti</t>
  </si>
  <si>
    <t>SEGRETERIE DELL'ESECUTIVO</t>
  </si>
  <si>
    <t>ENTRATE</t>
  </si>
  <si>
    <t>QUALITA'</t>
  </si>
  <si>
    <t>TECNOLOGIE ED ESERCIZIO</t>
  </si>
  <si>
    <t>SERVIZI ALL'INFANZIA</t>
  </si>
  <si>
    <t>QUARTIERI</t>
  </si>
  <si>
    <t xml:space="preserve">DIREZIONE, AMM.NE/ALTRO </t>
  </si>
  <si>
    <t xml:space="preserve">SEGRETERIA GENERALE </t>
  </si>
  <si>
    <t>INTERVENTI PER DISABILI DELEGATI ALL'A.U.S.L.</t>
  </si>
  <si>
    <t xml:space="preserve">LABORATORI E AULE DIDATTICHE CENTRALI </t>
  </si>
  <si>
    <t xml:space="preserve">DIRITTO ALLO STUDIO/HANDICAP/RETE SCOLASTICA </t>
  </si>
  <si>
    <t xml:space="preserve">COMITATO BOLOGNA 2000  </t>
  </si>
  <si>
    <t>PROGETTI E RELAZIONI INTERNAZIONALI</t>
  </si>
  <si>
    <t xml:space="preserve">ISTITUTI ALDINI VALERIANI E SIRANI </t>
  </si>
  <si>
    <t>NOTA RELATIVE ALLE MODIFICHE ORGANIZZATIVE E CONSEGUENTE RIALLOCAZIONE DELLE RISORSE:</t>
  </si>
  <si>
    <t xml:space="preserve">SERVIZI SOCIALI ANZIANI E DISABILI </t>
  </si>
  <si>
    <t>STRADE E FOGNATURE</t>
  </si>
  <si>
    <t>SERVIZI SOCIALI PER ANZIANI</t>
  </si>
  <si>
    <t>SERVIZI SOCIALI PER DISABILI</t>
  </si>
  <si>
    <t xml:space="preserve">SERVIZI PER L'IMMIGRAZIONE </t>
  </si>
  <si>
    <t>ATTIVITA' CULTURALI E PALAZZO RE ENZO</t>
  </si>
  <si>
    <t>SOGGIORNI VACANZA</t>
  </si>
  <si>
    <t>SOGGIORNI STUDIO E PROMOZIONE SCAMBI SCOLASTICI</t>
  </si>
  <si>
    <t xml:space="preserve">GIOVANI </t>
  </si>
  <si>
    <t>QUALITA' AMBIENTALE</t>
  </si>
  <si>
    <t>PROCESSI URBANISTICI</t>
  </si>
  <si>
    <t xml:space="preserve">PARCHEGGI E GESTIONE PIANO SOSTA  </t>
  </si>
  <si>
    <t>SERVIZI TECNICI</t>
  </si>
  <si>
    <t>COORDINAMENTO SUOLO E SOTTOSUOLO</t>
  </si>
  <si>
    <t>PROGETTI SPECIALI</t>
  </si>
  <si>
    <t>TRASPORTI</t>
  </si>
  <si>
    <t>MANUTENZIONE STRADE E SEGNALETICA</t>
  </si>
  <si>
    <t>MANUTENZIONE IMPIANTI</t>
  </si>
  <si>
    <t>MANUTENZIONE EDILIZIA</t>
  </si>
  <si>
    <t>SERVIZI DI COMUNICAZIONE</t>
  </si>
  <si>
    <t>COORDINAMENTO NUCLEO TERRITORIALE E CENTRO STORICO</t>
  </si>
  <si>
    <t xml:space="preserve">PROCEDURE AMMINISTRATIVE E POLIZIA GIUDIZIARIA </t>
  </si>
  <si>
    <t xml:space="preserve">MOBILITA' E SICUREZZA URBANA </t>
  </si>
  <si>
    <t>di cui fin.(*)</t>
  </si>
  <si>
    <t>* Per risorse "fin." si intendono le entrate derivanti da trasferimenti ed altro a cui corrisponde un'uscita vincolata.</t>
  </si>
  <si>
    <t>PARTECIPAZIONI SOCIETARIE</t>
  </si>
  <si>
    <t>POLITICHE PER LA SICUREZZA</t>
  </si>
  <si>
    <t>PATRIMONIO</t>
  </si>
  <si>
    <t>LAVORI PUBBLICI</t>
  </si>
  <si>
    <t>SERVIZI DEMOGRAFICI</t>
  </si>
  <si>
    <t>DIRITTO ALLO STUDIO E ALTRE STRUTTURE EDUCATIVE</t>
  </si>
  <si>
    <t>CULTURA/GIOVANI/SPORT</t>
  </si>
  <si>
    <t xml:space="preserve">E' stata effettuata una riclassificazione delle risorse sulla struttura economica dei gruppi di centro di costo fatte salve alcuni eccezioni evidenziate in corsivo </t>
  </si>
  <si>
    <t>FORMAZIONE E CENTRO SERVIZI FORMATIVI</t>
  </si>
  <si>
    <t>INNOV. AMM.VA/REGOLAMENTI/CITTA' METROPOLITANA</t>
  </si>
  <si>
    <t>DIREZIONE, AMMINISTRAZIONE, CDG, /ALTRO</t>
  </si>
  <si>
    <t>PROMOZIONE TURISTICA</t>
  </si>
  <si>
    <t>SEGRETERIA GENERALE</t>
  </si>
  <si>
    <t>TOTALE CONSUMI SPECIFICI</t>
  </si>
  <si>
    <t>EDILIZIA SCOLASTICA</t>
  </si>
  <si>
    <t>COORDINAMENTO SOCIALE E SALUTE</t>
  </si>
  <si>
    <t>POLITICHE DELLE DIFFERENZE</t>
  </si>
  <si>
    <t>QUARTIERE SAN DONATO</t>
  </si>
  <si>
    <t>QUARTIERE SANTO STEFANO</t>
  </si>
  <si>
    <t>QUARTIERE SAN VITALE</t>
  </si>
  <si>
    <t>TORNA ALLA PRIMA PAGINA</t>
  </si>
  <si>
    <t>PROG. E COORD. SERVIZI PER IL LAVORO E IL CONSUMATORE</t>
  </si>
  <si>
    <t>SALUTE E SERVIZI CIMITERIALI</t>
  </si>
  <si>
    <t xml:space="preserve">CONSUMI SPECIFICI: SERIE STORICA RICLASSIFICATA (1999- 2008) </t>
  </si>
  <si>
    <t>SERVIZI INVALIDI CIVILI</t>
  </si>
  <si>
    <t>ISTITUZIONE PER L'INCLUSIONE SOCIALE E COMUNITARIA</t>
  </si>
  <si>
    <t>SCUOLE DELL'INFANZIA</t>
  </si>
  <si>
    <t>NIDI E ALTRI SERVIZI E OPPORTUNITA' PRIMA INFANZIA</t>
  </si>
  <si>
    <t xml:space="preserve">ORGANIZZAZIONE E RELAZIONI SINDACALI </t>
  </si>
  <si>
    <t>GESTIONE RISORSE UMANE</t>
  </si>
  <si>
    <t>PROGRAMMAZIONE A.P.C. E SUPPORTO GIURIDICO</t>
  </si>
  <si>
    <t>SVILUPPO ECONOMICO</t>
  </si>
  <si>
    <t>GESTIONE A.P.C. E SPORTELLO IMPRESE</t>
  </si>
  <si>
    <t>(*) Il 2001 è al netto di contributi (€ 37.640 mgl) per trasporto pubblico locale da stato e regione trasferiti ad ATC</t>
  </si>
  <si>
    <t>DIREZIONE, AMMINISTRAZIONE, CDG/ALTRO (*)</t>
  </si>
  <si>
    <t xml:space="preserve">CONSUMI SPECIFICI: SERIE STORICA RICLASSIFICATA (2000 - 2009) </t>
  </si>
  <si>
    <t>SETTORI DI STAFF ISTITUZIONALE</t>
  </si>
  <si>
    <t>SEGRETARIO GENERALE</t>
  </si>
  <si>
    <t>EX DIREZIONE GENERALE E PROGETTI SPECIALI</t>
  </si>
  <si>
    <t>GABINETTO DEL COMMISSARIO</t>
  </si>
  <si>
    <t xml:space="preserve">POLIZIA MUNICIPALE </t>
  </si>
  <si>
    <t>AVVOCATURA</t>
  </si>
  <si>
    <t>MARKETING TERRITORIALE</t>
  </si>
  <si>
    <t>PROMOBOLOGNA</t>
  </si>
  <si>
    <t>CONSULENZA GIURIDICA</t>
  </si>
  <si>
    <t>DIPARTIMENTO QUALITA' DELLA CITTA'</t>
  </si>
  <si>
    <t>DIREZIONE DIPARTIMENTO QUALITA' DELLA CITTA'</t>
  </si>
  <si>
    <t>PROGRAMMI STRATEGICI</t>
  </si>
  <si>
    <t>SICUREZZA E LOGISTICA</t>
  </si>
  <si>
    <t>URBANISTICA</t>
  </si>
  <si>
    <t>SPORTELLO UNICO PER EDILIZIA</t>
  </si>
  <si>
    <t xml:space="preserve">AMBIENTE </t>
  </si>
  <si>
    <t>PROGETTO SFM</t>
  </si>
  <si>
    <t>SPORTELLO PER LA MOBILITA' SOSTENIBILE</t>
  </si>
  <si>
    <t>MOBILITA' (*)</t>
  </si>
  <si>
    <t>EDILIZIA CIVILE</t>
  </si>
  <si>
    <t>INFRASTRUTTURE</t>
  </si>
  <si>
    <t>IMPIANTI SPECIALI</t>
  </si>
  <si>
    <t xml:space="preserve">URBANIZZAZIONI </t>
  </si>
  <si>
    <t>RETI INFRASTRUTTURALI</t>
  </si>
  <si>
    <t>DIPARTIMENTO SERVIZI ALLE FAMIGLIE</t>
  </si>
  <si>
    <t>DIREZIONE DIPARTIMENTO SERVIZI ALLE FAMIGLIE</t>
  </si>
  <si>
    <t>OSSERVATORIO E STUDI SULLE FAMIGLIE</t>
  </si>
  <si>
    <t>SUPPORTO ATTIVITA' DELEGATE</t>
  </si>
  <si>
    <t>EX PROGETTO SVILUPPO SETTORE MEDIO-ALTO ISTRUZIONE</t>
  </si>
  <si>
    <t xml:space="preserve">ISTRUZIONE </t>
  </si>
  <si>
    <t>CASA</t>
  </si>
  <si>
    <t>PROGETTO PORTI E PORTICI</t>
  </si>
  <si>
    <t>ISTITUZIONE MUSEI</t>
  </si>
  <si>
    <t>ISTITUZIONE BIBLIOTECHE</t>
  </si>
  <si>
    <t>CENTRO DOCUMENTAZIONE DELLE DONNE</t>
  </si>
  <si>
    <t xml:space="preserve">AREA CULTURA </t>
  </si>
  <si>
    <t>AREA VIVIBILITA' URBANA</t>
  </si>
  <si>
    <t>DIPARTIMENTO BILANCIO</t>
  </si>
  <si>
    <t>FINANZE</t>
  </si>
  <si>
    <t>GARE</t>
  </si>
  <si>
    <t>EX SETTORE AMMINISTRATIVO LAVORI E OPERE PUBBLICHE</t>
  </si>
  <si>
    <t>DIPARTIMENTO PROGRAMMAZIONE</t>
  </si>
  <si>
    <t>DIREZIONE DIPARTIMENTO PROGRAMMAZIONE</t>
  </si>
  <si>
    <t>CONTROLLI</t>
  </si>
  <si>
    <t>DIPARTIMENTO ORGANIZZAZIONE</t>
  </si>
  <si>
    <t>TECNOLOGIE INFORMATICHE</t>
  </si>
  <si>
    <t xml:space="preserve">PERSONALE </t>
  </si>
  <si>
    <t xml:space="preserve">COMUNICAZIONE </t>
  </si>
  <si>
    <t>AREA AFFARI ISTITUZIONALI,DECENT.E CITTA' METR.</t>
  </si>
  <si>
    <t>LIBERE FORME ASSOCIATIVE</t>
  </si>
  <si>
    <t>AREA AFFARI SERVIZI DELEGATI-COORD.QUARTIERI</t>
  </si>
  <si>
    <t>SERVIZI PER ADULTI</t>
  </si>
  <si>
    <t>SERVIZI PER MINORI E FAMIGLIE</t>
  </si>
  <si>
    <t xml:space="preserve">MOBILITA' </t>
  </si>
  <si>
    <t>AREA AFFARI ISTITUZIONALE, DECENTRAMENTO E CITTA' METROPOLITANA</t>
  </si>
  <si>
    <t>AREA AFFARI SERVIZI DELEGATI - COORDINAMENTO QUARTIERI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</si>
</sst>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_-* #,##0.0_-;\-* #,##0.0_-;_-* &quot;-&quot;_-;_-@_-"/>
    <numFmt numFmtId="185" formatCode="0.0"/>
    <numFmt numFmtId="186" formatCode="0.000"/>
    <numFmt numFmtId="187" formatCode="0_ ;\-0\ "/>
    <numFmt numFmtId="188" formatCode="#,##0.0"/>
    <numFmt numFmtId="189" formatCode="#,##0_ ;\-#,##0\ 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Symbol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Symbol"/>
      <family val="1"/>
    </font>
    <font>
      <sz val="12"/>
      <name val="Symbol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11.75"/>
      <name val="Arial"/>
      <family val="0"/>
    </font>
    <font>
      <sz val="11.5"/>
      <name val="Arial"/>
      <family val="0"/>
    </font>
    <font>
      <b/>
      <sz val="14.5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0" fillId="0" borderId="0" xfId="18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41" fontId="0" fillId="0" borderId="0" xfId="18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1" fontId="1" fillId="0" borderId="4" xfId="18" applyFont="1" applyFill="1" applyBorder="1" applyAlignment="1">
      <alignment horizontal="right"/>
    </xf>
    <xf numFmtId="41" fontId="1" fillId="0" borderId="5" xfId="18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41" fontId="1" fillId="0" borderId="4" xfId="18" applyFont="1" applyFill="1" applyBorder="1" applyAlignment="1">
      <alignment/>
    </xf>
    <xf numFmtId="41" fontId="1" fillId="0" borderId="5" xfId="18" applyFont="1" applyBorder="1" applyAlignment="1">
      <alignment/>
    </xf>
    <xf numFmtId="41" fontId="1" fillId="0" borderId="6" xfId="18" applyFont="1" applyFill="1" applyBorder="1" applyAlignment="1">
      <alignment/>
    </xf>
    <xf numFmtId="41" fontId="1" fillId="0" borderId="4" xfId="18" applyFont="1" applyBorder="1" applyAlignment="1">
      <alignment/>
    </xf>
    <xf numFmtId="0" fontId="0" fillId="2" borderId="0" xfId="0" applyFill="1" applyAlignment="1">
      <alignment/>
    </xf>
    <xf numFmtId="0" fontId="11" fillId="0" borderId="2" xfId="0" applyFont="1" applyFill="1" applyBorder="1" applyAlignment="1">
      <alignment/>
    </xf>
    <xf numFmtId="41" fontId="11" fillId="0" borderId="7" xfId="18" applyFont="1" applyFill="1" applyBorder="1" applyAlignment="1">
      <alignment/>
    </xf>
    <xf numFmtId="0" fontId="2" fillId="0" borderId="3" xfId="0" applyFont="1" applyFill="1" applyBorder="1" applyAlignment="1">
      <alignment/>
    </xf>
    <xf numFmtId="41" fontId="0" fillId="0" borderId="0" xfId="18" applyFill="1" applyAlignment="1">
      <alignment/>
    </xf>
    <xf numFmtId="41" fontId="1" fillId="0" borderId="0" xfId="18" applyFont="1" applyAlignment="1">
      <alignment/>
    </xf>
    <xf numFmtId="41" fontId="10" fillId="0" borderId="0" xfId="18" applyFont="1" applyBorder="1" applyAlignment="1">
      <alignment horizontal="centerContinuous"/>
    </xf>
    <xf numFmtId="41" fontId="2" fillId="3" borderId="8" xfId="18" applyFont="1" applyFill="1" applyBorder="1" applyAlignment="1">
      <alignment horizontal="centerContinuous"/>
    </xf>
    <xf numFmtId="41" fontId="2" fillId="4" borderId="9" xfId="18" applyFont="1" applyFill="1" applyBorder="1" applyAlignment="1">
      <alignment/>
    </xf>
    <xf numFmtId="41" fontId="11" fillId="0" borderId="4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2" fillId="4" borderId="8" xfId="18" applyFont="1" applyFill="1" applyBorder="1" applyAlignment="1">
      <alignment/>
    </xf>
    <xf numFmtId="41" fontId="2" fillId="4" borderId="4" xfId="18" applyFont="1" applyFill="1" applyBorder="1" applyAlignment="1">
      <alignment/>
    </xf>
    <xf numFmtId="41" fontId="1" fillId="0" borderId="4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2" fillId="0" borderId="4" xfId="18" applyFont="1" applyFill="1" applyBorder="1" applyAlignment="1">
      <alignment/>
    </xf>
    <xf numFmtId="41" fontId="1" fillId="0" borderId="7" xfId="18" applyFont="1" applyFill="1" applyBorder="1" applyAlignment="1">
      <alignment/>
    </xf>
    <xf numFmtId="41" fontId="1" fillId="0" borderId="7" xfId="18" applyFont="1" applyBorder="1" applyAlignment="1">
      <alignment/>
    </xf>
    <xf numFmtId="41" fontId="1" fillId="0" borderId="4" xfId="18" applyFont="1" applyBorder="1" applyAlignment="1">
      <alignment/>
    </xf>
    <xf numFmtId="41" fontId="5" fillId="5" borderId="7" xfId="18" applyFont="1" applyFill="1" applyBorder="1" applyAlignment="1">
      <alignment/>
    </xf>
    <xf numFmtId="41" fontId="1" fillId="0" borderId="0" xfId="18" applyFont="1" applyAlignment="1">
      <alignment/>
    </xf>
    <xf numFmtId="41" fontId="2" fillId="4" borderId="10" xfId="18" applyFont="1" applyFill="1" applyBorder="1" applyAlignment="1">
      <alignment/>
    </xf>
    <xf numFmtId="41" fontId="2" fillId="4" borderId="8" xfId="18" applyFont="1" applyFill="1" applyBorder="1" applyAlignment="1">
      <alignment/>
    </xf>
    <xf numFmtId="41" fontId="1" fillId="0" borderId="0" xfId="18" applyFont="1" applyFill="1" applyAlignment="1">
      <alignment/>
    </xf>
    <xf numFmtId="41" fontId="4" fillId="0" borderId="0" xfId="18" applyFont="1" applyFill="1" applyAlignment="1">
      <alignment/>
    </xf>
    <xf numFmtId="41" fontId="15" fillId="0" borderId="0" xfId="18" applyFont="1" applyFill="1" applyBorder="1" applyAlignment="1">
      <alignment horizontal="left"/>
    </xf>
    <xf numFmtId="41" fontId="14" fillId="0" borderId="0" xfId="18" applyFont="1" applyBorder="1" applyAlignment="1">
      <alignment horizontal="centerContinuous"/>
    </xf>
    <xf numFmtId="41" fontId="1" fillId="0" borderId="0" xfId="18" applyFont="1" applyBorder="1" applyAlignment="1">
      <alignment/>
    </xf>
    <xf numFmtId="41" fontId="13" fillId="3" borderId="3" xfId="18" applyFont="1" applyFill="1" applyBorder="1" applyAlignment="1">
      <alignment horizontal="centerContinuous"/>
    </xf>
    <xf numFmtId="41" fontId="13" fillId="3" borderId="6" xfId="18" applyFont="1" applyFill="1" applyBorder="1" applyAlignment="1">
      <alignment horizontal="centerContinuous"/>
    </xf>
    <xf numFmtId="41" fontId="11" fillId="0" borderId="4" xfId="18" applyFont="1" applyFill="1" applyBorder="1" applyAlignment="1">
      <alignment horizontal="right"/>
    </xf>
    <xf numFmtId="41" fontId="0" fillId="0" borderId="0" xfId="18" applyFill="1" applyBorder="1" applyAlignment="1">
      <alignment/>
    </xf>
    <xf numFmtId="41" fontId="11" fillId="0" borderId="5" xfId="18" applyFont="1" applyFill="1" applyBorder="1" applyAlignment="1">
      <alignment/>
    </xf>
    <xf numFmtId="41" fontId="11" fillId="0" borderId="4" xfId="18" applyFont="1" applyBorder="1" applyAlignment="1">
      <alignment/>
    </xf>
    <xf numFmtId="41" fontId="11" fillId="0" borderId="7" xfId="18" applyFont="1" applyBorder="1" applyAlignment="1">
      <alignment/>
    </xf>
    <xf numFmtId="41" fontId="12" fillId="0" borderId="0" xfId="18" applyFont="1" applyFill="1" applyAlignment="1">
      <alignment/>
    </xf>
    <xf numFmtId="41" fontId="0" fillId="2" borderId="0" xfId="18" applyFill="1" applyAlignment="1">
      <alignment/>
    </xf>
    <xf numFmtId="41" fontId="2" fillId="0" borderId="0" xfId="18" applyFont="1" applyFill="1" applyBorder="1" applyAlignment="1">
      <alignment/>
    </xf>
    <xf numFmtId="0" fontId="13" fillId="3" borderId="11" xfId="18" applyNumberFormat="1" applyFont="1" applyFill="1" applyBorder="1" applyAlignment="1">
      <alignment horizontal="centerContinuous"/>
    </xf>
    <xf numFmtId="0" fontId="13" fillId="3" borderId="12" xfId="18" applyNumberFormat="1" applyFont="1" applyFill="1" applyBorder="1" applyAlignment="1">
      <alignment horizontal="centerContinuous"/>
    </xf>
    <xf numFmtId="0" fontId="2" fillId="3" borderId="12" xfId="18" applyNumberFormat="1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4" borderId="11" xfId="15" applyFill="1" applyBorder="1" applyAlignment="1">
      <alignment/>
    </xf>
    <xf numFmtId="0" fontId="17" fillId="4" borderId="13" xfId="15" applyFill="1" applyBorder="1" applyAlignment="1">
      <alignment/>
    </xf>
    <xf numFmtId="0" fontId="17" fillId="4" borderId="0" xfId="15" applyFill="1" applyBorder="1" applyAlignment="1">
      <alignment/>
    </xf>
    <xf numFmtId="0" fontId="17" fillId="2" borderId="13" xfId="15" applyFill="1" applyBorder="1" applyAlignment="1">
      <alignment/>
    </xf>
    <xf numFmtId="0" fontId="17" fillId="0" borderId="14" xfId="15" applyBorder="1" applyAlignment="1">
      <alignment/>
    </xf>
    <xf numFmtId="0" fontId="17" fillId="0" borderId="15" xfId="15" applyBorder="1" applyAlignment="1">
      <alignment/>
    </xf>
    <xf numFmtId="0" fontId="17" fillId="4" borderId="11" xfId="15" applyFont="1" applyFill="1" applyBorder="1" applyAlignment="1">
      <alignment/>
    </xf>
    <xf numFmtId="41" fontId="13" fillId="3" borderId="3" xfId="18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" xfId="0" applyFont="1" applyFill="1" applyBorder="1" applyAlignment="1">
      <alignment/>
    </xf>
    <xf numFmtId="41" fontId="19" fillId="0" borderId="4" xfId="18" applyFont="1" applyBorder="1" applyAlignment="1">
      <alignment/>
    </xf>
    <xf numFmtId="0" fontId="19" fillId="0" borderId="0" xfId="0" applyFont="1" applyBorder="1" applyAlignment="1">
      <alignment/>
    </xf>
    <xf numFmtId="41" fontId="19" fillId="0" borderId="5" xfId="18" applyFont="1" applyBorder="1" applyAlignment="1">
      <alignment/>
    </xf>
    <xf numFmtId="0" fontId="20" fillId="0" borderId="3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41" fontId="0" fillId="0" borderId="0" xfId="18" applyFill="1" applyAlignment="1">
      <alignment/>
    </xf>
    <xf numFmtId="0" fontId="13" fillId="3" borderId="9" xfId="18" applyNumberFormat="1" applyFont="1" applyFill="1" applyBorder="1" applyAlignment="1">
      <alignment horizontal="centerContinuous"/>
    </xf>
    <xf numFmtId="41" fontId="13" fillId="3" borderId="7" xfId="18" applyFont="1" applyFill="1" applyBorder="1" applyAlignment="1">
      <alignment horizontal="center"/>
    </xf>
    <xf numFmtId="184" fontId="0" fillId="0" borderId="0" xfId="18" applyNumberForma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7" fillId="4" borderId="1" xfId="15" applyFont="1" applyFill="1" applyBorder="1" applyAlignment="1">
      <alignment/>
    </xf>
    <xf numFmtId="41" fontId="7" fillId="2" borderId="9" xfId="18" applyFont="1" applyFill="1" applyBorder="1" applyAlignment="1">
      <alignment/>
    </xf>
    <xf numFmtId="0" fontId="17" fillId="2" borderId="11" xfId="15" applyFont="1" applyFill="1" applyBorder="1" applyAlignment="1">
      <alignment/>
    </xf>
    <xf numFmtId="41" fontId="2" fillId="4" borderId="7" xfId="18" applyFont="1" applyFill="1" applyBorder="1" applyAlignment="1">
      <alignment/>
    </xf>
    <xf numFmtId="41" fontId="2" fillId="4" borderId="7" xfId="18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7" fillId="0" borderId="0" xfId="15" applyAlignment="1">
      <alignment/>
    </xf>
    <xf numFmtId="0" fontId="17" fillId="2" borderId="12" xfId="15" applyFill="1" applyBorder="1" applyAlignment="1">
      <alignment/>
    </xf>
    <xf numFmtId="0" fontId="7" fillId="0" borderId="0" xfId="0" applyFont="1" applyAlignment="1">
      <alignment/>
    </xf>
    <xf numFmtId="0" fontId="17" fillId="4" borderId="14" xfId="15" applyFill="1" applyBorder="1" applyAlignment="1">
      <alignment/>
    </xf>
    <xf numFmtId="0" fontId="17" fillId="4" borderId="15" xfId="15" applyFill="1" applyBorder="1" applyAlignment="1">
      <alignment/>
    </xf>
    <xf numFmtId="0" fontId="17" fillId="4" borderId="10" xfId="15" applyFill="1" applyBorder="1" applyAlignment="1">
      <alignment/>
    </xf>
    <xf numFmtId="0" fontId="19" fillId="0" borderId="2" xfId="0" applyFont="1" applyBorder="1" applyAlignment="1">
      <alignment/>
    </xf>
    <xf numFmtId="41" fontId="19" fillId="0" borderId="7" xfId="18" applyFont="1" applyBorder="1" applyAlignment="1">
      <alignment/>
    </xf>
    <xf numFmtId="41" fontId="19" fillId="0" borderId="6" xfId="18" applyFont="1" applyBorder="1" applyAlignment="1">
      <alignment/>
    </xf>
    <xf numFmtId="0" fontId="17" fillId="4" borderId="14" xfId="15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7" fillId="4" borderId="3" xfId="15" applyFill="1" applyBorder="1" applyAlignment="1">
      <alignment/>
    </xf>
    <xf numFmtId="0" fontId="17" fillId="4" borderId="2" xfId="15" applyFill="1" applyBorder="1" applyAlignment="1">
      <alignment/>
    </xf>
    <xf numFmtId="0" fontId="17" fillId="4" borderId="6" xfId="15" applyFill="1" applyBorder="1" applyAlignment="1">
      <alignment/>
    </xf>
    <xf numFmtId="41" fontId="2" fillId="4" borderId="6" xfId="18" applyFont="1" applyFill="1" applyBorder="1" applyAlignment="1">
      <alignment/>
    </xf>
    <xf numFmtId="0" fontId="11" fillId="0" borderId="6" xfId="0" applyFont="1" applyFill="1" applyBorder="1" applyAlignment="1">
      <alignment/>
    </xf>
    <xf numFmtId="41" fontId="11" fillId="0" borderId="6" xfId="18" applyFont="1" applyFill="1" applyBorder="1" applyAlignment="1">
      <alignment/>
    </xf>
    <xf numFmtId="0" fontId="2" fillId="0" borderId="3" xfId="0" applyFont="1" applyBorder="1" applyAlignment="1" quotePrefix="1">
      <alignment/>
    </xf>
    <xf numFmtId="41" fontId="19" fillId="0" borderId="1" xfId="18" applyFont="1" applyBorder="1" applyAlignment="1">
      <alignment/>
    </xf>
    <xf numFmtId="41" fontId="19" fillId="0" borderId="0" xfId="18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3" xfId="0" applyFont="1" applyBorder="1" applyAlignment="1" quotePrefix="1">
      <alignment/>
    </xf>
    <xf numFmtId="0" fontId="11" fillId="0" borderId="2" xfId="0" applyFont="1" applyBorder="1" applyAlignment="1">
      <alignment/>
    </xf>
    <xf numFmtId="41" fontId="11" fillId="0" borderId="7" xfId="18" applyFont="1" applyBorder="1" applyAlignment="1">
      <alignment horizontal="right"/>
    </xf>
    <xf numFmtId="41" fontId="5" fillId="0" borderId="0" xfId="18" applyFont="1" applyFill="1" applyBorder="1" applyAlignment="1">
      <alignment/>
    </xf>
    <xf numFmtId="41" fontId="5" fillId="5" borderId="8" xfId="18" applyFont="1" applyFill="1" applyBorder="1" applyAlignment="1">
      <alignment/>
    </xf>
    <xf numFmtId="0" fontId="17" fillId="4" borderId="1" xfId="15" applyFill="1" applyBorder="1" applyAlignment="1">
      <alignment/>
    </xf>
    <xf numFmtId="0" fontId="17" fillId="2" borderId="11" xfId="15" applyFill="1" applyBorder="1" applyAlignment="1">
      <alignment/>
    </xf>
    <xf numFmtId="41" fontId="0" fillId="0" borderId="0" xfId="18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SETTORI DI STAFF ISTITUZIONALE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'Staff politico isti'!$A$3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isti'!$B$3:$K$3</c:f>
              <c:numCache/>
            </c:numRef>
          </c:val>
        </c:ser>
        <c:ser>
          <c:idx val="0"/>
          <c:order val="1"/>
          <c:tx>
            <c:strRef>
              <c:f>'Staff politico isti'!$A$4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'Staff politico isti'!$B$2:$K$2</c:f>
              <c:numCache/>
            </c:numRef>
          </c:cat>
          <c:val>
            <c:numRef>
              <c:f>'Staff politico isti'!$B$4:$K$4</c:f>
              <c:numCache/>
            </c:numRef>
          </c:val>
        </c:ser>
        <c:overlap val="100"/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0"/>
        <c:lblOffset val="100"/>
        <c:noMultiLvlLbl val="0"/>
      </c:catAx>
      <c:valAx>
        <c:axId val="35277879"/>
        <c:scaling>
          <c:orientation val="minMax"/>
          <c:max val="15000"/>
        </c:scaling>
        <c:axPos val="l"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  <c:majorUnit val="3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Avvocatura!$A$6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Avvocatura!$B$2:$K$2</c:f>
              <c:numCache/>
            </c:numRef>
          </c:cat>
          <c:val>
            <c:numRef>
              <c:f>Avvocatura!$B$6:$K$6</c:f>
              <c:numCache/>
            </c:numRef>
          </c:val>
          <c:smooth val="0"/>
        </c:ser>
        <c:ser>
          <c:idx val="1"/>
          <c:order val="1"/>
          <c:tx>
            <c:strRef>
              <c:f>Avvocatura!$A$7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Avvocatura!$B$2:$K$2</c:f>
              <c:numCache/>
            </c:numRef>
          </c:cat>
          <c:val>
            <c:numRef>
              <c:f>Avvocatura!$B$7:$K$7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At val="80"/>
        <c:auto val="1"/>
        <c:lblOffset val="100"/>
        <c:noMultiLvlLbl val="0"/>
      </c:catAx>
      <c:valAx>
        <c:axId val="261057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5516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MARKETING TERRITORIALE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Mark_ter!$A$3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Mark_ter!$B$2:$K$2</c:f>
              <c:numCache/>
            </c:numRef>
          </c:cat>
          <c:val>
            <c:numRef>
              <c:f>Mark_ter!$B$3:$K$3</c:f>
              <c:numCache/>
            </c:numRef>
          </c:val>
        </c:ser>
        <c:ser>
          <c:idx val="0"/>
          <c:order val="1"/>
          <c:tx>
            <c:strRef>
              <c:f>Mark_ter!$A$4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Mark_ter!$B$2:$K$2</c:f>
              <c:numCache/>
            </c:numRef>
          </c:cat>
          <c:val>
            <c:numRef>
              <c:f>Mark_ter!$B$4:$K$4</c:f>
              <c:numCache/>
            </c:numRef>
          </c:val>
        </c:ser>
        <c:overlap val="100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0"/>
        <c:lblOffset val="100"/>
        <c:noMultiLvlLbl val="0"/>
      </c:catAx>
      <c:valAx>
        <c:axId val="21145627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  <c:majorUnit val="2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Mark_ter!$A$6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Mark_ter!$B$2:$K$2</c:f>
              <c:numCache/>
            </c:numRef>
          </c:cat>
          <c:val>
            <c:numRef>
              <c:f>Mark_ter!$B$6:$K$6</c:f>
              <c:numCache/>
            </c:numRef>
          </c:val>
          <c:smooth val="0"/>
        </c:ser>
        <c:ser>
          <c:idx val="1"/>
          <c:order val="1"/>
          <c:tx>
            <c:strRef>
              <c:f>Mark_ter!$A$7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Mark_ter!$B$2:$K$2</c:f>
              <c:numCache/>
            </c:numRef>
          </c:cat>
          <c:val>
            <c:numRef>
              <c:f>Mark_ter!$B$7:$K$7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At val="90"/>
        <c:auto val="1"/>
        <c:lblOffset val="100"/>
        <c:noMultiLvlLbl val="0"/>
      </c:catAx>
      <c:valAx>
        <c:axId val="35074197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SEGRETERIA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'Segreteria Generale'!$A$3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Generale'!$B$3:$K$3</c:f>
              <c:numCache/>
            </c:numRef>
          </c:val>
        </c:ser>
        <c:ser>
          <c:idx val="0"/>
          <c:order val="1"/>
          <c:tx>
            <c:strRef>
              <c:f>'Segreteria Generale'!$A$4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'Segreteria Generale'!$B$2:$K$2</c:f>
              <c:numCache/>
            </c:numRef>
          </c:cat>
          <c:val>
            <c:numRef>
              <c:f>'Segreteria Generale'!$B$4:$K$4</c:f>
              <c:numCache/>
            </c:numRef>
          </c:val>
        </c:ser>
        <c:overlap val="100"/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0"/>
        <c:lblOffset val="100"/>
        <c:noMultiLvlLbl val="0"/>
      </c:catAx>
      <c:valAx>
        <c:axId val="22437679"/>
        <c:scaling>
          <c:orientation val="minMax"/>
          <c:max val="900"/>
        </c:scaling>
        <c:axPos val="l"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  <c:minorUnit val="5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6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475"/>
          <c:w val="0.953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'Segreteria Generale'!$A$6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'Segreteria Generale'!$B$6:$K$6</c:f>
              <c:numCache/>
            </c:numRef>
          </c:val>
          <c:smooth val="0"/>
        </c:ser>
        <c:ser>
          <c:idx val="1"/>
          <c:order val="1"/>
          <c:tx>
            <c:strRef>
              <c:f>'Segreteria Generale'!$A$7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'Segreteria Generale'!$B$7:$K$7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At val="50"/>
        <c:auto val="1"/>
        <c:lblOffset val="100"/>
        <c:noMultiLvlLbl val="0"/>
      </c:catAx>
      <c:valAx>
        <c:axId val="5512681"/>
        <c:scaling>
          <c:orientation val="minMax"/>
          <c:max val="35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CONSULENZA GIURIDICA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'Consulenza giu'!$A$3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'Consulenza giu'!$B$2:$K$2</c:f>
              <c:numCache/>
            </c:numRef>
          </c:cat>
          <c:val>
            <c:numRef>
              <c:f>'Consulenza giu'!$B$3:$K$3</c:f>
              <c:numCache/>
            </c:numRef>
          </c:val>
        </c:ser>
        <c:ser>
          <c:idx val="0"/>
          <c:order val="1"/>
          <c:tx>
            <c:strRef>
              <c:f>'Consulenza giu'!$A$4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'Consulenza giu'!$B$2:$K$2</c:f>
              <c:numCache/>
            </c:numRef>
          </c:cat>
          <c:val>
            <c:numRef>
              <c:f>'Consulenza giu'!$B$4:$K$4</c:f>
              <c:numCache/>
            </c:numRef>
          </c:val>
        </c:ser>
        <c:overlap val="100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0"/>
        <c:lblOffset val="100"/>
        <c:noMultiLvlLbl val="0"/>
      </c:catAx>
      <c:valAx>
        <c:axId val="4387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'Consulenza giu'!$A$6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'Consulenza giu'!$B$2:$K$2</c:f>
              <c:numCache/>
            </c:numRef>
          </c:cat>
          <c:val>
            <c:numRef>
              <c:f>'Consulenza giu'!$B$6:$K$6</c:f>
              <c:numCache/>
            </c:numRef>
          </c:val>
          <c:smooth val="0"/>
        </c:ser>
        <c:ser>
          <c:idx val="1"/>
          <c:order val="1"/>
          <c:tx>
            <c:strRef>
              <c:f>'Consulenza giu'!$A$7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'Consulenza giu'!$B$2:$K$2</c:f>
              <c:numCache/>
            </c:numRef>
          </c:cat>
          <c:val>
            <c:numRef>
              <c:f>'Consulenza giu'!$B$7:$K$7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At val="60"/>
        <c:auto val="1"/>
        <c:lblOffset val="100"/>
        <c:noMultiLvlLbl val="0"/>
      </c:catAx>
      <c:valAx>
        <c:axId val="64132029"/>
        <c:scaling>
          <c:orientation val="minMax"/>
          <c:max val="12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QUALITA' DELLA CITTA'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Qualità città'!$A$3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Qualità città'!$B$2:$K$2</c:f>
              <c:numCache/>
            </c:numRef>
          </c:cat>
          <c:val>
            <c:numRef>
              <c:f>'Dip Qualità città'!$B$3:$K$3</c:f>
              <c:numCache/>
            </c:numRef>
          </c:val>
        </c:ser>
        <c:ser>
          <c:idx val="0"/>
          <c:order val="1"/>
          <c:tx>
            <c:strRef>
              <c:f>'Dip Qualità città'!$A$4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Qualità città'!$B$2:$K$2</c:f>
              <c:numCache/>
            </c:numRef>
          </c:cat>
          <c:val>
            <c:numRef>
              <c:f>'Dip Qualità città'!$B$4:$K$4</c:f>
              <c:numCache/>
            </c:numRef>
          </c:val>
        </c:ser>
        <c:overlap val="100"/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At val="0"/>
        <c:auto val="0"/>
        <c:lblOffset val="100"/>
        <c:noMultiLvlLbl val="0"/>
      </c:catAx>
      <c:valAx>
        <c:axId val="27311831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  <c:majorUnit val="10000"/>
        <c:minorUnit val="5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Qualità città'!$A$6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Qualità città'!$B$2:$K$2</c:f>
              <c:numCache/>
            </c:numRef>
          </c:cat>
          <c:val>
            <c:numRef>
              <c:f>'Dip Qualità città'!$B$6:$K$6</c:f>
              <c:numCache/>
            </c:numRef>
          </c:val>
          <c:smooth val="0"/>
        </c:ser>
        <c:ser>
          <c:idx val="1"/>
          <c:order val="1"/>
          <c:tx>
            <c:strRef>
              <c:f>'Dip Qualità città'!$A$7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Qualità città'!$B$2:$K$2</c:f>
              <c:numCache/>
            </c:numRef>
          </c:cat>
          <c:val>
            <c:numRef>
              <c:f>'Dip Qualità città'!$B$7:$K$7</c:f>
              <c:numCache/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At val="90"/>
        <c:auto val="1"/>
        <c:lblOffset val="100"/>
        <c:noMultiLvlLbl val="0"/>
      </c:catAx>
      <c:valAx>
        <c:axId val="64774673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DIPARTIMENTO QUALITA' DELLA CITTA'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Dip Qualità città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Qualità città '!$B$2:$K$2</c:f>
              <c:numCache/>
            </c:numRef>
          </c:cat>
          <c:val>
            <c:numRef>
              <c:f>'Dir Dip Qualità città '!$B$3:$K$3</c:f>
              <c:numCache/>
            </c:numRef>
          </c:val>
        </c:ser>
        <c:ser>
          <c:idx val="0"/>
          <c:order val="1"/>
          <c:tx>
            <c:strRef>
              <c:f>'Dir Dip Qualità città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Qualità città '!$B$2:$K$2</c:f>
              <c:numCache/>
            </c:numRef>
          </c:cat>
          <c:val>
            <c:numRef>
              <c:f>'Dir Dip Qualità città '!$B$4:$K$4</c:f>
              <c:numCache/>
            </c:numRef>
          </c:val>
        </c:ser>
        <c:overlap val="100"/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At val="0"/>
        <c:auto val="0"/>
        <c:lblOffset val="100"/>
        <c:noMultiLvlLbl val="0"/>
      </c:catAx>
      <c:valAx>
        <c:axId val="1225713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  <c:majorUnit val="100"/>
        <c:minorUnit val="5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'Staff politico isti'!$A$6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isti'!$B$6:$K$6</c:f>
              <c:numCache/>
            </c:numRef>
          </c:val>
          <c:smooth val="0"/>
        </c:ser>
        <c:ser>
          <c:idx val="1"/>
          <c:order val="1"/>
          <c:tx>
            <c:strRef>
              <c:f>'Staff politico isti'!$A$7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'Staff politico isti'!$B$2:$K$2</c:f>
              <c:numCache/>
            </c:numRef>
          </c:cat>
          <c:val>
            <c:numRef>
              <c:f>'Staff politico isti'!$B$7:$K$7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At val="100"/>
        <c:auto val="1"/>
        <c:lblOffset val="100"/>
        <c:noMultiLvlLbl val="0"/>
      </c:catAx>
      <c:valAx>
        <c:axId val="38935921"/>
        <c:scaling>
          <c:orientation val="minMax"/>
          <c:max val="3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'Dir Dip Qualità città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Qualità città '!$B$2:$K$2</c:f>
              <c:numCache/>
            </c:numRef>
          </c:cat>
          <c:val>
            <c:numRef>
              <c:f>'Dir Dip Qualità città '!$B$6:$K$6</c:f>
              <c:numCache/>
            </c:numRef>
          </c:val>
          <c:smooth val="0"/>
        </c:ser>
        <c:ser>
          <c:idx val="1"/>
          <c:order val="1"/>
          <c:tx>
            <c:strRef>
              <c:f>'Dir Dip Qualità città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Qualità città '!$B$2:$K$2</c:f>
              <c:numCache/>
            </c:numRef>
          </c:cat>
          <c:val>
            <c:numRef>
              <c:f>'Dir Dip Qualità città '!$B$7:$K$7</c:f>
              <c:numCache/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0"/>
        <c:auto val="1"/>
        <c:lblOffset val="100"/>
        <c:noMultiLvlLbl val="0"/>
      </c:catAx>
      <c:valAx>
        <c:axId val="5330352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"/>
          <c:w val="0.9655"/>
          <c:h val="0.8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Urbanistica!$A$3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Urbanistica!$B$2:$K$2</c:f>
              <c:numCache/>
            </c:numRef>
          </c:cat>
          <c:val>
            <c:numRef>
              <c:f>Urbanistica!$B$3:$K$3</c:f>
              <c:numCache/>
            </c:numRef>
          </c:val>
        </c:ser>
        <c:ser>
          <c:idx val="0"/>
          <c:order val="1"/>
          <c:tx>
            <c:strRef>
              <c:f>Urbanistica!$A$4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Urbanistica!$B$2:$K$2</c:f>
              <c:numCache/>
            </c:numRef>
          </c:cat>
          <c:val>
            <c:numRef>
              <c:f>Urbanistica!$B$4:$K$4</c:f>
              <c:numCache/>
            </c:numRef>
          </c:val>
        </c:ser>
        <c:overlap val="100"/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0"/>
        <c:lblOffset val="100"/>
        <c:noMultiLvlLbl val="0"/>
      </c:catAx>
      <c:val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Urbanistica!$A$6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Urbanistica!$B$2:$K$2</c:f>
              <c:numCache/>
            </c:numRef>
          </c:cat>
          <c:val>
            <c:numRef>
              <c:f>Urbanistica!$B$6:$K$6</c:f>
              <c:numCache/>
            </c:numRef>
          </c:val>
          <c:smooth val="0"/>
        </c:ser>
        <c:ser>
          <c:idx val="1"/>
          <c:order val="1"/>
          <c:tx>
            <c:strRef>
              <c:f>Urbanistica!$A$7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Urbanistica!$B$2:$K$2</c:f>
              <c:numCache/>
            </c:numRef>
          </c:cat>
          <c:val>
            <c:numRef>
              <c:f>Urbanistica!$B$7:$K$7</c:f>
              <c:numCache/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At val="0"/>
        <c:auto val="1"/>
        <c:lblOffset val="100"/>
        <c:noMultiLvlLbl val="0"/>
      </c:catAx>
      <c:valAx>
        <c:axId val="20138041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55"/>
          <c:w val="0.9655"/>
          <c:h val="0.71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'Ambiente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'!$B$3:$K$3</c:f>
              <c:numCache/>
            </c:numRef>
          </c:val>
        </c:ser>
        <c:ser>
          <c:idx val="0"/>
          <c:order val="1"/>
          <c:tx>
            <c:strRef>
              <c:f>'Ambiente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'Ambiente '!$B$2:$K$2</c:f>
              <c:numCache/>
            </c:numRef>
          </c:cat>
          <c:val>
            <c:numRef>
              <c:f>'Ambiente '!$B$4:$K$4</c:f>
              <c:numCache/>
            </c:numRef>
          </c:val>
        </c:ser>
        <c:overlap val="100"/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0"/>
        <c:auto val="0"/>
        <c:lblOffset val="100"/>
        <c:noMultiLvlLbl val="0"/>
      </c:catAx>
      <c:valAx>
        <c:axId val="20568595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  <c:majorUnit val="2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'Ambiente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'!$B$6:$K$6</c:f>
              <c:numCache/>
            </c:numRef>
          </c:val>
          <c:smooth val="0"/>
        </c:ser>
        <c:ser>
          <c:idx val="1"/>
          <c:order val="1"/>
          <c:tx>
            <c:strRef>
              <c:f>'Ambiente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'Ambiente '!$B$2:$K$2</c:f>
              <c:numCache/>
            </c:numRef>
          </c:cat>
          <c:val>
            <c:numRef>
              <c:f>'Ambiente '!$B$7:$K$7</c:f>
              <c:numCache/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At val="90"/>
        <c:auto val="1"/>
        <c:lblOffset val="100"/>
        <c:noMultiLvlLbl val="0"/>
      </c:catAx>
      <c:valAx>
        <c:axId val="55443469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MOBILITA'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964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Mobilità!$A$3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Mobilità!$B$3:$K$3</c:f>
              <c:numCache/>
            </c:numRef>
          </c:val>
        </c:ser>
        <c:ser>
          <c:idx val="0"/>
          <c:order val="1"/>
          <c:tx>
            <c:strRef>
              <c:f>Mobilità!$A$4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Mobilità!$B$2:$K$2</c:f>
              <c:numCache/>
            </c:numRef>
          </c:cat>
          <c:val>
            <c:numRef>
              <c:f>Mobilità!$B$4:$K$4</c:f>
              <c:numCache/>
            </c:numRef>
          </c:val>
        </c:ser>
        <c:overlap val="100"/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0"/>
        <c:lblOffset val="100"/>
        <c:noMultiLvlLbl val="0"/>
      </c:catAx>
      <c:valAx>
        <c:axId val="61735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9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Mobilità!$A$6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Mobilità!$B$6:$K$6</c:f>
              <c:numCache/>
            </c:numRef>
          </c:val>
          <c:smooth val="0"/>
        </c:ser>
        <c:ser>
          <c:idx val="1"/>
          <c:order val="1"/>
          <c:tx>
            <c:strRef>
              <c:f>Mobilità!$A$7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Mobilità!$B$2:$K$2</c:f>
              <c:numCache/>
            </c:numRef>
          </c:cat>
          <c:val>
            <c:numRef>
              <c:f>Mobilità!$B$7:$K$7</c:f>
              <c:numCache/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At val="60"/>
        <c:auto val="1"/>
        <c:lblOffset val="100"/>
        <c:noMultiLvlLbl val="0"/>
      </c:catAx>
      <c:valAx>
        <c:axId val="34558049"/>
        <c:scaling>
          <c:orientation val="minMax"/>
          <c:max val="14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LAVORI PUBBLICI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LLPP!$A$3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LLPP!$B$3:$K$3</c:f>
              <c:numCache/>
            </c:numRef>
          </c:val>
        </c:ser>
        <c:ser>
          <c:idx val="0"/>
          <c:order val="1"/>
          <c:tx>
            <c:strRef>
              <c:f>LLPP!$A$4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LLPP!$B$2:$K$2</c:f>
              <c:numCache/>
            </c:numRef>
          </c:cat>
          <c:val>
            <c:numRef>
              <c:f>LLPP!$B$4:$K$4</c:f>
              <c:numCache/>
            </c:numRef>
          </c:val>
        </c:ser>
        <c:overlap val="100"/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0"/>
        <c:lblOffset val="100"/>
        <c:noMultiLvlLbl val="0"/>
      </c:catAx>
      <c:valAx>
        <c:axId val="4773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LLPP!$A$6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LLPP!$B$6:$K$6</c:f>
              <c:numCache/>
            </c:numRef>
          </c:val>
          <c:smooth val="0"/>
        </c:ser>
        <c:ser>
          <c:idx val="1"/>
          <c:order val="1"/>
          <c:tx>
            <c:strRef>
              <c:f>LLPP!$A$7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LLPP!$B$2:$K$2</c:f>
              <c:numCache/>
            </c:numRef>
          </c:cat>
          <c:val>
            <c:numRef>
              <c:f>LLPP!$B$7:$K$7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At val="90"/>
        <c:auto val="1"/>
        <c:lblOffset val="100"/>
        <c:noMultiLvlLbl val="0"/>
      </c:catAx>
      <c:valAx>
        <c:axId val="41617717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PATRIMONIO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Patrimonio!$A$3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Patrimonio!$B$3:$K$3</c:f>
              <c:numCache/>
            </c:numRef>
          </c:val>
        </c:ser>
        <c:ser>
          <c:idx val="0"/>
          <c:order val="1"/>
          <c:tx>
            <c:strRef>
              <c:f>Patrimonio!$A$4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Patrimonio!$B$2:$K$2</c:f>
              <c:numCache/>
            </c:numRef>
          </c:cat>
          <c:val>
            <c:numRef>
              <c:f>Patrimonio!$B$4:$K$4</c:f>
              <c:numCache/>
            </c:numRef>
          </c:val>
        </c:ser>
        <c:overlap val="100"/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0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1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SEGRETARIO GENERALE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875"/>
          <c:w val="0.9637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'SEG GEN'!$A$3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 GEN'!$B$2:$K$2</c:f>
              <c:numCache/>
            </c:numRef>
          </c:cat>
          <c:val>
            <c:numRef>
              <c:f>'SEG GEN'!$B$3:$K$3</c:f>
              <c:numCache/>
            </c:numRef>
          </c:val>
        </c:ser>
        <c:ser>
          <c:idx val="0"/>
          <c:order val="1"/>
          <c:tx>
            <c:strRef>
              <c:f>'SEG GEN'!$A$4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 GEN'!$B$2:$K$2</c:f>
              <c:numCache/>
            </c:numRef>
          </c:cat>
          <c:val>
            <c:numRef>
              <c:f>'SEG GEN'!$B$4:$K$4</c:f>
              <c:numCache/>
            </c:numRef>
          </c:val>
        </c:ser>
        <c:overlap val="10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0"/>
        <c:lblOffset val="100"/>
        <c:noMultiLvlLbl val="0"/>
      </c:catAx>
      <c:valAx>
        <c:axId val="6680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0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Patrimonio!$A$6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Patrimonio!$B$6:$K$6</c:f>
              <c:numCache/>
            </c:numRef>
          </c:val>
          <c:smooth val="0"/>
        </c:ser>
        <c:ser>
          <c:idx val="1"/>
          <c:order val="1"/>
          <c:tx>
            <c:strRef>
              <c:f>Patrimonio!$A$7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Patrimonio!$B$2:$K$2</c:f>
              <c:numCache/>
            </c:numRef>
          </c:cat>
          <c:val>
            <c:numRef>
              <c:f>Patrimonio!$B$7:$K$7</c:f>
              <c:numCache/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0"/>
        <c:auto val="1"/>
        <c:lblOffset val="100"/>
        <c:noMultiLvlLbl val="0"/>
      </c:catAx>
      <c:valAx>
        <c:axId val="54983305"/>
        <c:scaling>
          <c:orientation val="minMax"/>
          <c:max val="1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SERVIZI ALLE FAMIGLIE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servizi famiglie'!$A$3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servizi famiglie'!$B$2:$K$2</c:f>
              <c:numCache/>
            </c:numRef>
          </c:cat>
          <c:val>
            <c:numRef>
              <c:f>'Dip servizi famiglie'!$B$3:$K$3</c:f>
              <c:numCache/>
            </c:numRef>
          </c:val>
        </c:ser>
        <c:ser>
          <c:idx val="0"/>
          <c:order val="1"/>
          <c:tx>
            <c:strRef>
              <c:f>'Dip servizi famiglie'!$A$4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servizi famiglie'!$B$2:$K$2</c:f>
              <c:numCache/>
            </c:numRef>
          </c:cat>
          <c:val>
            <c:numRef>
              <c:f>'Dip servizi famiglie'!$B$4:$K$4</c:f>
              <c:numCache/>
            </c:numRef>
          </c:val>
        </c:ser>
        <c:overlap val="100"/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0"/>
        <c:auto val="0"/>
        <c:lblOffset val="100"/>
        <c:noMultiLvlLbl val="0"/>
      </c:catAx>
      <c:valAx>
        <c:axId val="2446269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  <c:majorUnit val="5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servizi famiglie'!$A$6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servizi famiglie'!$B$2:$K$2</c:f>
              <c:numCache/>
            </c:numRef>
          </c:cat>
          <c:val>
            <c:numRef>
              <c:f>'Dip servizi famiglie'!$B$6:$K$6</c:f>
              <c:numCache/>
            </c:numRef>
          </c:val>
          <c:smooth val="0"/>
        </c:ser>
        <c:ser>
          <c:idx val="1"/>
          <c:order val="1"/>
          <c:tx>
            <c:strRef>
              <c:f>'Dip servizi famiglie'!$A$7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servizi famiglie'!$B$2:$K$2</c:f>
              <c:numCache/>
            </c:numRef>
          </c:cat>
          <c:val>
            <c:numRef>
              <c:f>'Dip servizi famiglie'!$B$7:$K$7</c:f>
              <c:numCache/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At val="20"/>
        <c:auto val="1"/>
        <c:lblOffset val="100"/>
        <c:noMultiLvlLbl val="0"/>
      </c:catAx>
      <c:valAx>
        <c:axId val="35320925"/>
        <c:scaling>
          <c:orientation val="minMax"/>
          <c:max val="13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DIPARTIMENTO SERVIZI ALLE FAMIGLIE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'Dir Dip servizi famiglie'!$A$3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servizi famiglie'!$B$2:$K$2</c:f>
              <c:numCache/>
            </c:numRef>
          </c:cat>
          <c:val>
            <c:numRef>
              <c:f>'Dir Dip servizi famiglie'!$B$3:$K$3</c:f>
              <c:numCache/>
            </c:numRef>
          </c:val>
        </c:ser>
        <c:ser>
          <c:idx val="0"/>
          <c:order val="1"/>
          <c:tx>
            <c:strRef>
              <c:f>'Dir Dip servizi famiglie'!$A$4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'Dir Dip servizi famiglie'!$B$2:$K$2</c:f>
              <c:numCache/>
            </c:numRef>
          </c:cat>
          <c:val>
            <c:numRef>
              <c:f>'Dir Dip servizi famiglie'!$B$4:$K$4</c:f>
              <c:numCache/>
            </c:numRef>
          </c:val>
        </c:ser>
        <c:overlap val="100"/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0"/>
        <c:lblOffset val="100"/>
        <c:noMultiLvlLbl val="0"/>
      </c:catAx>
      <c:valAx>
        <c:axId val="4242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5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'Dir Dip servizi famiglie'!$A$6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servizi famiglie'!$B$2:$K$2</c:f>
              <c:numCache/>
            </c:numRef>
          </c:cat>
          <c:val>
            <c:numRef>
              <c:f>'Dir Dip servizi famiglie'!$B$6:$K$6</c:f>
              <c:numCache/>
            </c:numRef>
          </c:val>
          <c:smooth val="0"/>
        </c:ser>
        <c:ser>
          <c:idx val="1"/>
          <c:order val="1"/>
          <c:tx>
            <c:strRef>
              <c:f>'Dir Dip servizi famiglie'!$A$7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 Dip servizi famiglie'!$B$2:$K$2</c:f>
              <c:numCache/>
            </c:numRef>
          </c:cat>
          <c:val>
            <c:numRef>
              <c:f>'Dir Dip servizi famiglie'!$B$7:$K$7</c:f>
              <c:numCache/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At val="90"/>
        <c:auto val="1"/>
        <c:lblOffset val="100"/>
        <c:noMultiLvlLbl val="0"/>
      </c:catAx>
      <c:valAx>
        <c:axId val="13682353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COORDINAMENTO SOCIALE E SALUTE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'Sociale e salute'!$A$3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salute'!$B$3:$K$3</c:f>
              <c:numCache/>
            </c:numRef>
          </c:val>
        </c:ser>
        <c:ser>
          <c:idx val="0"/>
          <c:order val="1"/>
          <c:tx>
            <c:strRef>
              <c:f>'Sociale e salute'!$A$4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'Sociale e salute'!$B$2:$K$2</c:f>
              <c:numCache/>
            </c:numRef>
          </c:cat>
          <c:val>
            <c:numRef>
              <c:f>'Sociale e salute'!$B$4:$K$4</c:f>
              <c:numCache/>
            </c:numRef>
          </c:val>
        </c:ser>
        <c:overlap val="100"/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0"/>
        <c:lblOffset val="100"/>
        <c:noMultiLvlLbl val="0"/>
      </c:catAx>
      <c:valAx>
        <c:axId val="34528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'Sociale e salute'!$A$6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salute'!$B$6:$K$6</c:f>
              <c:numCache/>
            </c:numRef>
          </c:val>
          <c:smooth val="0"/>
        </c:ser>
        <c:ser>
          <c:idx val="1"/>
          <c:order val="1"/>
          <c:tx>
            <c:strRef>
              <c:f>'Sociale e salute'!$A$7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'Sociale e salute'!$B$2:$K$2</c:f>
              <c:numCache/>
            </c:numRef>
          </c:cat>
          <c:val>
            <c:numRef>
              <c:f>'Sociale e salute'!$B$7:$K$7</c:f>
              <c:numCache/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At val="10"/>
        <c:auto val="1"/>
        <c:lblOffset val="100"/>
        <c:noMultiLvlLbl val="0"/>
      </c:catAx>
      <c:valAx>
        <c:axId val="45367685"/>
        <c:scaling>
          <c:orientation val="minMax"/>
          <c:max val="14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ISTRUZIONE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Istruzione!$A$3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Istruzione!$B$3:$K$3</c:f>
              <c:numCache/>
            </c:numRef>
          </c:val>
        </c:ser>
        <c:ser>
          <c:idx val="0"/>
          <c:order val="1"/>
          <c:tx>
            <c:strRef>
              <c:f>Istruzione!$A$4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Istruzione!$B$2:$K$2</c:f>
              <c:numCache/>
            </c:numRef>
          </c:cat>
          <c:val>
            <c:numRef>
              <c:f>Istruzione!$B$4:$K$4</c:f>
              <c:numCache/>
            </c:numRef>
          </c:val>
        </c:ser>
        <c:overlap val="100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0"/>
        <c:lblOffset val="100"/>
        <c:noMultiLvlLbl val="0"/>
      </c:catAx>
      <c:valAx>
        <c:axId val="50903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Istruzione!$A$6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Istruzione!$B$6:$K$6</c:f>
              <c:numCache/>
            </c:numRef>
          </c:val>
          <c:smooth val="0"/>
        </c:ser>
        <c:ser>
          <c:idx val="1"/>
          <c:order val="1"/>
          <c:tx>
            <c:strRef>
              <c:f>Istruzione!$A$7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Istruzione!$B$2:$K$2</c:f>
              <c:numCache/>
            </c:numRef>
          </c:cat>
          <c:val>
            <c:numRef>
              <c:f>Istruzione!$B$7:$K$7</c:f>
              <c:numCache/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At val="10"/>
        <c:auto val="1"/>
        <c:lblOffset val="100"/>
        <c:noMultiLvlLbl val="0"/>
      </c:catAx>
      <c:valAx>
        <c:axId val="29570265"/>
        <c:scaling>
          <c:orientation val="minMax"/>
          <c:max val="20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2"/>
          <c:w val="0.9655"/>
          <c:h val="0.7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Casa!$A$3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Casa!$B$3:$K$3</c:f>
              <c:numCache/>
            </c:numRef>
          </c:val>
        </c:ser>
        <c:ser>
          <c:idx val="0"/>
          <c:order val="1"/>
          <c:tx>
            <c:strRef>
              <c:f>Casa!$A$4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Casa!$B$2:$K$2</c:f>
              <c:numCache/>
            </c:numRef>
          </c:cat>
          <c:val>
            <c:numRef>
              <c:f>Casa!$B$4:$K$4</c:f>
              <c:numCache/>
            </c:numRef>
          </c:val>
        </c:ser>
        <c:overlap val="100"/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0"/>
        <c:lblOffset val="100"/>
        <c:noMultiLvlLbl val="0"/>
      </c:catAx>
      <c:valAx>
        <c:axId val="46381235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25"/>
          <c:w val="0.954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'SEG GEN'!$A$6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 GEN'!$B$2:$K$2</c:f>
              <c:numCache/>
            </c:numRef>
          </c:cat>
          <c:val>
            <c:numRef>
              <c:f>'SEG GEN'!$B$6:$K$6</c:f>
              <c:numCache/>
            </c:numRef>
          </c:val>
          <c:smooth val="0"/>
        </c:ser>
        <c:ser>
          <c:idx val="1"/>
          <c:order val="1"/>
          <c:tx>
            <c:strRef>
              <c:f>'SEG GEN'!$A$7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'SEG GEN'!$B$2:$K$2</c:f>
              <c:numCache/>
            </c:numRef>
          </c:cat>
          <c:val>
            <c:numRef>
              <c:f>'SEG GEN'!$B$7:$K$7</c:f>
              <c:numCache/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At val="100"/>
        <c:auto val="1"/>
        <c:lblOffset val="100"/>
        <c:noMultiLvlLbl val="0"/>
      </c:catAx>
      <c:valAx>
        <c:axId val="42242117"/>
        <c:scaling>
          <c:orientation val="minMax"/>
          <c:max val="60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Casa!$A$6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Casa!$B$6:$K$6</c:f>
              <c:numCache/>
            </c:numRef>
          </c:val>
          <c:smooth val="0"/>
        </c:ser>
        <c:ser>
          <c:idx val="1"/>
          <c:order val="1"/>
          <c:tx>
            <c:strRef>
              <c:f>Casa!$A$7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Casa!$B$2:$K$2</c:f>
              <c:numCache/>
            </c:numRef>
          </c:cat>
          <c:val>
            <c:numRef>
              <c:f>Casa!$B$7:$K$7</c:f>
              <c:numCache/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At val="0"/>
        <c:auto val="1"/>
        <c:lblOffset val="100"/>
        <c:noMultiLvlLbl val="0"/>
      </c:catAx>
      <c:valAx>
        <c:axId val="6589252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CULTURA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Cultura!$A$3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Cultura!$B$3:$K$3</c:f>
              <c:numCache/>
            </c:numRef>
          </c:val>
        </c:ser>
        <c:ser>
          <c:idx val="0"/>
          <c:order val="1"/>
          <c:tx>
            <c:strRef>
              <c:f>Cultura!$A$4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Cultura!$B$2:$K$2</c:f>
              <c:numCache/>
            </c:numRef>
          </c:cat>
          <c:val>
            <c:numRef>
              <c:f>Cultura!$B$4:$K$4</c:f>
              <c:numCache/>
            </c:numRef>
          </c:val>
        </c:ser>
        <c:overlap val="100"/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0"/>
        <c:lblOffset val="100"/>
        <c:noMultiLvlLbl val="0"/>
      </c:catAx>
      <c:valAx>
        <c:axId val="35694279"/>
        <c:scaling>
          <c:orientation val="minMax"/>
          <c:max val="16000"/>
        </c:scaling>
        <c:axPos val="l"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Cultura!$A$6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Cultura!$B$6:$K$6</c:f>
              <c:numCache/>
            </c:numRef>
          </c:val>
          <c:smooth val="0"/>
        </c:ser>
        <c:ser>
          <c:idx val="1"/>
          <c:order val="1"/>
          <c:tx>
            <c:strRef>
              <c:f>Cultura!$A$7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Cultura!$B$2:$K$2</c:f>
              <c:numCache/>
            </c:numRef>
          </c:cat>
          <c:val>
            <c:numRef>
              <c:f>Cultura!$B$7:$K$7</c:f>
              <c:numCache/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At val="70"/>
        <c:auto val="1"/>
        <c:lblOffset val="100"/>
        <c:noMultiLvlLbl val="0"/>
      </c:catAx>
      <c:valAx>
        <c:axId val="5555457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VIVIBILITA' URBANA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'Vivibilità urbana'!$A$3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'Vivibilità urbana'!$B$2:$K$2</c:f>
              <c:numCache/>
            </c:numRef>
          </c:cat>
          <c:val>
            <c:numRef>
              <c:f>'Vivibilità urbana'!$B$3:$K$3</c:f>
              <c:numCache/>
            </c:numRef>
          </c:val>
        </c:ser>
        <c:ser>
          <c:idx val="0"/>
          <c:order val="1"/>
          <c:tx>
            <c:strRef>
              <c:f>'Vivibilità urbana'!$A$4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'Vivibilità urbana'!$B$2:$K$2</c:f>
              <c:numCache/>
            </c:numRef>
          </c:cat>
          <c:val>
            <c:numRef>
              <c:f>'Vivibilità urbana'!$B$4:$K$4</c:f>
              <c:numCache/>
            </c:numRef>
          </c:val>
        </c:ser>
        <c:overlap val="100"/>
        <c:axId val="49999114"/>
        <c:axId val="47338843"/>
      </c:bar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auto val="0"/>
        <c:lblOffset val="100"/>
        <c:noMultiLvlLbl val="0"/>
      </c:catAx>
      <c:valAx>
        <c:axId val="4733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'Vivibilità urbana'!$A$6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'Vivibilità urbana'!$B$2:$K$2</c:f>
              <c:numCache/>
            </c:numRef>
          </c:cat>
          <c:val>
            <c:numRef>
              <c:f>'Vivibilità urbana'!$B$6:$K$6</c:f>
              <c:numCache/>
            </c:numRef>
          </c:val>
          <c:smooth val="0"/>
        </c:ser>
        <c:ser>
          <c:idx val="1"/>
          <c:order val="1"/>
          <c:tx>
            <c:strRef>
              <c:f>'Vivibilità urbana'!$A$7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'Vivibilità urbana'!$B$2:$K$2</c:f>
              <c:numCache/>
            </c:numRef>
          </c:cat>
          <c:val>
            <c:numRef>
              <c:f>'Vivibilità urbana'!$B$7:$K$7</c:f>
              <c:numCache/>
            </c:numRef>
          </c:val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At val="10"/>
        <c:auto val="1"/>
        <c:lblOffset val="100"/>
        <c:noMultiLvlLbl val="0"/>
      </c:catAx>
      <c:valAx>
        <c:axId val="9241045"/>
        <c:scaling>
          <c:orientation val="minMax"/>
          <c:max val="14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BILANCIO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bilancio'!$A$3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bilancio'!$B$2:$K$2</c:f>
              <c:numCache/>
            </c:numRef>
          </c:cat>
          <c:val>
            <c:numRef>
              <c:f>'Dip bilancio'!$B$3:$K$3</c:f>
              <c:numCache/>
            </c:numRef>
          </c:val>
        </c:ser>
        <c:ser>
          <c:idx val="0"/>
          <c:order val="1"/>
          <c:tx>
            <c:strRef>
              <c:f>'Dip bilancio'!$A$4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bilancio'!$B$2:$K$2</c:f>
              <c:numCache/>
            </c:numRef>
          </c:cat>
          <c:val>
            <c:numRef>
              <c:f>'Dip bilancio'!$B$4:$K$4</c:f>
              <c:numCache/>
            </c:numRef>
          </c:val>
        </c:ser>
        <c:overlap val="100"/>
        <c:axId val="16060542"/>
        <c:axId val="10327151"/>
      </c:bar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At val="0"/>
        <c:auto val="0"/>
        <c:lblOffset val="100"/>
        <c:noMultiLvlLbl val="0"/>
      </c:catAx>
      <c:valAx>
        <c:axId val="1032715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  <c:majorUnit val="2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'Dip bilancio'!$A$6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bilancio'!$B$2:$K$2</c:f>
              <c:numCache/>
            </c:numRef>
          </c:cat>
          <c:val>
            <c:numRef>
              <c:f>'Dip bilancio'!$B$6:$K$6</c:f>
              <c:numCache/>
            </c:numRef>
          </c:val>
          <c:smooth val="0"/>
        </c:ser>
        <c:ser>
          <c:idx val="1"/>
          <c:order val="1"/>
          <c:tx>
            <c:strRef>
              <c:f>'Dip bilancio'!$A$7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bilancio'!$B$2:$K$2</c:f>
              <c:numCache/>
            </c:numRef>
          </c:cat>
          <c:val>
            <c:numRef>
              <c:f>'Dip bilancio'!$B$7:$K$7</c:f>
              <c:numCache/>
            </c:numRef>
          </c:val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At val="100"/>
        <c:auto val="1"/>
        <c:lblOffset val="100"/>
        <c:noMultiLvlLbl val="0"/>
      </c:catAx>
      <c:valAx>
        <c:axId val="31192873"/>
        <c:scaling>
          <c:orientation val="minMax"/>
          <c:max val="5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At val="1"/>
        <c:crossBetween val="between"/>
        <c:dispUnits/>
        <c:majorUnit val="5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Finanze!$A$3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Finanze!$B$2:$K$2</c:f>
              <c:numCache/>
            </c:numRef>
          </c:cat>
          <c:val>
            <c:numRef>
              <c:f>Finanze!$B$3:$K$3</c:f>
              <c:numCache/>
            </c:numRef>
          </c:val>
        </c:ser>
        <c:ser>
          <c:idx val="0"/>
          <c:order val="1"/>
          <c:tx>
            <c:strRef>
              <c:f>Finanze!$A$4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Finanze!$B$2:$K$2</c:f>
              <c:numCache/>
            </c:numRef>
          </c:cat>
          <c:val>
            <c:numRef>
              <c:f>Finanze!$B$4:$K$4</c:f>
              <c:numCache/>
            </c:numRef>
          </c:val>
        </c:ser>
        <c:overlap val="100"/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auto val="0"/>
        <c:lblOffset val="100"/>
        <c:noMultiLvlLbl val="0"/>
      </c:catAx>
      <c:valAx>
        <c:axId val="43594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Finanze!$A$6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Finanze!$B$2:$K$2</c:f>
              <c:numCache/>
            </c:numRef>
          </c:cat>
          <c:val>
            <c:numRef>
              <c:f>Finanze!$B$6:$K$6</c:f>
              <c:numCache/>
            </c:numRef>
          </c:val>
          <c:smooth val="0"/>
        </c:ser>
        <c:ser>
          <c:idx val="1"/>
          <c:order val="1"/>
          <c:tx>
            <c:strRef>
              <c:f>Finanze!$A$7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Finanze!$B$2:$K$2</c:f>
              <c:numCache/>
            </c:numRef>
          </c:cat>
          <c:val>
            <c:numRef>
              <c:f>Finanze!$B$7:$K$7</c:f>
              <c:numCache/>
            </c:numRef>
          </c:val>
          <c:smooth val="0"/>
        </c:ser>
        <c:marker val="1"/>
        <c:axId val="56808476"/>
        <c:axId val="41514237"/>
      </c:line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At val="80"/>
        <c:auto val="1"/>
        <c:lblOffset val="100"/>
        <c:noMultiLvlLbl val="0"/>
      </c:catAx>
      <c:valAx>
        <c:axId val="41514237"/>
        <c:scaling>
          <c:orientation val="minMax"/>
          <c:max val="19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55"/>
          <c:w val="0.964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Entrate!$A$3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Entrate!$B$3:$K$3</c:f>
              <c:numCache/>
            </c:numRef>
          </c:val>
        </c:ser>
        <c:ser>
          <c:idx val="0"/>
          <c:order val="1"/>
          <c:tx>
            <c:strRef>
              <c:f>Entrate!$A$4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Entrate!$B$2:$K$2</c:f>
              <c:numCache/>
            </c:numRef>
          </c:cat>
          <c:val>
            <c:numRef>
              <c:f>Entrate!$B$4:$K$4</c:f>
              <c:numCache/>
            </c:numRef>
          </c:val>
        </c:ser>
        <c:overlap val="100"/>
        <c:axId val="38083814"/>
        <c:axId val="7210007"/>
      </c:bar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 val="autoZero"/>
        <c:auto val="0"/>
        <c:lblOffset val="100"/>
        <c:noMultiLvlLbl val="0"/>
      </c:catAx>
      <c:valAx>
        <c:axId val="7210007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  <c:majorUnit val="1000"/>
        <c:minorUnit val="5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4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Gabinetto del Commissario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875"/>
          <c:w val="0.96325"/>
          <c:h val="0.78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Gabinetto!$A$3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Gabinetto!$B$3:$K$3</c:f>
              <c:numCache/>
            </c:numRef>
          </c:val>
        </c:ser>
        <c:ser>
          <c:idx val="0"/>
          <c:order val="1"/>
          <c:tx>
            <c:strRef>
              <c:f>Gabinetto!$A$4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Gabinetto!$B$2:$K$2</c:f>
              <c:numCache/>
            </c:numRef>
          </c:cat>
          <c:val>
            <c:numRef>
              <c:f>Gabinetto!$B$4:$K$4</c:f>
              <c:numCache/>
            </c:numRef>
          </c:val>
        </c:ser>
        <c:overlap val="100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0"/>
        <c:lblOffset val="100"/>
        <c:noMultiLvlLbl val="0"/>
      </c:catAx>
      <c:valAx>
        <c:axId val="66168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Entrate!$A$6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Entrate!$B$6:$K$6</c:f>
              <c:numCache/>
            </c:numRef>
          </c:val>
          <c:smooth val="0"/>
        </c:ser>
        <c:ser>
          <c:idx val="1"/>
          <c:order val="1"/>
          <c:tx>
            <c:strRef>
              <c:f>Entrate!$A$7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Entrate!$B$2:$K$2</c:f>
              <c:numCache/>
            </c:numRef>
          </c:cat>
          <c:val>
            <c:numRef>
              <c:f>Entrate!$B$7:$K$7</c:f>
              <c:numCache/>
            </c:numRef>
          </c:val>
          <c:smooth val="0"/>
        </c:ser>
        <c:marker val="1"/>
        <c:axId val="64890064"/>
        <c:axId val="47139665"/>
      </c:line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At val="100"/>
        <c:auto val="1"/>
        <c:lblOffset val="100"/>
        <c:noMultiLvlLbl val="0"/>
      </c:catAx>
      <c:valAx>
        <c:axId val="47139665"/>
        <c:scaling>
          <c:orientation val="minMax"/>
          <c:max val="6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Gare!$A$3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Gare!$B$2:$K$2</c:f>
              <c:numCache/>
            </c:numRef>
          </c:cat>
          <c:val>
            <c:numRef>
              <c:f>Gare!$B$3:$K$3</c:f>
              <c:numCache/>
            </c:numRef>
          </c:val>
        </c:ser>
        <c:ser>
          <c:idx val="0"/>
          <c:order val="1"/>
          <c:tx>
            <c:strRef>
              <c:f>Gare!$A$4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Gare!$B$2:$K$2</c:f>
              <c:numCache/>
            </c:numRef>
          </c:cat>
          <c:val>
            <c:numRef>
              <c:f>Gare!$B$4:$K$4</c:f>
              <c:numCache/>
            </c:numRef>
          </c:val>
        </c:ser>
        <c:overlap val="100"/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16491"/>
        <c:crosses val="autoZero"/>
        <c:auto val="0"/>
        <c:lblOffset val="100"/>
        <c:noMultiLvlLbl val="0"/>
      </c:catAx>
      <c:valAx>
        <c:axId val="6021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2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5"/>
          <c:w val="0.950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Gare!$A$6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Gare!$B$2:$K$2</c:f>
              <c:numCache/>
            </c:numRef>
          </c:cat>
          <c:val>
            <c:numRef>
              <c:f>Gare!$B$6:$K$6</c:f>
              <c:numCache/>
            </c:numRef>
          </c:val>
          <c:smooth val="0"/>
        </c:ser>
        <c:ser>
          <c:idx val="1"/>
          <c:order val="1"/>
          <c:tx>
            <c:strRef>
              <c:f>Gare!$A$7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Gare!$B$2:$K$2</c:f>
              <c:numCache/>
            </c:numRef>
          </c:cat>
          <c:val>
            <c:numRef>
              <c:f>Gare!$B$7:$K$7</c:f>
              <c:numCache/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At val="0"/>
        <c:auto val="1"/>
        <c:lblOffset val="100"/>
        <c:noMultiLvlLbl val="0"/>
      </c:catAx>
      <c:valAx>
        <c:axId val="45697573"/>
        <c:scaling>
          <c:orientation val="minMax"/>
          <c:max val="2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  <c:majorUnit val="25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PROGRAMMAZIONE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05"/>
          <c:w val="0.963"/>
          <c:h val="0.7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Programmazione'!$A$3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Programmazione'!$B$2:$K$2</c:f>
              <c:numCache/>
            </c:numRef>
          </c:cat>
          <c:val>
            <c:numRef>
              <c:f>'Dip Programmazione'!$B$3:$K$3</c:f>
              <c:numCache/>
            </c:numRef>
          </c:val>
        </c:ser>
        <c:ser>
          <c:idx val="0"/>
          <c:order val="1"/>
          <c:tx>
            <c:strRef>
              <c:f>'Dip Programmazione'!$A$4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Programmazione'!$B$2:$K$2</c:f>
              <c:numCache/>
            </c:numRef>
          </c:cat>
          <c:val>
            <c:numRef>
              <c:f>'Dip Programmazione'!$B$4:$K$4</c:f>
              <c:numCache/>
            </c:numRef>
          </c:val>
        </c:ser>
        <c:overlap val="100"/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auto val="0"/>
        <c:lblOffset val="100"/>
        <c:noMultiLvlLbl val="0"/>
      </c:catAx>
      <c:valAx>
        <c:axId val="10515903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'Dip Programmazione'!$A$6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Programmazione'!$B$2:$K$2</c:f>
              <c:numCache/>
            </c:numRef>
          </c:cat>
          <c:val>
            <c:numRef>
              <c:f>'Dip Programmazione'!$B$6:$K$6</c:f>
              <c:numCache/>
            </c:numRef>
          </c:val>
          <c:smooth val="0"/>
        </c:ser>
        <c:ser>
          <c:idx val="1"/>
          <c:order val="1"/>
          <c:tx>
            <c:strRef>
              <c:f>'Dip Programmazione'!$A$7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Programmazione'!$B$2:$K$2</c:f>
              <c:numCache/>
            </c:numRef>
          </c:cat>
          <c:val>
            <c:numRef>
              <c:f>'Dip Programmazione'!$B$7:$K$7</c:f>
              <c:numCache/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At val="20"/>
        <c:auto val="1"/>
        <c:lblOffset val="100"/>
        <c:noMultiLvlLbl val="0"/>
      </c:catAx>
      <c:valAx>
        <c:axId val="46481785"/>
        <c:scaling>
          <c:orientation val="minMax"/>
          <c:max val="12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DIPARTIMENTO ORGANIZZAZIONE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"/>
          <c:h val="0.7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'Dip Organizzazione'!$A$3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Organizzazione'!$B$2:$K$2</c:f>
              <c:numCache/>
            </c:numRef>
          </c:cat>
          <c:val>
            <c:numRef>
              <c:f>'Dip Organizzazione'!$B$3:$K$3</c:f>
              <c:numCache/>
            </c:numRef>
          </c:val>
        </c:ser>
        <c:ser>
          <c:idx val="0"/>
          <c:order val="1"/>
          <c:tx>
            <c:strRef>
              <c:f>'Dip Organizzazione'!$A$4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'Dip Organizzazione'!$B$2:$K$2</c:f>
              <c:numCache/>
            </c:numRef>
          </c:cat>
          <c:val>
            <c:numRef>
              <c:f>'Dip Organizzazione'!$B$4:$K$4</c:f>
              <c:numCache/>
            </c:numRef>
          </c:val>
        </c:ser>
        <c:overlap val="100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0"/>
        <c:lblOffset val="100"/>
        <c:noMultiLvlLbl val="0"/>
      </c:catAx>
      <c:valAx>
        <c:axId val="6928211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  <c:majorUnit val="2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'Dip Organizzazione'!$A$6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Organizzazione'!$B$2:$K$2</c:f>
              <c:numCache/>
            </c:numRef>
          </c:cat>
          <c:val>
            <c:numRef>
              <c:f>'Dip Organizzazione'!$B$6:$K$6</c:f>
              <c:numCache/>
            </c:numRef>
          </c:val>
          <c:smooth val="0"/>
        </c:ser>
        <c:ser>
          <c:idx val="1"/>
          <c:order val="1"/>
          <c:tx>
            <c:strRef>
              <c:f>'Dip Organizzazione'!$A$7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'Dip Organizzazione'!$B$2:$K$2</c:f>
              <c:numCache/>
            </c:numRef>
          </c:cat>
          <c:val>
            <c:numRef>
              <c:f>'Dip Organizzazione'!$B$7:$K$7</c:f>
              <c:numCache/>
            </c:numRef>
          </c:val>
          <c:smooth val="0"/>
        </c:ser>
        <c:marker val="1"/>
        <c:axId val="62353900"/>
        <c:axId val="24314189"/>
      </c:line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At val="40"/>
        <c:auto val="1"/>
        <c:lblOffset val="100"/>
        <c:noMultiLvlLbl val="0"/>
      </c:catAx>
      <c:valAx>
        <c:axId val="24314189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TECNOLOGIE INFORMATICHE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'Sistemi info'!$A$3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info'!$B$3:$K$3</c:f>
              <c:numCache/>
            </c:numRef>
          </c:val>
        </c:ser>
        <c:ser>
          <c:idx val="0"/>
          <c:order val="1"/>
          <c:tx>
            <c:strRef>
              <c:f>'Sistemi info'!$A$4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'Sistemi info'!$B$2:$K$2</c:f>
              <c:numCache/>
            </c:numRef>
          </c:cat>
          <c:val>
            <c:numRef>
              <c:f>'Sistemi info'!$B$4:$K$4</c:f>
              <c:numCache/>
            </c:numRef>
          </c:val>
        </c:ser>
        <c:overlap val="100"/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auto val="0"/>
        <c:lblOffset val="100"/>
        <c:noMultiLvlLbl val="0"/>
      </c:catAx>
      <c:valAx>
        <c:axId val="2329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36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5"/>
          <c:w val="0.953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'Sistemi info'!$A$6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info'!$B$6:$K$6</c:f>
              <c:numCache/>
            </c:numRef>
          </c:val>
          <c:smooth val="0"/>
        </c:ser>
        <c:ser>
          <c:idx val="1"/>
          <c:order val="1"/>
          <c:tx>
            <c:strRef>
              <c:f>'Sistemi info'!$A$7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'Sistemi info'!$B$2:$K$2</c:f>
              <c:numCache/>
            </c:numRef>
          </c:cat>
          <c:val>
            <c:numRef>
              <c:f>'Sistemi info'!$B$7:$K$7</c:f>
              <c:numCache/>
            </c:numRef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At val="50"/>
        <c:auto val="1"/>
        <c:lblOffset val="100"/>
        <c:noMultiLvlLbl val="0"/>
      </c:catAx>
      <c:valAx>
        <c:axId val="7625121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'Personale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'!$B$3:$K$3</c:f>
              <c:numCache/>
            </c:numRef>
          </c:val>
        </c:ser>
        <c:ser>
          <c:idx val="0"/>
          <c:order val="1"/>
          <c:tx>
            <c:strRef>
              <c:f>'Personale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'Personale '!$B$2:$K$2</c:f>
              <c:numCache/>
            </c:numRef>
          </c:cat>
          <c:val>
            <c:numRef>
              <c:f>'Personale '!$B$4:$K$4</c:f>
              <c:numCache/>
            </c:numRef>
          </c:val>
        </c:ser>
        <c:overlap val="100"/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auto val="0"/>
        <c:lblOffset val="100"/>
        <c:noMultiLvlLbl val="0"/>
      </c:catAx>
      <c:valAx>
        <c:axId val="1365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2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775"/>
          <c:w val="0.952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Gabinetto!$A$6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Gabinetto!$B$6:$K$6</c:f>
              <c:numCache/>
            </c:numRef>
          </c:val>
          <c:smooth val="0"/>
        </c:ser>
        <c:ser>
          <c:idx val="1"/>
          <c:order val="1"/>
          <c:tx>
            <c:strRef>
              <c:f>Gabinetto!$A$7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Gabinetto!$B$2:$K$2</c:f>
              <c:numCache/>
            </c:numRef>
          </c:cat>
          <c:val>
            <c:numRef>
              <c:f>Gabinetto!$B$7:$K$7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At val="40"/>
        <c:auto val="1"/>
        <c:lblOffset val="100"/>
        <c:noMultiLvlLbl val="0"/>
      </c:catAx>
      <c:valAx>
        <c:axId val="58031001"/>
        <c:scaling>
          <c:orientation val="minMax"/>
          <c:max val="15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5"/>
          <c:w val="0.9522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'Personale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'!$B$6:$K$6</c:f>
              <c:numCache/>
            </c:numRef>
          </c:val>
          <c:smooth val="0"/>
        </c:ser>
        <c:ser>
          <c:idx val="1"/>
          <c:order val="1"/>
          <c:tx>
            <c:strRef>
              <c:f>'Personale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'Personale '!$B$2:$K$2</c:f>
              <c:numCache/>
            </c:numRef>
          </c:cat>
          <c:val>
            <c:numRef>
              <c:f>'Personale '!$B$7:$K$7</c:f>
              <c:numCache/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At val="30"/>
        <c:auto val="1"/>
        <c:lblOffset val="100"/>
        <c:noMultiLvlLbl val="0"/>
      </c:catAx>
      <c:valAx>
        <c:axId val="32316021"/>
        <c:scaling>
          <c:orientation val="minMax"/>
          <c:max val="13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COMUNICAZIONE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75"/>
          <c:w val="0.9655"/>
          <c:h val="0.74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'Comunicazione 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'!$B$3:$K$3</c:f>
              <c:numCache/>
            </c:numRef>
          </c:val>
        </c:ser>
        <c:ser>
          <c:idx val="0"/>
          <c:order val="1"/>
          <c:tx>
            <c:strRef>
              <c:f>'Comunicazione 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'Comunicazione '!$B$2:$K$2</c:f>
              <c:numCache/>
            </c:numRef>
          </c:cat>
          <c:val>
            <c:numRef>
              <c:f>'Comunicazione '!$B$4:$K$4</c:f>
              <c:numCache/>
            </c:numRef>
          </c:val>
        </c:ser>
        <c:overlap val="100"/>
        <c:axId val="22408734"/>
        <c:axId val="352015"/>
      </c:bar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0"/>
        <c:lblOffset val="100"/>
        <c:noMultiLvlLbl val="0"/>
      </c:catAx>
      <c:valAx>
        <c:axId val="3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'Comunicazione 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'!$B$6:$K$6</c:f>
              <c:numCache/>
            </c:numRef>
          </c:val>
          <c:smooth val="0"/>
        </c:ser>
        <c:ser>
          <c:idx val="1"/>
          <c:order val="1"/>
          <c:tx>
            <c:strRef>
              <c:f>'Comunicazione 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'Comunicazione '!$B$2:$K$2</c:f>
              <c:numCache/>
            </c:numRef>
          </c:cat>
          <c:val>
            <c:numRef>
              <c:f>'Comunicazione '!$B$7:$K$7</c:f>
              <c:numCache/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At val="30"/>
        <c:auto val="1"/>
        <c:lblOffset val="100"/>
        <c:noMultiLvlLbl val="0"/>
      </c:catAx>
      <c:valAx>
        <c:axId val="28513225"/>
        <c:scaling>
          <c:orientation val="minMax"/>
          <c:max val="120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AFFARI ISTITUZIONALI, DECENTRAMENTO E CITTA' METROPOLITANA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05"/>
          <c:w val="0.96575"/>
          <c:h val="0.7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'Affari ist'!$A$3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ist'!$B$3:$K$3</c:f>
              <c:numCache/>
            </c:numRef>
          </c:val>
        </c:ser>
        <c:ser>
          <c:idx val="0"/>
          <c:order val="1"/>
          <c:tx>
            <c:strRef>
              <c:f>'Affari ist'!$A$4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'Affari ist'!$B$2:$K$2</c:f>
              <c:numCache/>
            </c:numRef>
          </c:cat>
          <c:val>
            <c:numRef>
              <c:f>'Affari ist'!$B$4:$K$4</c:f>
              <c:numCache/>
            </c:numRef>
          </c:val>
        </c:ser>
        <c:overlap val="100"/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 val="autoZero"/>
        <c:auto val="0"/>
        <c:lblOffset val="100"/>
        <c:noMultiLvlLbl val="0"/>
      </c:catAx>
      <c:val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45"/>
          <c:w val="0.955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'Affari ist'!$A$6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ist'!$B$6:$K$6</c:f>
              <c:numCache/>
            </c:numRef>
          </c:val>
          <c:smooth val="0"/>
        </c:ser>
        <c:ser>
          <c:idx val="1"/>
          <c:order val="1"/>
          <c:tx>
            <c:strRef>
              <c:f>'Affari ist'!$A$7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'Affari ist'!$B$2:$K$2</c:f>
              <c:numCache/>
            </c:numRef>
          </c:cat>
          <c:val>
            <c:numRef>
              <c:f>'Affari ist'!$B$7:$K$7</c:f>
              <c:numCache/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At val="60"/>
        <c:auto val="1"/>
        <c:lblOffset val="100"/>
        <c:noMultiLvlLbl val="0"/>
      </c:catAx>
      <c:valAx>
        <c:axId val="42866077"/>
        <c:scaling>
          <c:orientation val="minMax"/>
          <c:max val="27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375"/>
          <c:w val="0.966"/>
          <c:h val="0.8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Quartieri!$A$3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Quartieri!$B$3:$K$3</c:f>
              <c:numCache/>
            </c:numRef>
          </c:val>
        </c:ser>
        <c:ser>
          <c:idx val="0"/>
          <c:order val="1"/>
          <c:tx>
            <c:strRef>
              <c:f>Quartieri!$A$4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Quartieri!$B$2:$K$2</c:f>
              <c:numCache/>
            </c:numRef>
          </c:cat>
          <c:val>
            <c:numRef>
              <c:f>Quartieri!$B$4:$K$4</c:f>
              <c:numCache/>
            </c:numRef>
          </c:val>
        </c:ser>
        <c:overlap val="100"/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0"/>
        <c:lblOffset val="100"/>
        <c:noMultiLvlLbl val="0"/>
      </c:catAx>
      <c:valAx>
        <c:axId val="49600183"/>
        <c:scaling>
          <c:orientation val="minMax"/>
          <c:max val="70000"/>
        </c:scaling>
        <c:axPos val="l"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Quartieri!$A$6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Quartieri!$B$6:$K$6</c:f>
              <c:numCache/>
            </c:numRef>
          </c:val>
          <c:smooth val="0"/>
        </c:ser>
        <c:ser>
          <c:idx val="1"/>
          <c:order val="1"/>
          <c:tx>
            <c:strRef>
              <c:f>Quartieri!$A$7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Quartieri!$B$2:$K$2</c:f>
              <c:numCache/>
            </c:numRef>
          </c:cat>
          <c:val>
            <c:numRef>
              <c:f>Quartieri!$B$7:$K$7</c:f>
              <c:numCache/>
            </c:numRef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At val="100"/>
        <c:auto val="1"/>
        <c:lblOffset val="100"/>
        <c:noMultiLvlLbl val="0"/>
      </c:catAx>
      <c:valAx>
        <c:axId val="58191857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AFFARI SERVIZI DELEGATI - COORDINAMENTO QUARTIERI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55"/>
          <c:w val="0.966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'Coord Quartieri'!$A$3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Quartieri'!$B$3:$K$3</c:f>
              <c:numCache/>
            </c:numRef>
          </c:val>
        </c:ser>
        <c:ser>
          <c:idx val="0"/>
          <c:order val="1"/>
          <c:tx>
            <c:strRef>
              <c:f>'Coord Quartieri'!$A$4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'Coord Quartieri'!$B$2:$K$2</c:f>
              <c:numCache/>
            </c:numRef>
          </c:cat>
          <c:val>
            <c:numRef>
              <c:f>'Coord Quartieri'!$B$4:$K$4</c:f>
              <c:numCache/>
            </c:numRef>
          </c:val>
        </c:ser>
        <c:overlap val="100"/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At val="0"/>
        <c:auto val="0"/>
        <c:lblOffset val="100"/>
        <c:noMultiLvlLbl val="0"/>
      </c:catAx>
      <c:valAx>
        <c:axId val="15919947"/>
        <c:scaling>
          <c:orientation val="minMax"/>
          <c:max val="3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  <c:majorUnit val="5000"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7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5"/>
          <c:w val="0.954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'Coord Quartieri'!$A$6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Quartieri'!$B$6:$K$6</c:f>
              <c:numCache/>
            </c:numRef>
          </c:val>
          <c:smooth val="0"/>
        </c:ser>
        <c:ser>
          <c:idx val="1"/>
          <c:order val="1"/>
          <c:tx>
            <c:strRef>
              <c:f>'Coord Quartieri'!$A$7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'Coord Quartieri'!$B$2:$K$2</c:f>
              <c:numCache/>
            </c:numRef>
          </c:cat>
          <c:val>
            <c:numRef>
              <c:f>'Coord Quartieri'!$B$7:$K$7</c:f>
              <c:numCache/>
            </c:numRef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At val="100"/>
        <c:auto val="1"/>
        <c:lblOffset val="100"/>
        <c:noMultiLvlLbl val="0"/>
      </c:catAx>
      <c:valAx>
        <c:axId val="14447301"/>
        <c:scaling>
          <c:orientation val="minMax"/>
          <c:max val="17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BORGO PANIGALE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'Q.Borgo'!$A$3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'Q.Borgo'!$B$3:$K$3</c:f>
              <c:numCache/>
            </c:numRef>
          </c:val>
        </c:ser>
        <c:ser>
          <c:idx val="0"/>
          <c:order val="1"/>
          <c:tx>
            <c:strRef>
              <c:f>'Q.Borgo'!$A$4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'Q.Borgo'!$B$2:$K$2</c:f>
              <c:numCache/>
            </c:numRef>
          </c:cat>
          <c:val>
            <c:numRef>
              <c:f>'Q.Borgo'!$B$4:$K$4</c:f>
              <c:numCache/>
            </c:numRef>
          </c:val>
        </c:ser>
        <c:overlap val="100"/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0"/>
        <c:lblOffset val="100"/>
        <c:noMultiLvlLbl val="0"/>
      </c:catAx>
      <c:val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POLIZIA MUNICIPALE </a:t>
            </a:r>
          </a:p>
        </c:rich>
      </c:tx>
      <c:layout>
        <c:manualLayout>
          <c:xMode val="factor"/>
          <c:yMode val="factor"/>
          <c:x val="0.028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95"/>
          <c:w val="0.96575"/>
          <c:h val="0.8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PM!$A$3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PM!$B$3:$K$3</c:f>
              <c:numCache/>
            </c:numRef>
          </c:val>
        </c:ser>
        <c:ser>
          <c:idx val="0"/>
          <c:order val="1"/>
          <c:tx>
            <c:strRef>
              <c:f>PM!$A$4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PM!$B$2:$K$2</c:f>
              <c:numCache/>
            </c:numRef>
          </c:cat>
          <c:val>
            <c:numRef>
              <c:f>PM!$B$4:$K$4</c:f>
              <c:numCache/>
            </c:numRef>
          </c:val>
        </c:ser>
        <c:overlap val="10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0"/>
        <c:lblOffset val="100"/>
        <c:noMultiLvlLbl val="0"/>
      </c:catAx>
      <c:valAx>
        <c:axId val="2890611"/>
        <c:scaling>
          <c:orientation val="minMax"/>
          <c:max val="12000"/>
        </c:scaling>
        <c:axPos val="l"/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  <c:minorUnit val="10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02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'Q.Borgo'!$A$6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'Q.Borgo'!$B$6:$K$6</c:f>
              <c:numCache/>
            </c:numRef>
          </c:val>
          <c:smooth val="0"/>
        </c:ser>
        <c:ser>
          <c:idx val="1"/>
          <c:order val="1"/>
          <c:tx>
            <c:strRef>
              <c:f>'Q.Borgo'!$A$7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'Q.Borgo'!$B$2:$K$2</c:f>
              <c:numCache/>
            </c:numRef>
          </c:cat>
          <c:val>
            <c:numRef>
              <c:f>'Q.Borgo'!$B$7:$K$7</c:f>
              <c:numCache/>
            </c:numRef>
          </c:val>
          <c:smooth val="0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100"/>
        <c:auto val="1"/>
        <c:lblOffset val="100"/>
        <c:noMultiLvlLbl val="0"/>
      </c:catAx>
      <c:valAx>
        <c:axId val="31026713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NAVILE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'Q.Navile'!$A$3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'Q.Navile'!$B$3:$K$3</c:f>
              <c:numCache/>
            </c:numRef>
          </c:val>
        </c:ser>
        <c:ser>
          <c:idx val="0"/>
          <c:order val="1"/>
          <c:tx>
            <c:strRef>
              <c:f>'Q.Navile'!$A$4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'Q.Navile'!$B$2:$K$2</c:f>
              <c:numCache/>
            </c:numRef>
          </c:cat>
          <c:val>
            <c:numRef>
              <c:f>'Q.Navile'!$B$4:$K$4</c:f>
              <c:numCache/>
            </c:numRef>
          </c:val>
        </c:ser>
        <c:overlap val="100"/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0"/>
        <c:lblOffset val="100"/>
        <c:noMultiLvlLbl val="0"/>
      </c:catAx>
      <c:valAx>
        <c:axId val="3013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'Q.Navile'!$A$6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'Q.Navile'!$B$6:$K$6</c:f>
              <c:numCache/>
            </c:numRef>
          </c:val>
          <c:smooth val="0"/>
        </c:ser>
        <c:ser>
          <c:idx val="1"/>
          <c:order val="1"/>
          <c:tx>
            <c:strRef>
              <c:f>'Q.Navile'!$A$7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'Q.Navile'!$B$2:$K$2</c:f>
              <c:numCache/>
            </c:numRef>
          </c:cat>
          <c:val>
            <c:numRef>
              <c:f>'Q.Navile'!$B$7:$K$7</c:f>
              <c:numCache/>
            </c:numRef>
          </c:val>
          <c:smooth val="0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At val="100"/>
        <c:auto val="1"/>
        <c:lblOffset val="100"/>
        <c:noMultiLvlLbl val="0"/>
      </c:catAx>
      <c:valAx>
        <c:axId val="25080301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PORTO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'Q.Porto'!$A$3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'Q.Porto'!$B$3:$K$3</c:f>
              <c:numCache/>
            </c:numRef>
          </c:val>
        </c:ser>
        <c:ser>
          <c:idx val="0"/>
          <c:order val="1"/>
          <c:tx>
            <c:strRef>
              <c:f>'Q.Porto'!$A$4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'Q.Porto'!$B$2:$K$2</c:f>
              <c:numCache/>
            </c:numRef>
          </c:cat>
          <c:val>
            <c:numRef>
              <c:f>'Q.Porto'!$B$4:$K$4</c:f>
              <c:numCache/>
            </c:numRef>
          </c:val>
        </c:ser>
        <c:overlap val="100"/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0"/>
        <c:lblOffset val="100"/>
        <c:noMultiLvlLbl val="0"/>
      </c:catAx>
      <c:valAx>
        <c:axId val="18238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'Q.Porto'!$A$6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'Q.Porto'!$B$6:$K$6</c:f>
              <c:numCache/>
            </c:numRef>
          </c:val>
          <c:smooth val="0"/>
        </c:ser>
        <c:ser>
          <c:idx val="1"/>
          <c:order val="1"/>
          <c:tx>
            <c:strRef>
              <c:f>'Q.Porto'!$A$7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'Q.Porto'!$B$2:$K$2</c:f>
              <c:numCache/>
            </c:numRef>
          </c:cat>
          <c:val>
            <c:numRef>
              <c:f>'Q.Porto'!$B$7:$K$7</c:f>
              <c:numCache/>
            </c:numRef>
          </c:val>
          <c:smooth val="0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At val="100"/>
        <c:auto val="1"/>
        <c:lblOffset val="100"/>
        <c:noMultiLvlLbl val="0"/>
      </c:catAx>
      <c:valAx>
        <c:axId val="921153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RENO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'Q.Reno'!$A$3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'Q.Reno'!$B$3:$K$3</c:f>
              <c:numCache/>
            </c:numRef>
          </c:val>
        </c:ser>
        <c:ser>
          <c:idx val="0"/>
          <c:order val="1"/>
          <c:tx>
            <c:strRef>
              <c:f>'Q.Reno'!$A$4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'Q.Reno'!$B$2:$K$2</c:f>
              <c:numCache/>
            </c:numRef>
          </c:cat>
          <c:val>
            <c:numRef>
              <c:f>'Q.Reno'!$B$4:$K$4</c:f>
              <c:numCache/>
            </c:numRef>
          </c:val>
        </c:ser>
        <c:overlap val="100"/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0"/>
        <c:lblOffset val="100"/>
        <c:noMultiLvlLbl val="0"/>
      </c:catAx>
      <c:valAx>
        <c:axId val="750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'Q.Reno'!$A$6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'Q.Reno'!$B$6:$K$6</c:f>
              <c:numCache/>
            </c:numRef>
          </c:val>
          <c:smooth val="0"/>
        </c:ser>
        <c:ser>
          <c:idx val="1"/>
          <c:order val="1"/>
          <c:tx>
            <c:strRef>
              <c:f>'Q.Reno'!$A$7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'Q.Reno'!$B$2:$K$2</c:f>
              <c:numCache/>
            </c:numRef>
          </c:cat>
          <c:val>
            <c:numRef>
              <c:f>'Q.Reno'!$B$7:$K$7</c:f>
              <c:numCache/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At val="100"/>
        <c:auto val="1"/>
        <c:lblOffset val="100"/>
        <c:noMultiLvlLbl val="0"/>
      </c:catAx>
      <c:valAx>
        <c:axId val="3887893"/>
        <c:scaling>
          <c:orientation val="minMax"/>
          <c:max val="1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DONATO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'Q.SDonato'!$A$3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'Q.SDonato'!$B$3:$K$3</c:f>
              <c:numCache/>
            </c:numRef>
          </c:val>
        </c:ser>
        <c:ser>
          <c:idx val="0"/>
          <c:order val="1"/>
          <c:tx>
            <c:strRef>
              <c:f>'Q.SDonato'!$A$4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'Q.SDonato'!$B$2:$K$2</c:f>
              <c:numCache/>
            </c:numRef>
          </c:cat>
          <c:val>
            <c:numRef>
              <c:f>'Q.SDonato'!$B$4:$K$4</c:f>
              <c:numCache/>
            </c:numRef>
          </c:val>
        </c:ser>
        <c:overlap val="100"/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0"/>
        <c:lblOffset val="100"/>
        <c:noMultiLvlLbl val="0"/>
      </c:catAx>
      <c:valAx>
        <c:axId val="4648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'Q.SDonato'!$A$6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'Q.SDonato'!$B$6:$K$6</c:f>
              <c:numCache/>
            </c:numRef>
          </c:val>
          <c:smooth val="0"/>
        </c:ser>
        <c:ser>
          <c:idx val="1"/>
          <c:order val="1"/>
          <c:tx>
            <c:strRef>
              <c:f>'Q.SDonato'!$A$7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'Q.SDonato'!$B$2:$K$2</c:f>
              <c:numCache/>
            </c:numRef>
          </c:cat>
          <c:val>
            <c:numRef>
              <c:f>'Q.SDonato'!$B$7:$K$7</c:f>
              <c:numCache/>
            </c:numRef>
          </c:val>
          <c:smooth val="0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At val="100"/>
        <c:auto val="1"/>
        <c:lblOffset val="100"/>
        <c:noMultiLvlLbl val="0"/>
      </c:catAx>
      <c:valAx>
        <c:axId val="7098473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SANTO STEFANO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'Q.SStefano'!$A$3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'Q.SStefano'!$B$3:$K$3</c:f>
              <c:numCache/>
            </c:numRef>
          </c:val>
        </c:ser>
        <c:ser>
          <c:idx val="0"/>
          <c:order val="1"/>
          <c:tx>
            <c:strRef>
              <c:f>'Q.SStefano'!$A$4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'Q.SStefano'!$B$2:$K$2</c:f>
              <c:numCache/>
            </c:numRef>
          </c:cat>
          <c:val>
            <c:numRef>
              <c:f>'Q.SStefano'!$B$4:$K$4</c:f>
              <c:numCache/>
            </c:numRef>
          </c:val>
        </c:ser>
        <c:overlap val="100"/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At val="0"/>
        <c:auto val="0"/>
        <c:lblOffset val="100"/>
        <c:noMultiLvlLbl val="0"/>
      </c:catAx>
      <c:valAx>
        <c:axId val="38105411"/>
        <c:scaling>
          <c:orientation val="minMax"/>
          <c:max val="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PM!$A$6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PM!$B$6:$K$6</c:f>
              <c:numCache/>
            </c:numRef>
          </c:val>
          <c:smooth val="0"/>
        </c:ser>
        <c:ser>
          <c:idx val="1"/>
          <c:order val="1"/>
          <c:tx>
            <c:strRef>
              <c:f>PM!$A$7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PM!$B$2:$K$2</c:f>
              <c:numCache/>
            </c:numRef>
          </c:cat>
          <c:val>
            <c:numRef>
              <c:f>PM!$B$7:$K$7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At val="80"/>
        <c:auto val="1"/>
        <c:lblOffset val="100"/>
        <c:noMultiLvlLbl val="0"/>
      </c:catAx>
      <c:valAx>
        <c:axId val="32812909"/>
        <c:scaling>
          <c:orientation val="minMax"/>
          <c:max val="40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'Q.SStefano'!$A$6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'Q.SStefano'!$B$6:$K$6</c:f>
              <c:numCache/>
            </c:numRef>
          </c:val>
          <c:smooth val="0"/>
        </c:ser>
        <c:ser>
          <c:idx val="1"/>
          <c:order val="1"/>
          <c:tx>
            <c:strRef>
              <c:f>'Q.SStefano'!$A$7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'Q.SStefano'!$B$2:$K$2</c:f>
              <c:numCache/>
            </c:numRef>
          </c:cat>
          <c:val>
            <c:numRef>
              <c:f>'Q.SStefano'!$B$7:$K$7</c:f>
              <c:numCache/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At val="100"/>
        <c:auto val="1"/>
        <c:lblOffset val="100"/>
        <c:noMultiLvlLbl val="0"/>
      </c:catAx>
      <c:valAx>
        <c:axId val="66639421"/>
        <c:scaling>
          <c:orientation val="minMax"/>
          <c:max val="1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SAN VITALE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'Q.SVitale'!$A$3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'Q.SVitale'!$B$3:$K$3</c:f>
              <c:numCache/>
            </c:numRef>
          </c:val>
        </c:ser>
        <c:ser>
          <c:idx val="0"/>
          <c:order val="1"/>
          <c:tx>
            <c:strRef>
              <c:f>'Q.SVitale'!$A$4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'Q.SVitale'!$B$2:$K$2</c:f>
              <c:numCache/>
            </c:numRef>
          </c:cat>
          <c:val>
            <c:numRef>
              <c:f>'Q.SVitale'!$B$4:$K$4</c:f>
              <c:numCache/>
            </c:numRef>
          </c:val>
        </c:ser>
        <c:overlap val="100"/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0"/>
        <c:lblOffset val="100"/>
        <c:noMultiLvlLbl val="0"/>
      </c:catAx>
      <c:valAx>
        <c:axId val="2908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'Q.SVitale'!$A$6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'Q.SVitale'!$B$6:$K$6</c:f>
              <c:numCache/>
            </c:numRef>
          </c:val>
          <c:smooth val="0"/>
        </c:ser>
        <c:ser>
          <c:idx val="1"/>
          <c:order val="1"/>
          <c:tx>
            <c:strRef>
              <c:f>'Q.SVitale'!$A$7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'Q.SVitale'!$B$2:$K$2</c:f>
              <c:numCache/>
            </c:numRef>
          </c:cat>
          <c:val>
            <c:numRef>
              <c:f>'Q.SVitale'!$B$7:$K$7</c:f>
              <c:numCache/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At val="100"/>
        <c:auto val="1"/>
        <c:lblOffset val="100"/>
        <c:noMultiLvlLbl val="0"/>
      </c:catAx>
      <c:valAx>
        <c:axId val="6993041"/>
        <c:scaling>
          <c:orientation val="minMax"/>
          <c:max val="16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SARAGOZZA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'Q.Saragozza'!$A$3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'Q.Saragozza'!$B$3:$K$3</c:f>
              <c:numCache/>
            </c:numRef>
          </c:val>
        </c:ser>
        <c:ser>
          <c:idx val="0"/>
          <c:order val="1"/>
          <c:tx>
            <c:strRef>
              <c:f>'Q.Saragozza'!$A$4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'Q.Saragozza'!$B$2:$K$2</c:f>
              <c:numCache/>
            </c:numRef>
          </c:cat>
          <c:val>
            <c:numRef>
              <c:f>'Q.Saragozza'!$B$4:$K$4</c:f>
              <c:numCache/>
            </c:numRef>
          </c:val>
        </c:ser>
        <c:overlap val="100"/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0"/>
        <c:lblOffset val="100"/>
        <c:noMultiLvlLbl val="0"/>
      </c:catAx>
      <c:valAx>
        <c:axId val="295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'Q.Saragozza'!$A$6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'Q.Saragozza'!$B$6:$K$6</c:f>
              <c:numCache/>
            </c:numRef>
          </c:val>
          <c:smooth val="0"/>
        </c:ser>
        <c:ser>
          <c:idx val="1"/>
          <c:order val="1"/>
          <c:tx>
            <c:strRef>
              <c:f>'Q.Saragozza'!$A$7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'Q.Saragozza'!$B$2:$K$2</c:f>
              <c:numCache/>
            </c:numRef>
          </c:cat>
          <c:val>
            <c:numRef>
              <c:f>'Q.Saragozza'!$B$7:$K$7</c:f>
              <c:numCache/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At val="100"/>
        <c:auto val="1"/>
        <c:lblOffset val="100"/>
        <c:noMultiLvlLbl val="0"/>
      </c:catAx>
      <c:valAx>
        <c:axId val="45988709"/>
        <c:scaling>
          <c:orientation val="minMax"/>
          <c:max val="1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QUARTIERE SAVENA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475"/>
          <c:w val="0.9655"/>
          <c:h val="0.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'Q.Savena'!$A$3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'Q.Savena'!$B$3:$K$3</c:f>
              <c:numCache/>
            </c:numRef>
          </c:val>
        </c:ser>
        <c:ser>
          <c:idx val="0"/>
          <c:order val="1"/>
          <c:tx>
            <c:strRef>
              <c:f>'Q.Savena'!$A$4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'Q.Savena'!$B$2:$K$2</c:f>
              <c:numCache/>
            </c:numRef>
          </c:cat>
          <c:val>
            <c:numRef>
              <c:f>'Q.Savena'!$B$4:$K$4</c:f>
              <c:numCache/>
            </c:numRef>
          </c:val>
        </c:ser>
        <c:overlap val="100"/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0"/>
        <c:lblOffset val="100"/>
        <c:noMultiLvlLbl val="0"/>
      </c:catAx>
      <c:valAx>
        <c:axId val="3409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8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425"/>
          <c:w val="0.95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'Q.Savena'!$A$6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'Q.Savena'!$B$6:$K$6</c:f>
              <c:numCache/>
            </c:numRef>
          </c:val>
          <c:smooth val="0"/>
        </c:ser>
        <c:ser>
          <c:idx val="1"/>
          <c:order val="1"/>
          <c:tx>
            <c:strRef>
              <c:f>'Q.Savena'!$A$7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'Q.Savena'!$B$2:$K$2</c:f>
              <c:numCache/>
            </c:numRef>
          </c:cat>
          <c:val>
            <c:numRef>
              <c:f>'Q.Savena'!$B$7:$K$7</c:f>
              <c:numCache/>
            </c:numRef>
          </c:val>
          <c:smooth val="0"/>
        </c:ser>
        <c:marker val="1"/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At val="100"/>
        <c:auto val="1"/>
        <c:lblOffset val="100"/>
        <c:noMultiLvlLbl val="0"/>
      </c:catAx>
      <c:valAx>
        <c:axId val="1046802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CONSUMI SPECIFICI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"/>
          <c:w val="0.96875"/>
          <c:h val="0.82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'TOTALE CS'!$A$3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CS'!$B$3:$K$3</c:f>
              <c:numCache/>
            </c:numRef>
          </c:val>
        </c:ser>
        <c:ser>
          <c:idx val="0"/>
          <c:order val="1"/>
          <c:tx>
            <c:strRef>
              <c:f>'TOTALE CS'!$A$4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'TOTALE CS'!$B$2:$K$2</c:f>
              <c:numCache/>
            </c:numRef>
          </c:cat>
          <c:val>
            <c:numRef>
              <c:f>'TOTALE CS'!$B$4:$K$4</c:f>
              <c:numCache/>
            </c:numRef>
          </c:val>
        </c:ser>
        <c:overlap val="100"/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0"/>
        <c:lblOffset val="100"/>
        <c:noMultiLvlLbl val="0"/>
      </c:catAx>
      <c:valAx>
        <c:axId val="42603667"/>
        <c:scaling>
          <c:orientation val="minMax"/>
          <c:max val="160000"/>
        </c:scaling>
        <c:axPos val="l"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9025"/>
          <c:y val="0.9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consumi specifici /inflazione</a:t>
            </a:r>
          </a:p>
        </c:rich>
      </c:tx>
      <c:layout>
        <c:manualLayout>
          <c:xMode val="factor"/>
          <c:yMode val="factor"/>
          <c:x val="0.007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5"/>
          <c:w val="0.953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'TOTALE CS'!$A$6</c:f>
              <c:strCache>
                <c:ptCount val="1"/>
                <c:pt idx="0">
                  <c:v>Indice consumi specifici netti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CS'!$B$6:$K$6</c:f>
              <c:numCache/>
            </c:numRef>
          </c:val>
          <c:smooth val="0"/>
        </c:ser>
        <c:ser>
          <c:idx val="1"/>
          <c:order val="1"/>
          <c:tx>
            <c:strRef>
              <c:f>'TOTALE CS'!$A$7</c:f>
              <c:strCache>
                <c:ptCount val="1"/>
                <c:pt idx="0">
                  <c:v>Indice inflazione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'TOTALE CS'!$B$2:$K$2</c:f>
              <c:numCache/>
            </c:numRef>
          </c:cat>
          <c:val>
            <c:numRef>
              <c:f>'TOTALE CS'!$B$7:$K$7</c:f>
              <c:numCache/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At val="100"/>
        <c:auto val="1"/>
        <c:lblOffset val="100"/>
        <c:noMultiLvlLbl val="0"/>
      </c:catAx>
      <c:valAx>
        <c:axId val="28344973"/>
        <c:scaling>
          <c:orientation val="minMax"/>
          <c:max val="1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AVVOCATURA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96325"/>
          <c:h val="0.71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Avvocatura!$A$3</c:f>
              <c:strCache>
                <c:ptCount val="1"/>
                <c:pt idx="0">
                  <c:v>Consumi specifici netti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Avvocatura!$B$2:$K$2</c:f>
              <c:numCache/>
            </c:numRef>
          </c:cat>
          <c:val>
            <c:numRef>
              <c:f>Avvocatura!$B$3:$K$3</c:f>
              <c:numCache/>
            </c:numRef>
          </c:val>
        </c:ser>
        <c:ser>
          <c:idx val="0"/>
          <c:order val="1"/>
          <c:tx>
            <c:strRef>
              <c:f>Avvocatura!$A$4</c:f>
              <c:strCache>
                <c:ptCount val="1"/>
                <c:pt idx="0">
                  <c:v>Consumi specifici finalizzati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Avvocatura!$B$2:$K$2</c:f>
              <c:numCache/>
            </c:numRef>
          </c:cat>
          <c:val>
            <c:numRef>
              <c:f>Avvocatura!$B$4:$K$4</c:f>
              <c:numCache/>
            </c:numRef>
          </c:val>
        </c:ser>
        <c:overlap val="100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0"/>
        <c:lblOffset val="100"/>
        <c:noMultiLvlLbl val="0"/>
      </c:catAx>
      <c:valAx>
        <c:axId val="40599943"/>
        <c:scaling>
          <c:orientation val="minMax"/>
          <c:max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13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Relationship Id="rId2" Type="http://schemas.openxmlformats.org/officeDocument/2006/relationships/chart" Target="/xl/charts/chart8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71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67677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86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552950" y="1447800"/>
        <a:ext cx="4276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314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5815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10075" y="1314450"/>
        <a:ext cx="3962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7720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8</xdr:row>
      <xdr:rowOff>123825</xdr:rowOff>
    </xdr:from>
    <xdr:to>
      <xdr:col>14</xdr:col>
      <xdr:colOff>409575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4467225" y="1447800"/>
        <a:ext cx="4076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467225" y="1314450"/>
        <a:ext cx="40767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152400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314450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43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482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7</xdr:row>
      <xdr:rowOff>133350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4810125" y="1295400"/>
        <a:ext cx="4229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95250" y="1323975"/>
        <a:ext cx="4943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8</xdr:row>
      <xdr:rowOff>28575</xdr:rowOff>
    </xdr:from>
    <xdr:to>
      <xdr:col>13</xdr:col>
      <xdr:colOff>600075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5105400" y="1352550"/>
        <a:ext cx="41814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1529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6</xdr:col>
      <xdr:colOff>371475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95250" y="1333500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14</xdr:col>
      <xdr:colOff>428625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4324350" y="1323975"/>
        <a:ext cx="41624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200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391025" y="1304925"/>
        <a:ext cx="4229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6</xdr:col>
      <xdr:colOff>371475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1323975"/>
        <a:ext cx="4505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</xdr:row>
      <xdr:rowOff>142875</xdr:rowOff>
    </xdr:from>
    <xdr:to>
      <xdr:col>14</xdr:col>
      <xdr:colOff>409575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695825" y="1304925"/>
        <a:ext cx="43434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K445"/>
  <sheetViews>
    <sheetView tabSelected="1" workbookViewId="0" topLeftCell="A1">
      <pane ySplit="8" topLeftCell="BM208" activePane="bottomLeft" state="frozen"/>
      <selection pane="topLeft" activeCell="A1" sqref="A1"/>
      <selection pane="bottomLeft" activeCell="A209" sqref="A209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0.00390625" style="3" customWidth="1"/>
    <col min="4" max="4" width="11.00390625" style="52" customWidth="1"/>
    <col min="5" max="5" width="10.8515625" style="52" customWidth="1"/>
    <col min="6" max="6" width="11.00390625" style="52" customWidth="1"/>
    <col min="7" max="7" width="10.8515625" style="52" customWidth="1"/>
    <col min="8" max="8" width="11.00390625" style="52" customWidth="1"/>
    <col min="9" max="9" width="10.8515625" style="52" customWidth="1"/>
    <col min="10" max="10" width="11.00390625" style="52" customWidth="1"/>
    <col min="11" max="11" width="10.8515625" style="52" customWidth="1"/>
    <col min="12" max="12" width="11.00390625" style="67" customWidth="1"/>
    <col min="13" max="13" width="10.8515625" style="27" customWidth="1"/>
    <col min="14" max="14" width="11.00390625" style="52" customWidth="1"/>
    <col min="15" max="15" width="10.8515625" style="67" customWidth="1"/>
    <col min="16" max="16" width="11.00390625" style="52" customWidth="1"/>
    <col min="17" max="17" width="10.8515625" style="67" customWidth="1"/>
    <col min="18" max="18" width="11.00390625" style="52" customWidth="1"/>
    <col min="19" max="19" width="10.8515625" style="67" customWidth="1"/>
    <col min="20" max="20" width="11.00390625" style="27" bestFit="1" customWidth="1"/>
    <col min="21" max="21" width="10.8515625" style="27" bestFit="1" customWidth="1"/>
    <col min="22" max="22" width="11.00390625" style="27" customWidth="1"/>
    <col min="23" max="23" width="10.8515625" style="27" customWidth="1"/>
    <col min="24" max="35" width="9.140625" style="27" customWidth="1"/>
  </cols>
  <sheetData>
    <row r="1" spans="1:35" s="2" customFormat="1" ht="20.25">
      <c r="A1" s="40" t="s">
        <v>117</v>
      </c>
      <c r="B1" s="3"/>
      <c r="C1" s="3"/>
      <c r="D1" s="52"/>
      <c r="E1" s="52"/>
      <c r="F1" s="52"/>
      <c r="G1" s="52"/>
      <c r="H1" s="52"/>
      <c r="I1" s="52"/>
      <c r="J1" s="52"/>
      <c r="K1" s="52"/>
      <c r="L1" s="67"/>
      <c r="M1" s="27"/>
      <c r="N1" s="52"/>
      <c r="O1" s="67"/>
      <c r="P1" s="52"/>
      <c r="Q1" s="67"/>
      <c r="R1" s="52"/>
      <c r="S1" s="6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2" customFormat="1" ht="8.25" customHeight="1">
      <c r="A2" s="3"/>
      <c r="B2" s="3"/>
      <c r="C2" s="3"/>
      <c r="D2" s="52"/>
      <c r="E2" s="52"/>
      <c r="F2" s="70"/>
      <c r="G2" s="71"/>
      <c r="H2" s="70"/>
      <c r="I2" s="70"/>
      <c r="J2" s="70"/>
      <c r="K2" s="52"/>
      <c r="L2" s="67"/>
      <c r="M2" s="27"/>
      <c r="N2" s="52"/>
      <c r="O2" s="67"/>
      <c r="P2" s="52"/>
      <c r="Q2" s="67"/>
      <c r="R2" s="52"/>
      <c r="S2" s="67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s="2" customFormat="1" ht="21.75" hidden="1">
      <c r="A3" s="5"/>
      <c r="B3" s="5"/>
      <c r="C3" s="5"/>
      <c r="D3" s="52"/>
      <c r="E3" s="52"/>
      <c r="F3" s="70"/>
      <c r="G3" s="71"/>
      <c r="H3" s="72"/>
      <c r="I3" s="72"/>
      <c r="J3" s="72"/>
      <c r="K3" s="73"/>
      <c r="L3" s="74"/>
      <c r="M3" s="27"/>
      <c r="N3" s="53"/>
      <c r="O3" s="67"/>
      <c r="P3" s="53"/>
      <c r="Q3" s="67"/>
      <c r="R3" s="53"/>
      <c r="S3" s="67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s="2" customFormat="1" ht="6.75" customHeight="1">
      <c r="A4" s="5"/>
      <c r="B4" s="5"/>
      <c r="C4" s="5"/>
      <c r="D4" s="52"/>
      <c r="E4" s="52"/>
      <c r="F4" s="52"/>
      <c r="G4" s="52"/>
      <c r="H4" s="52"/>
      <c r="I4" s="52"/>
      <c r="J4" s="52"/>
      <c r="K4" s="52"/>
      <c r="L4" s="67"/>
      <c r="M4" s="27"/>
      <c r="N4" s="52"/>
      <c r="O4" s="67"/>
      <c r="P4" s="52"/>
      <c r="Q4" s="67"/>
      <c r="R4" s="52"/>
      <c r="S4" s="6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2" customFormat="1" ht="12.75">
      <c r="A5" s="42" t="s">
        <v>81</v>
      </c>
      <c r="B5" s="42"/>
      <c r="C5" s="7"/>
      <c r="D5" s="52"/>
      <c r="E5" s="52"/>
      <c r="F5" s="52"/>
      <c r="G5" s="52"/>
      <c r="H5" s="52"/>
      <c r="I5" s="52"/>
      <c r="J5" s="52"/>
      <c r="K5" s="52"/>
      <c r="L5" s="67"/>
      <c r="M5" s="67"/>
      <c r="N5" s="52"/>
      <c r="O5" s="67"/>
      <c r="P5" s="52"/>
      <c r="Q5" s="67"/>
      <c r="R5" s="52"/>
      <c r="S5" s="67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s="2" customFormat="1" ht="12.75">
      <c r="A6" s="8"/>
      <c r="B6" s="12"/>
      <c r="C6" s="8"/>
      <c r="D6" s="85">
        <v>2000</v>
      </c>
      <c r="E6" s="86"/>
      <c r="F6" s="85">
        <v>2001</v>
      </c>
      <c r="G6" s="87"/>
      <c r="H6" s="85">
        <v>2002</v>
      </c>
      <c r="I6" s="87"/>
      <c r="J6" s="85">
        <v>2003</v>
      </c>
      <c r="K6" s="87"/>
      <c r="L6" s="85">
        <v>2004</v>
      </c>
      <c r="M6" s="87"/>
      <c r="N6" s="85">
        <v>2005</v>
      </c>
      <c r="O6" s="87"/>
      <c r="P6" s="85">
        <v>2006</v>
      </c>
      <c r="Q6" s="87"/>
      <c r="R6" s="85">
        <v>2007</v>
      </c>
      <c r="S6" s="87"/>
      <c r="T6" s="85">
        <v>2008</v>
      </c>
      <c r="U6" s="87"/>
      <c r="V6" s="85">
        <v>2009</v>
      </c>
      <c r="W6" s="87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s="2" customFormat="1" ht="12.75">
      <c r="A7" s="8"/>
      <c r="B7" s="8"/>
      <c r="C7" s="8"/>
      <c r="D7" s="75" t="s">
        <v>37</v>
      </c>
      <c r="E7" s="76"/>
      <c r="F7" s="75" t="s">
        <v>37</v>
      </c>
      <c r="G7" s="76"/>
      <c r="H7" s="75" t="s">
        <v>37</v>
      </c>
      <c r="I7" s="76"/>
      <c r="J7" s="75" t="s">
        <v>37</v>
      </c>
      <c r="K7" s="76"/>
      <c r="L7" s="75" t="s">
        <v>37</v>
      </c>
      <c r="M7" s="76"/>
      <c r="N7" s="75" t="s">
        <v>37</v>
      </c>
      <c r="O7" s="76"/>
      <c r="P7" s="75" t="s">
        <v>37</v>
      </c>
      <c r="Q7" s="76"/>
      <c r="R7" s="75" t="s">
        <v>37</v>
      </c>
      <c r="S7" s="76"/>
      <c r="T7" s="75" t="s">
        <v>37</v>
      </c>
      <c r="U7" s="76"/>
      <c r="V7" s="75" t="s">
        <v>37</v>
      </c>
      <c r="W7" s="76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s="2" customFormat="1" ht="12.75">
      <c r="A8" s="8"/>
      <c r="B8" s="8"/>
      <c r="C8" s="8"/>
      <c r="D8" s="54" t="s">
        <v>34</v>
      </c>
      <c r="E8" s="54" t="s">
        <v>80</v>
      </c>
      <c r="F8" s="54" t="s">
        <v>34</v>
      </c>
      <c r="G8" s="54" t="s">
        <v>80</v>
      </c>
      <c r="H8" s="75" t="s">
        <v>34</v>
      </c>
      <c r="I8" s="76" t="s">
        <v>80</v>
      </c>
      <c r="J8" s="54" t="s">
        <v>34</v>
      </c>
      <c r="K8" s="54" t="s">
        <v>80</v>
      </c>
      <c r="L8" s="54" t="s">
        <v>34</v>
      </c>
      <c r="M8" s="54" t="s">
        <v>80</v>
      </c>
      <c r="N8" s="54" t="s">
        <v>34</v>
      </c>
      <c r="O8" s="54" t="s">
        <v>80</v>
      </c>
      <c r="P8" s="54" t="s">
        <v>34</v>
      </c>
      <c r="Q8" s="54" t="s">
        <v>80</v>
      </c>
      <c r="R8" s="54" t="s">
        <v>34</v>
      </c>
      <c r="S8" s="54" t="s">
        <v>80</v>
      </c>
      <c r="T8" s="54" t="s">
        <v>34</v>
      </c>
      <c r="U8" s="54" t="s">
        <v>80</v>
      </c>
      <c r="V8" s="54" t="s">
        <v>34</v>
      </c>
      <c r="W8" s="54" t="s">
        <v>80</v>
      </c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s="2" customFormat="1" ht="12.75">
      <c r="A9" s="113" t="s">
        <v>118</v>
      </c>
      <c r="B9" s="93"/>
      <c r="C9" s="93"/>
      <c r="D9" s="112">
        <f>+D10+D13+D19+D25+D26+D29+D30</f>
        <v>7060</v>
      </c>
      <c r="E9" s="112">
        <f aca="true" t="shared" si="0" ref="E9:W9">+E10+E13+E19+E25+E26+E29+E30</f>
        <v>1702</v>
      </c>
      <c r="F9" s="112">
        <f t="shared" si="0"/>
        <v>8525</v>
      </c>
      <c r="G9" s="112">
        <f t="shared" si="0"/>
        <v>1566</v>
      </c>
      <c r="H9" s="112">
        <f t="shared" si="0"/>
        <v>8382</v>
      </c>
      <c r="I9" s="112">
        <f t="shared" si="0"/>
        <v>1682</v>
      </c>
      <c r="J9" s="112">
        <f t="shared" si="0"/>
        <v>9727</v>
      </c>
      <c r="K9" s="112">
        <f t="shared" si="0"/>
        <v>1571</v>
      </c>
      <c r="L9" s="112">
        <f t="shared" si="0"/>
        <v>12221</v>
      </c>
      <c r="M9" s="112">
        <f t="shared" si="0"/>
        <v>2255</v>
      </c>
      <c r="N9" s="112">
        <f t="shared" si="0"/>
        <v>13707</v>
      </c>
      <c r="O9" s="112">
        <f t="shared" si="0"/>
        <v>4224</v>
      </c>
      <c r="P9" s="112">
        <f t="shared" si="0"/>
        <v>12723</v>
      </c>
      <c r="Q9" s="112">
        <f t="shared" si="0"/>
        <v>318</v>
      </c>
      <c r="R9" s="112">
        <f t="shared" si="0"/>
        <v>14730</v>
      </c>
      <c r="S9" s="112">
        <f t="shared" si="0"/>
        <v>408</v>
      </c>
      <c r="T9" s="112">
        <f t="shared" si="0"/>
        <v>11642</v>
      </c>
      <c r="U9" s="112">
        <f t="shared" si="0"/>
        <v>547</v>
      </c>
      <c r="V9" s="112">
        <f t="shared" si="0"/>
        <v>9265</v>
      </c>
      <c r="W9" s="112">
        <f t="shared" si="0"/>
        <v>380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s="2" customFormat="1" ht="12.75">
      <c r="A10" s="144" t="s">
        <v>119</v>
      </c>
      <c r="B10" s="92"/>
      <c r="C10" s="92"/>
      <c r="D10" s="59">
        <f>SUM(D11:D12)</f>
        <v>5</v>
      </c>
      <c r="E10" s="59">
        <f aca="true" t="shared" si="1" ref="E10:W10">SUM(E11:E12)</f>
        <v>0</v>
      </c>
      <c r="F10" s="59">
        <f t="shared" si="1"/>
        <v>56</v>
      </c>
      <c r="G10" s="59">
        <f t="shared" si="1"/>
        <v>0</v>
      </c>
      <c r="H10" s="59">
        <f t="shared" si="1"/>
        <v>168</v>
      </c>
      <c r="I10" s="59">
        <f t="shared" si="1"/>
        <v>0</v>
      </c>
      <c r="J10" s="59">
        <f t="shared" si="1"/>
        <v>254</v>
      </c>
      <c r="K10" s="59">
        <f t="shared" si="1"/>
        <v>0</v>
      </c>
      <c r="L10" s="59">
        <f t="shared" si="1"/>
        <v>141</v>
      </c>
      <c r="M10" s="59">
        <f t="shared" si="1"/>
        <v>0</v>
      </c>
      <c r="N10" s="59">
        <f t="shared" si="1"/>
        <v>88</v>
      </c>
      <c r="O10" s="59">
        <f t="shared" si="1"/>
        <v>0</v>
      </c>
      <c r="P10" s="59">
        <f t="shared" si="1"/>
        <v>41</v>
      </c>
      <c r="Q10" s="59">
        <f t="shared" si="1"/>
        <v>0</v>
      </c>
      <c r="R10" s="59">
        <f t="shared" si="1"/>
        <v>254</v>
      </c>
      <c r="S10" s="59">
        <f t="shared" si="1"/>
        <v>0</v>
      </c>
      <c r="T10" s="59">
        <f t="shared" si="1"/>
        <v>177</v>
      </c>
      <c r="U10" s="59">
        <f t="shared" si="1"/>
        <v>0</v>
      </c>
      <c r="V10" s="59">
        <f t="shared" si="1"/>
        <v>122</v>
      </c>
      <c r="W10" s="59">
        <f t="shared" si="1"/>
        <v>0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s="2" customFormat="1" ht="12.75">
      <c r="A11" s="9"/>
      <c r="B11" s="6" t="s">
        <v>119</v>
      </c>
      <c r="C11" s="18"/>
      <c r="D11" s="46"/>
      <c r="E11" s="44"/>
      <c r="F11" s="46"/>
      <c r="G11" s="44"/>
      <c r="H11" s="46"/>
      <c r="I11" s="44"/>
      <c r="J11" s="46">
        <v>55</v>
      </c>
      <c r="K11" s="44"/>
      <c r="L11" s="46">
        <v>55</v>
      </c>
      <c r="M11" s="44"/>
      <c r="N11" s="46">
        <v>31</v>
      </c>
      <c r="O11" s="44"/>
      <c r="P11" s="46">
        <v>33</v>
      </c>
      <c r="Q11" s="44"/>
      <c r="R11" s="46">
        <v>24</v>
      </c>
      <c r="S11" s="44"/>
      <c r="T11" s="46">
        <v>41</v>
      </c>
      <c r="U11" s="44"/>
      <c r="V11" s="46">
        <v>43</v>
      </c>
      <c r="W11" s="44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</row>
    <row r="12" spans="1:35" s="2" customFormat="1" ht="12.75">
      <c r="A12" s="9"/>
      <c r="B12" s="6" t="s">
        <v>120</v>
      </c>
      <c r="C12" s="18"/>
      <c r="D12" s="46">
        <f>ROUND((10/1936.27)*1000,0)</f>
        <v>5</v>
      </c>
      <c r="E12" s="44"/>
      <c r="F12" s="46">
        <v>56</v>
      </c>
      <c r="G12" s="44"/>
      <c r="H12" s="46">
        <f>80+88</f>
        <v>168</v>
      </c>
      <c r="I12" s="44"/>
      <c r="J12" s="46">
        <f>44+155</f>
        <v>199</v>
      </c>
      <c r="K12" s="44"/>
      <c r="L12" s="46">
        <f>31+55</f>
        <v>86</v>
      </c>
      <c r="M12" s="44"/>
      <c r="N12" s="46">
        <v>57</v>
      </c>
      <c r="O12" s="44"/>
      <c r="P12" s="46">
        <v>8</v>
      </c>
      <c r="Q12" s="44"/>
      <c r="R12" s="46">
        <v>230</v>
      </c>
      <c r="S12" s="44"/>
      <c r="T12" s="46">
        <v>136</v>
      </c>
      <c r="U12" s="44"/>
      <c r="V12" s="46">
        <v>79</v>
      </c>
      <c r="W12" s="44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2" customFormat="1" ht="12.75">
      <c r="A13" s="96" t="s">
        <v>121</v>
      </c>
      <c r="B13" s="91"/>
      <c r="C13" s="91"/>
      <c r="D13" s="55">
        <f>SUM(D14:D18)</f>
        <v>2867</v>
      </c>
      <c r="E13" s="55">
        <f aca="true" t="shared" si="2" ref="E13:W13">SUM(E14:E18)</f>
        <v>1697</v>
      </c>
      <c r="F13" s="55">
        <f t="shared" si="2"/>
        <v>3158</v>
      </c>
      <c r="G13" s="55">
        <f t="shared" si="2"/>
        <v>1411</v>
      </c>
      <c r="H13" s="55">
        <f t="shared" si="2"/>
        <v>2821</v>
      </c>
      <c r="I13" s="55">
        <f t="shared" si="2"/>
        <v>1287</v>
      </c>
      <c r="J13" s="55">
        <f t="shared" si="2"/>
        <v>2643</v>
      </c>
      <c r="K13" s="55">
        <f t="shared" si="2"/>
        <v>1143</v>
      </c>
      <c r="L13" s="55">
        <f t="shared" si="2"/>
        <v>3146</v>
      </c>
      <c r="M13" s="55">
        <f t="shared" si="2"/>
        <v>1819</v>
      </c>
      <c r="N13" s="55">
        <f t="shared" si="2"/>
        <v>4700</v>
      </c>
      <c r="O13" s="55">
        <f t="shared" si="2"/>
        <v>3761</v>
      </c>
      <c r="P13" s="55">
        <f t="shared" si="2"/>
        <v>644</v>
      </c>
      <c r="Q13" s="55">
        <f t="shared" si="2"/>
        <v>72</v>
      </c>
      <c r="R13" s="55">
        <f t="shared" si="2"/>
        <v>861</v>
      </c>
      <c r="S13" s="55">
        <f t="shared" si="2"/>
        <v>115</v>
      </c>
      <c r="T13" s="55">
        <f t="shared" si="2"/>
        <v>1036</v>
      </c>
      <c r="U13" s="55">
        <f t="shared" si="2"/>
        <v>298</v>
      </c>
      <c r="V13" s="55">
        <f t="shared" si="2"/>
        <v>690</v>
      </c>
      <c r="W13" s="55">
        <f t="shared" si="2"/>
        <v>70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2" customFormat="1" ht="12.75">
      <c r="A14" s="26"/>
      <c r="B14" s="20" t="s">
        <v>48</v>
      </c>
      <c r="C14" s="20"/>
      <c r="D14" s="46">
        <f>ROUND((976/1936.27)*1000,0)</f>
        <v>504</v>
      </c>
      <c r="E14" s="39"/>
      <c r="F14" s="43">
        <v>817</v>
      </c>
      <c r="G14" s="39"/>
      <c r="H14" s="43">
        <v>537</v>
      </c>
      <c r="I14" s="39"/>
      <c r="J14" s="43">
        <v>321</v>
      </c>
      <c r="K14" s="39"/>
      <c r="L14" s="43">
        <v>186</v>
      </c>
      <c r="M14" s="39"/>
      <c r="N14" s="43">
        <v>25</v>
      </c>
      <c r="O14" s="39"/>
      <c r="P14" s="43">
        <v>25</v>
      </c>
      <c r="Q14" s="39"/>
      <c r="R14" s="43">
        <v>19</v>
      </c>
      <c r="S14" s="39"/>
      <c r="T14" s="43">
        <v>13</v>
      </c>
      <c r="U14" s="39"/>
      <c r="V14" s="43">
        <v>13</v>
      </c>
      <c r="W14" s="39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2" customFormat="1" ht="12.75">
      <c r="A15" s="26"/>
      <c r="B15" s="19" t="s">
        <v>54</v>
      </c>
      <c r="C15" s="21"/>
      <c r="D15" s="46">
        <v>1975</v>
      </c>
      <c r="E15" s="39">
        <v>1697</v>
      </c>
      <c r="F15" s="43">
        <v>1644</v>
      </c>
      <c r="G15" s="39">
        <v>1411</v>
      </c>
      <c r="H15" s="43">
        <v>1518</v>
      </c>
      <c r="I15" s="39">
        <v>1287</v>
      </c>
      <c r="J15" s="43">
        <v>1414</v>
      </c>
      <c r="K15" s="39">
        <v>1143</v>
      </c>
      <c r="L15" s="43">
        <v>2053</v>
      </c>
      <c r="M15" s="39">
        <v>1819</v>
      </c>
      <c r="N15" s="43">
        <v>3886</v>
      </c>
      <c r="O15" s="39">
        <v>3661</v>
      </c>
      <c r="P15" s="43">
        <v>91</v>
      </c>
      <c r="Q15" s="39">
        <v>57</v>
      </c>
      <c r="R15" s="43">
        <v>615</v>
      </c>
      <c r="S15" s="39">
        <v>50</v>
      </c>
      <c r="T15" s="43">
        <v>782</v>
      </c>
      <c r="U15" s="39">
        <v>170</v>
      </c>
      <c r="V15" s="43">
        <v>574</v>
      </c>
      <c r="W15" s="39">
        <v>70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22" customFormat="1" ht="12.75">
      <c r="A16" s="26"/>
      <c r="B16" s="20" t="s">
        <v>0</v>
      </c>
      <c r="C16" s="2"/>
      <c r="D16" s="46">
        <f>ROUND((342/1936.27)*1000,0)</f>
        <v>177</v>
      </c>
      <c r="E16" s="39"/>
      <c r="F16" s="43">
        <v>315</v>
      </c>
      <c r="G16" s="39"/>
      <c r="H16" s="43">
        <v>318</v>
      </c>
      <c r="I16" s="39"/>
      <c r="J16" s="43">
        <v>271</v>
      </c>
      <c r="K16" s="39"/>
      <c r="L16" s="43">
        <v>249</v>
      </c>
      <c r="M16" s="39"/>
      <c r="N16" s="43">
        <v>90</v>
      </c>
      <c r="O16" s="39"/>
      <c r="P16" s="43">
        <v>88</v>
      </c>
      <c r="Q16" s="39"/>
      <c r="R16" s="43">
        <v>83</v>
      </c>
      <c r="S16" s="39"/>
      <c r="T16" s="43">
        <v>79</v>
      </c>
      <c r="U16" s="39"/>
      <c r="V16" s="43">
        <v>83</v>
      </c>
      <c r="W16" s="39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s="22" customFormat="1" ht="12.75">
      <c r="A17" s="13"/>
      <c r="B17" s="10" t="s">
        <v>1</v>
      </c>
      <c r="C17" s="10"/>
      <c r="D17" s="46">
        <f>ROUND((409/1936.27)*1000,0)</f>
        <v>211</v>
      </c>
      <c r="E17" s="44"/>
      <c r="F17" s="46">
        <v>382</v>
      </c>
      <c r="G17" s="44"/>
      <c r="H17" s="46">
        <v>234</v>
      </c>
      <c r="I17" s="44"/>
      <c r="J17" s="46">
        <v>442</v>
      </c>
      <c r="K17" s="44"/>
      <c r="L17" s="46">
        <v>481</v>
      </c>
      <c r="M17" s="44"/>
      <c r="N17" s="46">
        <v>699</v>
      </c>
      <c r="O17" s="44">
        <v>100</v>
      </c>
      <c r="P17" s="46">
        <v>440</v>
      </c>
      <c r="Q17" s="44">
        <v>15</v>
      </c>
      <c r="R17" s="46">
        <v>144</v>
      </c>
      <c r="S17" s="44">
        <v>65</v>
      </c>
      <c r="T17" s="46">
        <v>162</v>
      </c>
      <c r="U17" s="44">
        <v>128</v>
      </c>
      <c r="V17" s="46">
        <v>20</v>
      </c>
      <c r="W17" s="44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s="22" customFormat="1" ht="12.75">
      <c r="A18" s="13"/>
      <c r="B18" s="10" t="s">
        <v>42</v>
      </c>
      <c r="C18" s="10"/>
      <c r="D18" s="46"/>
      <c r="E18" s="44"/>
      <c r="F18" s="46"/>
      <c r="G18" s="44"/>
      <c r="H18" s="46">
        <v>214</v>
      </c>
      <c r="I18" s="44"/>
      <c r="J18" s="46">
        <v>195</v>
      </c>
      <c r="K18" s="44"/>
      <c r="L18" s="46">
        <v>177</v>
      </c>
      <c r="M18" s="44"/>
      <c r="N18" s="46"/>
      <c r="O18" s="44"/>
      <c r="P18" s="46"/>
      <c r="Q18" s="44"/>
      <c r="R18" s="46"/>
      <c r="S18" s="44"/>
      <c r="T18" s="46"/>
      <c r="U18" s="44"/>
      <c r="V18" s="46"/>
      <c r="W18" s="44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s="2" customFormat="1" ht="12.75">
      <c r="A19" s="96" t="s">
        <v>122</v>
      </c>
      <c r="B19" s="91"/>
      <c r="C19" s="91"/>
      <c r="D19" s="55">
        <f>SUM(D20:D24)</f>
        <v>3350</v>
      </c>
      <c r="E19" s="55">
        <f>SUM(E20:E24)</f>
        <v>5</v>
      </c>
      <c r="F19" s="55">
        <f>SUM(F20:F24)</f>
        <v>3101</v>
      </c>
      <c r="G19" s="55">
        <f>SUM(G20:G24)</f>
        <v>0</v>
      </c>
      <c r="H19" s="55">
        <f>SUM(H20:H24)</f>
        <v>3006</v>
      </c>
      <c r="I19" s="55"/>
      <c r="J19" s="55">
        <f aca="true" t="shared" si="3" ref="J19:U19">SUM(J20:J24)</f>
        <v>4389</v>
      </c>
      <c r="K19" s="55">
        <f t="shared" si="3"/>
        <v>5</v>
      </c>
      <c r="L19" s="55">
        <f t="shared" si="3"/>
        <v>6669</v>
      </c>
      <c r="M19" s="55">
        <f t="shared" si="3"/>
        <v>1</v>
      </c>
      <c r="N19" s="55">
        <f t="shared" si="3"/>
        <v>6530</v>
      </c>
      <c r="O19" s="55">
        <f t="shared" si="3"/>
        <v>7</v>
      </c>
      <c r="P19" s="55">
        <f t="shared" si="3"/>
        <v>10165</v>
      </c>
      <c r="Q19" s="55">
        <f t="shared" si="3"/>
        <v>0</v>
      </c>
      <c r="R19" s="55">
        <f t="shared" si="3"/>
        <v>11811</v>
      </c>
      <c r="S19" s="55">
        <f t="shared" si="3"/>
        <v>64</v>
      </c>
      <c r="T19" s="55">
        <f t="shared" si="3"/>
        <v>9254</v>
      </c>
      <c r="U19" s="55">
        <f t="shared" si="3"/>
        <v>0</v>
      </c>
      <c r="V19" s="55">
        <f>SUM(V20:V24)</f>
        <v>7241</v>
      </c>
      <c r="W19" s="55">
        <f>SUM(W20:W24)</f>
        <v>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s="2" customFormat="1" ht="12.75">
      <c r="A20" s="37"/>
      <c r="B20" s="10" t="s">
        <v>15</v>
      </c>
      <c r="C20" s="11"/>
      <c r="D20" s="46">
        <f>ROUND((1377/1936.27)*1000,0)</f>
        <v>711</v>
      </c>
      <c r="E20" s="44"/>
      <c r="F20" s="46">
        <v>1413</v>
      </c>
      <c r="G20" s="44"/>
      <c r="H20" s="46">
        <v>1010</v>
      </c>
      <c r="I20" s="44"/>
      <c r="J20" s="46">
        <v>1281</v>
      </c>
      <c r="K20" s="44"/>
      <c r="L20" s="46">
        <v>1251</v>
      </c>
      <c r="M20" s="44"/>
      <c r="N20" s="46">
        <v>1313</v>
      </c>
      <c r="O20" s="44"/>
      <c r="P20" s="46">
        <v>1063</v>
      </c>
      <c r="Q20" s="44"/>
      <c r="R20" s="46">
        <v>1197</v>
      </c>
      <c r="S20" s="44"/>
      <c r="T20" s="46">
        <v>812</v>
      </c>
      <c r="U20" s="44"/>
      <c r="V20" s="46">
        <v>852</v>
      </c>
      <c r="W20" s="44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2" customFormat="1" ht="12.75">
      <c r="A21" s="37"/>
      <c r="B21" s="10" t="s">
        <v>2</v>
      </c>
      <c r="C21" s="11"/>
      <c r="D21" s="46">
        <f>ROUND((249/1936.27)*1000,0)</f>
        <v>129</v>
      </c>
      <c r="E21" s="44">
        <f>ROUND((10155/1936.27),0)</f>
        <v>5</v>
      </c>
      <c r="F21" s="46">
        <v>115</v>
      </c>
      <c r="G21" s="44">
        <v>0</v>
      </c>
      <c r="H21" s="46">
        <v>92</v>
      </c>
      <c r="I21" s="44"/>
      <c r="J21" s="46">
        <v>92</v>
      </c>
      <c r="K21" s="44">
        <v>5</v>
      </c>
      <c r="L21" s="46">
        <v>91</v>
      </c>
      <c r="M21" s="44">
        <v>1</v>
      </c>
      <c r="N21" s="46">
        <v>96</v>
      </c>
      <c r="O21" s="44">
        <v>7</v>
      </c>
      <c r="P21" s="46">
        <v>83</v>
      </c>
      <c r="Q21" s="44"/>
      <c r="R21" s="46">
        <v>154</v>
      </c>
      <c r="S21" s="44">
        <v>64</v>
      </c>
      <c r="T21" s="46">
        <v>106</v>
      </c>
      <c r="U21" s="44"/>
      <c r="V21" s="46">
        <v>79</v>
      </c>
      <c r="W21" s="44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s="2" customFormat="1" ht="12.75">
      <c r="A22" s="14"/>
      <c r="B22" s="10" t="s">
        <v>77</v>
      </c>
      <c r="C22" s="11"/>
      <c r="D22" s="46"/>
      <c r="E22" s="44"/>
      <c r="F22" s="46"/>
      <c r="G22" s="44"/>
      <c r="H22" s="46">
        <v>142</v>
      </c>
      <c r="I22" s="44"/>
      <c r="J22" s="46">
        <v>77</v>
      </c>
      <c r="K22" s="44"/>
      <c r="L22" s="46">
        <v>120</v>
      </c>
      <c r="M22" s="44"/>
      <c r="N22" s="46">
        <v>130</v>
      </c>
      <c r="O22" s="44"/>
      <c r="P22" s="46">
        <v>55</v>
      </c>
      <c r="Q22" s="44"/>
      <c r="R22" s="46">
        <v>80</v>
      </c>
      <c r="S22" s="44"/>
      <c r="T22" s="46">
        <v>60</v>
      </c>
      <c r="U22" s="44"/>
      <c r="V22" s="46">
        <v>60</v>
      </c>
      <c r="W22" s="44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1:35" s="2" customFormat="1" ht="12.75">
      <c r="A23" s="23"/>
      <c r="B23" s="20" t="s">
        <v>78</v>
      </c>
      <c r="C23" s="24"/>
      <c r="D23" s="46">
        <f>ROUND((3800/1936.27)*1000,0)</f>
        <v>1963</v>
      </c>
      <c r="E23" s="39"/>
      <c r="F23" s="43">
        <v>659</v>
      </c>
      <c r="G23" s="39"/>
      <c r="H23" s="43">
        <v>1085</v>
      </c>
      <c r="I23" s="39"/>
      <c r="J23" s="43">
        <v>2072</v>
      </c>
      <c r="K23" s="39"/>
      <c r="L23" s="43">
        <v>4200</v>
      </c>
      <c r="M23" s="39"/>
      <c r="N23" s="43">
        <v>3789</v>
      </c>
      <c r="O23" s="39"/>
      <c r="P23" s="43">
        <v>7963</v>
      </c>
      <c r="Q23" s="39"/>
      <c r="R23" s="43">
        <v>9378</v>
      </c>
      <c r="S23" s="39"/>
      <c r="T23" s="43">
        <v>7470</v>
      </c>
      <c r="U23" s="39"/>
      <c r="V23" s="43">
        <v>6239</v>
      </c>
      <c r="W23" s="39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s="2" customFormat="1" ht="12.75">
      <c r="A24" s="50"/>
      <c r="B24" s="32" t="s">
        <v>79</v>
      </c>
      <c r="C24" s="30"/>
      <c r="D24" s="57">
        <f>ROUND((1059/1936.27)*1000,0)</f>
        <v>547</v>
      </c>
      <c r="E24" s="45"/>
      <c r="F24" s="63">
        <v>914</v>
      </c>
      <c r="G24" s="45"/>
      <c r="H24" s="63">
        <v>677</v>
      </c>
      <c r="I24" s="45"/>
      <c r="J24" s="63">
        <v>867</v>
      </c>
      <c r="K24" s="45"/>
      <c r="L24" s="63">
        <v>1007</v>
      </c>
      <c r="M24" s="45"/>
      <c r="N24" s="63">
        <v>1202</v>
      </c>
      <c r="O24" s="45"/>
      <c r="P24" s="63">
        <v>1001</v>
      </c>
      <c r="Q24" s="45"/>
      <c r="R24" s="63">
        <v>1002</v>
      </c>
      <c r="S24" s="45"/>
      <c r="T24" s="63">
        <v>806</v>
      </c>
      <c r="U24" s="45"/>
      <c r="V24" s="63">
        <v>11</v>
      </c>
      <c r="W24" s="45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s="2" customFormat="1" ht="12.75">
      <c r="A25" s="120" t="s">
        <v>123</v>
      </c>
      <c r="B25" s="121"/>
      <c r="C25" s="122"/>
      <c r="D25" s="69">
        <f>ROUND((440/1936.27)*1000,0)</f>
        <v>227</v>
      </c>
      <c r="E25" s="68">
        <v>0</v>
      </c>
      <c r="F25" s="58">
        <v>239</v>
      </c>
      <c r="G25" s="68">
        <v>0</v>
      </c>
      <c r="H25" s="58">
        <v>280</v>
      </c>
      <c r="I25" s="68">
        <v>0</v>
      </c>
      <c r="J25" s="58">
        <v>265</v>
      </c>
      <c r="K25" s="68">
        <v>0</v>
      </c>
      <c r="L25" s="58">
        <v>215</v>
      </c>
      <c r="M25" s="68">
        <v>0</v>
      </c>
      <c r="N25" s="58">
        <v>203</v>
      </c>
      <c r="O25" s="68">
        <v>0</v>
      </c>
      <c r="P25" s="58">
        <v>224</v>
      </c>
      <c r="Q25" s="68"/>
      <c r="R25" s="58">
        <v>298</v>
      </c>
      <c r="S25" s="68"/>
      <c r="T25" s="58">
        <v>200</v>
      </c>
      <c r="U25" s="68"/>
      <c r="V25" s="58">
        <v>239</v>
      </c>
      <c r="W25" s="68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2" customFormat="1" ht="12.75">
      <c r="A26" s="144" t="s">
        <v>124</v>
      </c>
      <c r="B26" s="92"/>
      <c r="C26" s="92"/>
      <c r="D26" s="59">
        <f>SUM(D27:D28)</f>
        <v>0</v>
      </c>
      <c r="E26" s="59">
        <f aca="true" t="shared" si="4" ref="E26:W26">SUM(E27:E28)</f>
        <v>0</v>
      </c>
      <c r="F26" s="59">
        <f t="shared" si="4"/>
        <v>758</v>
      </c>
      <c r="G26" s="59">
        <f t="shared" si="4"/>
        <v>155</v>
      </c>
      <c r="H26" s="59">
        <f t="shared" si="4"/>
        <v>1032</v>
      </c>
      <c r="I26" s="59">
        <f t="shared" si="4"/>
        <v>395</v>
      </c>
      <c r="J26" s="59">
        <f t="shared" si="4"/>
        <v>1635</v>
      </c>
      <c r="K26" s="59">
        <f t="shared" si="4"/>
        <v>423</v>
      </c>
      <c r="L26" s="59">
        <f t="shared" si="4"/>
        <v>1500</v>
      </c>
      <c r="M26" s="59">
        <f t="shared" si="4"/>
        <v>435</v>
      </c>
      <c r="N26" s="59">
        <f t="shared" si="4"/>
        <v>1550</v>
      </c>
      <c r="O26" s="59">
        <f t="shared" si="4"/>
        <v>456</v>
      </c>
      <c r="P26" s="59">
        <f t="shared" si="4"/>
        <v>1070</v>
      </c>
      <c r="Q26" s="59">
        <f t="shared" si="4"/>
        <v>216</v>
      </c>
      <c r="R26" s="59">
        <f t="shared" si="4"/>
        <v>1002</v>
      </c>
      <c r="S26" s="59">
        <f t="shared" si="4"/>
        <v>229</v>
      </c>
      <c r="T26" s="59">
        <f t="shared" si="4"/>
        <v>523</v>
      </c>
      <c r="U26" s="59">
        <f t="shared" si="4"/>
        <v>249</v>
      </c>
      <c r="V26" s="59">
        <f t="shared" si="4"/>
        <v>581</v>
      </c>
      <c r="W26" s="59">
        <f t="shared" si="4"/>
        <v>310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s="2" customFormat="1" ht="12.75">
      <c r="A27" s="37"/>
      <c r="B27" s="10" t="s">
        <v>125</v>
      </c>
      <c r="C27" s="11"/>
      <c r="D27" s="46"/>
      <c r="E27" s="44"/>
      <c r="F27" s="46"/>
      <c r="G27" s="44"/>
      <c r="H27" s="46"/>
      <c r="I27" s="44"/>
      <c r="J27" s="46"/>
      <c r="K27" s="44"/>
      <c r="L27" s="46"/>
      <c r="M27" s="44"/>
      <c r="N27" s="46"/>
      <c r="O27" s="44"/>
      <c r="P27" s="46">
        <v>200</v>
      </c>
      <c r="Q27" s="44"/>
      <c r="R27" s="46">
        <v>200</v>
      </c>
      <c r="S27" s="44"/>
      <c r="T27" s="46">
        <v>200</v>
      </c>
      <c r="U27" s="44"/>
      <c r="V27" s="46">
        <v>200</v>
      </c>
      <c r="W27" s="4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s="2" customFormat="1" ht="12.75">
      <c r="A28" s="25"/>
      <c r="B28" s="20" t="s">
        <v>93</v>
      </c>
      <c r="D28" s="46"/>
      <c r="E28" s="39"/>
      <c r="F28" s="43">
        <v>758</v>
      </c>
      <c r="G28" s="43">
        <v>155</v>
      </c>
      <c r="H28" s="43">
        <v>1032</v>
      </c>
      <c r="I28" s="43">
        <v>395</v>
      </c>
      <c r="J28" s="43">
        <v>1635</v>
      </c>
      <c r="K28" s="43">
        <v>423</v>
      </c>
      <c r="L28" s="43">
        <v>1500</v>
      </c>
      <c r="M28" s="43">
        <v>435</v>
      </c>
      <c r="N28" s="43">
        <v>1550</v>
      </c>
      <c r="O28" s="43">
        <v>456</v>
      </c>
      <c r="P28" s="43">
        <v>870</v>
      </c>
      <c r="Q28" s="43">
        <v>216</v>
      </c>
      <c r="R28" s="43">
        <v>802</v>
      </c>
      <c r="S28" s="43">
        <v>229</v>
      </c>
      <c r="T28" s="43">
        <v>323</v>
      </c>
      <c r="U28" s="43">
        <v>249</v>
      </c>
      <c r="V28" s="43">
        <v>381</v>
      </c>
      <c r="W28" s="43">
        <v>310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</row>
    <row r="29" spans="1:35" s="2" customFormat="1" ht="12.75">
      <c r="A29" s="90" t="s">
        <v>49</v>
      </c>
      <c r="B29" s="91"/>
      <c r="C29" s="91"/>
      <c r="D29" s="69">
        <f>ROUND((484/1936.27)*1000,0)</f>
        <v>250</v>
      </c>
      <c r="E29" s="69">
        <v>0</v>
      </c>
      <c r="F29" s="58">
        <f>851+23</f>
        <v>874</v>
      </c>
      <c r="G29" s="69">
        <v>0</v>
      </c>
      <c r="H29" s="58">
        <v>810</v>
      </c>
      <c r="I29" s="69">
        <v>0</v>
      </c>
      <c r="J29" s="58">
        <v>291</v>
      </c>
      <c r="K29" s="69">
        <v>0</v>
      </c>
      <c r="L29" s="58">
        <v>191</v>
      </c>
      <c r="M29" s="69">
        <v>0</v>
      </c>
      <c r="N29" s="58">
        <v>258</v>
      </c>
      <c r="O29" s="69">
        <v>0</v>
      </c>
      <c r="P29" s="58">
        <v>269</v>
      </c>
      <c r="Q29" s="69">
        <v>30</v>
      </c>
      <c r="R29" s="58">
        <v>208</v>
      </c>
      <c r="S29" s="69"/>
      <c r="T29" s="58">
        <v>189</v>
      </c>
      <c r="U29" s="69"/>
      <c r="V29" s="58">
        <v>131</v>
      </c>
      <c r="W29" s="69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</row>
    <row r="30" spans="1:35" s="2" customFormat="1" ht="12.75">
      <c r="A30" s="90" t="s">
        <v>126</v>
      </c>
      <c r="B30" s="91"/>
      <c r="C30" s="91"/>
      <c r="D30" s="69">
        <f>ROUND((699/1936.27)*1000,0)</f>
        <v>361</v>
      </c>
      <c r="E30" s="68">
        <v>0</v>
      </c>
      <c r="F30" s="58">
        <v>339</v>
      </c>
      <c r="G30" s="68">
        <v>0</v>
      </c>
      <c r="H30" s="58">
        <v>265</v>
      </c>
      <c r="I30" s="68">
        <v>0</v>
      </c>
      <c r="J30" s="58">
        <v>250</v>
      </c>
      <c r="K30" s="68">
        <v>0</v>
      </c>
      <c r="L30" s="58">
        <v>359</v>
      </c>
      <c r="M30" s="68">
        <v>0</v>
      </c>
      <c r="N30" s="58">
        <v>378</v>
      </c>
      <c r="O30" s="68">
        <v>0</v>
      </c>
      <c r="P30" s="58">
        <v>310</v>
      </c>
      <c r="Q30" s="68"/>
      <c r="R30" s="58">
        <v>296</v>
      </c>
      <c r="S30" s="68"/>
      <c r="T30" s="58">
        <v>263</v>
      </c>
      <c r="U30" s="68"/>
      <c r="V30" s="58">
        <v>261</v>
      </c>
      <c r="W30" s="68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</row>
    <row r="31" spans="1:35" s="2" customFormat="1" ht="12.75">
      <c r="A31" s="145" t="s">
        <v>127</v>
      </c>
      <c r="B31" s="93"/>
      <c r="C31" s="118"/>
      <c r="D31" s="112">
        <f>+D32+D36+D40+D44+D53+D67</f>
        <v>30745.5</v>
      </c>
      <c r="E31" s="112">
        <f aca="true" t="shared" si="5" ref="E31:W31">+E32+E36+E40+E44+E53+E67</f>
        <v>2715</v>
      </c>
      <c r="F31" s="112">
        <f t="shared" si="5"/>
        <v>29079</v>
      </c>
      <c r="G31" s="112">
        <f t="shared" si="5"/>
        <v>2377.2453118624985</v>
      </c>
      <c r="H31" s="112">
        <f t="shared" si="5"/>
        <v>33249</v>
      </c>
      <c r="I31" s="112">
        <f t="shared" si="5"/>
        <v>3997</v>
      </c>
      <c r="J31" s="112">
        <f t="shared" si="5"/>
        <v>32291</v>
      </c>
      <c r="K31" s="112">
        <f t="shared" si="5"/>
        <v>4232</v>
      </c>
      <c r="L31" s="112">
        <f t="shared" si="5"/>
        <v>29546</v>
      </c>
      <c r="M31" s="112">
        <f t="shared" si="5"/>
        <v>1988</v>
      </c>
      <c r="N31" s="112">
        <f t="shared" si="5"/>
        <v>32163</v>
      </c>
      <c r="O31" s="112">
        <f t="shared" si="5"/>
        <v>1933</v>
      </c>
      <c r="P31" s="112">
        <f t="shared" si="5"/>
        <v>29751</v>
      </c>
      <c r="Q31" s="112">
        <f t="shared" si="5"/>
        <v>3108</v>
      </c>
      <c r="R31" s="112">
        <f t="shared" si="5"/>
        <v>35252</v>
      </c>
      <c r="S31" s="112">
        <f t="shared" si="5"/>
        <v>6808</v>
      </c>
      <c r="T31" s="112">
        <f t="shared" si="5"/>
        <v>36316</v>
      </c>
      <c r="U31" s="112">
        <f t="shared" si="5"/>
        <v>9067</v>
      </c>
      <c r="V31" s="112">
        <f t="shared" si="5"/>
        <v>37317</v>
      </c>
      <c r="W31" s="112">
        <f t="shared" si="5"/>
        <v>9920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</row>
    <row r="32" spans="1:35" s="2" customFormat="1" ht="12.75">
      <c r="A32" s="144" t="s">
        <v>128</v>
      </c>
      <c r="B32" s="92"/>
      <c r="C32" s="92"/>
      <c r="D32" s="59">
        <f>SUM(D33:D35)</f>
        <v>380</v>
      </c>
      <c r="E32" s="59">
        <f aca="true" t="shared" si="6" ref="E32:W32">SUM(E33:E35)</f>
        <v>0</v>
      </c>
      <c r="F32" s="59">
        <f t="shared" si="6"/>
        <v>331</v>
      </c>
      <c r="G32" s="59">
        <f t="shared" si="6"/>
        <v>0</v>
      </c>
      <c r="H32" s="59">
        <f t="shared" si="6"/>
        <v>335</v>
      </c>
      <c r="I32" s="59">
        <f t="shared" si="6"/>
        <v>0</v>
      </c>
      <c r="J32" s="59">
        <f t="shared" si="6"/>
        <v>346</v>
      </c>
      <c r="K32" s="59">
        <f t="shared" si="6"/>
        <v>0</v>
      </c>
      <c r="L32" s="59">
        <f t="shared" si="6"/>
        <v>249</v>
      </c>
      <c r="M32" s="59">
        <f t="shared" si="6"/>
        <v>0</v>
      </c>
      <c r="N32" s="59">
        <f t="shared" si="6"/>
        <v>379</v>
      </c>
      <c r="O32" s="59">
        <f t="shared" si="6"/>
        <v>50</v>
      </c>
      <c r="P32" s="59">
        <f t="shared" si="6"/>
        <v>188</v>
      </c>
      <c r="Q32" s="59">
        <f t="shared" si="6"/>
        <v>145</v>
      </c>
      <c r="R32" s="59">
        <f t="shared" si="6"/>
        <v>36</v>
      </c>
      <c r="S32" s="59">
        <f t="shared" si="6"/>
        <v>0</v>
      </c>
      <c r="T32" s="59">
        <f t="shared" si="6"/>
        <v>69</v>
      </c>
      <c r="U32" s="59">
        <f t="shared" si="6"/>
        <v>0</v>
      </c>
      <c r="V32" s="59">
        <f t="shared" si="6"/>
        <v>39</v>
      </c>
      <c r="W32" s="59">
        <f t="shared" si="6"/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s="2" customFormat="1" ht="12.75">
      <c r="A33" s="25"/>
      <c r="B33" s="20" t="s">
        <v>129</v>
      </c>
      <c r="C33" s="20"/>
      <c r="D33" s="46"/>
      <c r="E33" s="39"/>
      <c r="F33" s="43"/>
      <c r="G33" s="39"/>
      <c r="H33" s="43"/>
      <c r="I33" s="39"/>
      <c r="J33" s="43"/>
      <c r="K33" s="39"/>
      <c r="L33" s="43"/>
      <c r="M33" s="39"/>
      <c r="N33" s="43">
        <v>245</v>
      </c>
      <c r="O33" s="39">
        <v>50</v>
      </c>
      <c r="P33" s="43">
        <v>145</v>
      </c>
      <c r="Q33" s="39">
        <v>145</v>
      </c>
      <c r="R33" s="43"/>
      <c r="S33" s="39"/>
      <c r="T33" s="43"/>
      <c r="U33" s="39"/>
      <c r="V33" s="43">
        <v>24</v>
      </c>
      <c r="W33" s="39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s="2" customFormat="1" ht="12.75">
      <c r="A34" s="25"/>
      <c r="B34" s="20" t="s">
        <v>130</v>
      </c>
      <c r="C34" s="20"/>
      <c r="D34" s="46"/>
      <c r="E34" s="39"/>
      <c r="F34" s="43"/>
      <c r="G34" s="39"/>
      <c r="H34" s="43"/>
      <c r="I34" s="39"/>
      <c r="J34" s="43">
        <v>29</v>
      </c>
      <c r="K34" s="39"/>
      <c r="L34" s="43">
        <v>2</v>
      </c>
      <c r="M34" s="39"/>
      <c r="N34" s="43">
        <v>30</v>
      </c>
      <c r="O34" s="39"/>
      <c r="P34" s="43"/>
      <c r="Q34" s="39"/>
      <c r="R34" s="43"/>
      <c r="S34" s="39"/>
      <c r="T34" s="43">
        <v>8</v>
      </c>
      <c r="U34" s="39"/>
      <c r="V34" s="43"/>
      <c r="W34" s="39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s="2" customFormat="1" ht="12.75">
      <c r="A35" s="25"/>
      <c r="B35" s="20" t="s">
        <v>18</v>
      </c>
      <c r="C35" s="20"/>
      <c r="D35" s="57">
        <f>ROUND((735/1936.27)*1000,0)</f>
        <v>380</v>
      </c>
      <c r="E35" s="45"/>
      <c r="F35" s="63">
        <v>331</v>
      </c>
      <c r="G35" s="45"/>
      <c r="H35" s="63">
        <v>335</v>
      </c>
      <c r="I35" s="45"/>
      <c r="J35" s="63">
        <v>317</v>
      </c>
      <c r="K35" s="45"/>
      <c r="L35" s="63">
        <v>247</v>
      </c>
      <c r="M35" s="45"/>
      <c r="N35" s="63">
        <v>104</v>
      </c>
      <c r="O35" s="45"/>
      <c r="P35" s="63">
        <v>43</v>
      </c>
      <c r="Q35" s="45"/>
      <c r="R35" s="63">
        <v>36</v>
      </c>
      <c r="S35" s="45"/>
      <c r="T35" s="63">
        <v>61</v>
      </c>
      <c r="U35" s="45"/>
      <c r="V35" s="63">
        <v>15</v>
      </c>
      <c r="W35" s="45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</row>
    <row r="36" spans="1:35" s="2" customFormat="1" ht="12.75">
      <c r="A36" s="90" t="s">
        <v>131</v>
      </c>
      <c r="B36" s="91"/>
      <c r="C36" s="91"/>
      <c r="D36" s="55">
        <f aca="true" t="shared" si="7" ref="D36:W36">SUM(D37:D39)</f>
        <v>1320</v>
      </c>
      <c r="E36" s="55">
        <f t="shared" si="7"/>
        <v>52</v>
      </c>
      <c r="F36" s="55">
        <f t="shared" si="7"/>
        <v>1018</v>
      </c>
      <c r="G36" s="55">
        <f t="shared" si="7"/>
        <v>0</v>
      </c>
      <c r="H36" s="55">
        <f t="shared" si="7"/>
        <v>1452</v>
      </c>
      <c r="I36" s="55">
        <f t="shared" si="7"/>
        <v>11</v>
      </c>
      <c r="J36" s="55">
        <f t="shared" si="7"/>
        <v>1073</v>
      </c>
      <c r="K36" s="55">
        <f t="shared" si="7"/>
        <v>136</v>
      </c>
      <c r="L36" s="55">
        <f t="shared" si="7"/>
        <v>985</v>
      </c>
      <c r="M36" s="55">
        <f t="shared" si="7"/>
        <v>393</v>
      </c>
      <c r="N36" s="55">
        <f t="shared" si="7"/>
        <v>1430</v>
      </c>
      <c r="O36" s="55">
        <f t="shared" si="7"/>
        <v>450</v>
      </c>
      <c r="P36" s="55">
        <f t="shared" si="7"/>
        <v>1793</v>
      </c>
      <c r="Q36" s="55">
        <f t="shared" si="7"/>
        <v>1442</v>
      </c>
      <c r="R36" s="55">
        <f t="shared" si="7"/>
        <v>1723</v>
      </c>
      <c r="S36" s="55">
        <f t="shared" si="7"/>
        <v>1301</v>
      </c>
      <c r="T36" s="55">
        <f t="shared" si="7"/>
        <v>1407</v>
      </c>
      <c r="U36" s="55">
        <f t="shared" si="7"/>
        <v>1224</v>
      </c>
      <c r="V36" s="55">
        <f t="shared" si="7"/>
        <v>3026</v>
      </c>
      <c r="W36" s="55">
        <f t="shared" si="7"/>
        <v>661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s="2" customFormat="1" ht="12.75">
      <c r="A37" s="25"/>
      <c r="B37" s="20" t="s">
        <v>15</v>
      </c>
      <c r="D37" s="46">
        <f>ROUND((140/1936.27)*1000,0)</f>
        <v>72</v>
      </c>
      <c r="E37" s="39"/>
      <c r="F37" s="38">
        <v>103</v>
      </c>
      <c r="G37" s="39"/>
      <c r="H37" s="38">
        <v>120</v>
      </c>
      <c r="I37" s="39"/>
      <c r="J37" s="38">
        <v>99</v>
      </c>
      <c r="K37" s="39"/>
      <c r="L37" s="38">
        <v>192</v>
      </c>
      <c r="M37" s="39"/>
      <c r="N37" s="38">
        <v>180</v>
      </c>
      <c r="O37" s="39"/>
      <c r="P37" s="38">
        <v>151</v>
      </c>
      <c r="Q37" s="39"/>
      <c r="R37" s="38">
        <v>524</v>
      </c>
      <c r="S37" s="39">
        <v>297</v>
      </c>
      <c r="T37" s="38">
        <v>383</v>
      </c>
      <c r="U37" s="39">
        <v>267</v>
      </c>
      <c r="V37" s="38">
        <v>94</v>
      </c>
      <c r="W37" s="39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s="2" customFormat="1" ht="12.75">
      <c r="A38" s="25"/>
      <c r="B38" s="20" t="s">
        <v>67</v>
      </c>
      <c r="D38" s="46">
        <f>ROUND((2004/1936.27)*1000,0)</f>
        <v>1035</v>
      </c>
      <c r="E38" s="39">
        <f>ROUND(100000/1936.27,0)</f>
        <v>52</v>
      </c>
      <c r="F38" s="38">
        <v>744</v>
      </c>
      <c r="G38" s="39"/>
      <c r="H38" s="38">
        <f>655+506</f>
        <v>1161</v>
      </c>
      <c r="I38" s="39"/>
      <c r="J38" s="38">
        <f>432+348</f>
        <v>780</v>
      </c>
      <c r="K38" s="39">
        <v>136</v>
      </c>
      <c r="L38" s="38">
        <f>183+273</f>
        <v>456</v>
      </c>
      <c r="M38" s="39">
        <f>103+220</f>
        <v>323</v>
      </c>
      <c r="N38" s="38">
        <f>11+901</f>
        <v>912</v>
      </c>
      <c r="O38" s="39">
        <v>450</v>
      </c>
      <c r="P38" s="38">
        <f>215+207</f>
        <v>422</v>
      </c>
      <c r="Q38" s="39">
        <f>131+190</f>
        <v>321</v>
      </c>
      <c r="R38" s="38">
        <v>391</v>
      </c>
      <c r="S38" s="39">
        <v>374</v>
      </c>
      <c r="T38" s="38">
        <v>276</v>
      </c>
      <c r="U38" s="39">
        <v>250</v>
      </c>
      <c r="V38" s="38">
        <v>2196</v>
      </c>
      <c r="W38" s="39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s="2" customFormat="1" ht="12.75">
      <c r="A39" s="25"/>
      <c r="B39" s="20" t="s">
        <v>132</v>
      </c>
      <c r="C39" s="20"/>
      <c r="D39" s="57">
        <f>ROUND((413/1936.27)*1000,0)</f>
        <v>213</v>
      </c>
      <c r="E39" s="45"/>
      <c r="F39" s="63">
        <v>171</v>
      </c>
      <c r="G39" s="45"/>
      <c r="H39" s="63">
        <v>171</v>
      </c>
      <c r="I39" s="45">
        <v>11</v>
      </c>
      <c r="J39" s="63">
        <f>147+47</f>
        <v>194</v>
      </c>
      <c r="K39" s="45"/>
      <c r="L39" s="63">
        <v>337</v>
      </c>
      <c r="M39" s="45">
        <v>70</v>
      </c>
      <c r="N39" s="63">
        <v>338</v>
      </c>
      <c r="O39" s="45"/>
      <c r="P39" s="63">
        <v>1220</v>
      </c>
      <c r="Q39" s="45">
        <v>1121</v>
      </c>
      <c r="R39" s="63">
        <v>808</v>
      </c>
      <c r="S39" s="45">
        <v>630</v>
      </c>
      <c r="T39" s="63">
        <v>748</v>
      </c>
      <c r="U39" s="45">
        <v>707</v>
      </c>
      <c r="V39" s="63">
        <v>736</v>
      </c>
      <c r="W39" s="45">
        <v>661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</row>
    <row r="40" spans="1:35" s="2" customFormat="1" ht="12.75">
      <c r="A40" s="96" t="s">
        <v>133</v>
      </c>
      <c r="B40" s="91"/>
      <c r="C40" s="91"/>
      <c r="D40" s="55">
        <f>SUM(D41:D43)</f>
        <v>9576</v>
      </c>
      <c r="E40" s="55">
        <f aca="true" t="shared" si="8" ref="E40:W40">SUM(E41:E43)</f>
        <v>1917</v>
      </c>
      <c r="F40" s="55">
        <f t="shared" si="8"/>
        <v>7652</v>
      </c>
      <c r="G40" s="55">
        <f t="shared" si="8"/>
        <v>314</v>
      </c>
      <c r="H40" s="55">
        <f t="shared" si="8"/>
        <v>8914</v>
      </c>
      <c r="I40" s="55">
        <f t="shared" si="8"/>
        <v>214</v>
      </c>
      <c r="J40" s="55">
        <f t="shared" si="8"/>
        <v>9728</v>
      </c>
      <c r="K40" s="55">
        <f t="shared" si="8"/>
        <v>548</v>
      </c>
      <c r="L40" s="55">
        <f t="shared" si="8"/>
        <v>9720</v>
      </c>
      <c r="M40" s="55">
        <f t="shared" si="8"/>
        <v>334</v>
      </c>
      <c r="N40" s="55">
        <f t="shared" si="8"/>
        <v>9971</v>
      </c>
      <c r="O40" s="55">
        <f t="shared" si="8"/>
        <v>653</v>
      </c>
      <c r="P40" s="55">
        <f t="shared" si="8"/>
        <v>9277</v>
      </c>
      <c r="Q40" s="55">
        <f t="shared" si="8"/>
        <v>703</v>
      </c>
      <c r="R40" s="55">
        <f t="shared" si="8"/>
        <v>9859</v>
      </c>
      <c r="S40" s="55">
        <f t="shared" si="8"/>
        <v>905</v>
      </c>
      <c r="T40" s="55">
        <f t="shared" si="8"/>
        <v>9628</v>
      </c>
      <c r="U40" s="55">
        <f t="shared" si="8"/>
        <v>730</v>
      </c>
      <c r="V40" s="55">
        <f t="shared" si="8"/>
        <v>9038</v>
      </c>
      <c r="W40" s="55">
        <f t="shared" si="8"/>
        <v>850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</row>
    <row r="41" spans="1:35" s="2" customFormat="1" ht="12.75">
      <c r="A41" s="25"/>
      <c r="B41" s="20" t="s">
        <v>66</v>
      </c>
      <c r="C41" s="20"/>
      <c r="D41" s="46">
        <f>ROUND((5570/1936.27)*1000,0)</f>
        <v>2877</v>
      </c>
      <c r="E41" s="39">
        <f>ROUND(3701590/1936.27,0)</f>
        <v>1912</v>
      </c>
      <c r="F41" s="38">
        <v>799</v>
      </c>
      <c r="G41" s="43">
        <f>ROUND((583121/1936.27),0)</f>
        <v>301</v>
      </c>
      <c r="H41" s="38">
        <v>1113</v>
      </c>
      <c r="I41" s="43">
        <v>151</v>
      </c>
      <c r="J41" s="38">
        <v>2795</v>
      </c>
      <c r="K41" s="43">
        <v>480</v>
      </c>
      <c r="L41" s="38">
        <v>2844</v>
      </c>
      <c r="M41" s="43">
        <v>308</v>
      </c>
      <c r="N41" s="38">
        <v>2175</v>
      </c>
      <c r="O41" s="43">
        <v>626</v>
      </c>
      <c r="P41" s="38">
        <v>1887</v>
      </c>
      <c r="Q41" s="43">
        <v>562</v>
      </c>
      <c r="R41" s="38">
        <v>2172</v>
      </c>
      <c r="S41" s="43">
        <v>718</v>
      </c>
      <c r="T41" s="38">
        <v>2151</v>
      </c>
      <c r="U41" s="43">
        <v>696</v>
      </c>
      <c r="V41" s="38">
        <v>1940</v>
      </c>
      <c r="W41" s="43">
        <v>702</v>
      </c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1:35" s="2" customFormat="1" ht="12.75">
      <c r="A42" s="25"/>
      <c r="B42" s="20" t="s">
        <v>8</v>
      </c>
      <c r="C42" s="20"/>
      <c r="D42" s="46">
        <f>ROUND((7160/1936.27)*1000,0)</f>
        <v>3698</v>
      </c>
      <c r="E42" s="39"/>
      <c r="F42" s="38">
        <v>3969</v>
      </c>
      <c r="G42" s="43"/>
      <c r="H42" s="38">
        <v>5001</v>
      </c>
      <c r="I42" s="43"/>
      <c r="J42" s="38">
        <v>4210</v>
      </c>
      <c r="K42" s="43"/>
      <c r="L42" s="38">
        <v>4329</v>
      </c>
      <c r="M42" s="43"/>
      <c r="N42" s="38">
        <v>5313</v>
      </c>
      <c r="O42" s="43">
        <v>6</v>
      </c>
      <c r="P42" s="38">
        <v>5248</v>
      </c>
      <c r="Q42" s="43">
        <v>136</v>
      </c>
      <c r="R42" s="38">
        <v>5514</v>
      </c>
      <c r="S42" s="43">
        <v>81</v>
      </c>
      <c r="T42" s="38">
        <v>5292</v>
      </c>
      <c r="U42" s="43">
        <v>29</v>
      </c>
      <c r="V42" s="38">
        <v>4954</v>
      </c>
      <c r="W42" s="43">
        <v>143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s="2" customFormat="1" ht="12.75">
      <c r="A43" s="25"/>
      <c r="B43" s="20" t="s">
        <v>14</v>
      </c>
      <c r="C43" s="20"/>
      <c r="D43" s="57">
        <f>ROUND((5811/1936.27)*1000,0)</f>
        <v>3001</v>
      </c>
      <c r="E43" s="45">
        <f>ROUND(10000/1936.27,0)</f>
        <v>5</v>
      </c>
      <c r="F43" s="63">
        <v>2884</v>
      </c>
      <c r="G43" s="45">
        <f>ROUND((25000/1936.27),0)</f>
        <v>13</v>
      </c>
      <c r="H43" s="63">
        <v>2800</v>
      </c>
      <c r="I43" s="45">
        <v>63</v>
      </c>
      <c r="J43" s="63">
        <v>2723</v>
      </c>
      <c r="K43" s="45">
        <v>68</v>
      </c>
      <c r="L43" s="63">
        <v>2547</v>
      </c>
      <c r="M43" s="45">
        <v>26</v>
      </c>
      <c r="N43" s="63">
        <v>2483</v>
      </c>
      <c r="O43" s="45">
        <v>21</v>
      </c>
      <c r="P43" s="63">
        <v>2142</v>
      </c>
      <c r="Q43" s="45">
        <v>5</v>
      </c>
      <c r="R43" s="63">
        <v>2173</v>
      </c>
      <c r="S43" s="45">
        <v>106</v>
      </c>
      <c r="T43" s="63">
        <v>2185</v>
      </c>
      <c r="U43" s="45">
        <v>5</v>
      </c>
      <c r="V43" s="63">
        <v>2144</v>
      </c>
      <c r="W43" s="45">
        <v>5</v>
      </c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2" customFormat="1" ht="12.75">
      <c r="A44" s="96" t="s">
        <v>136</v>
      </c>
      <c r="B44" s="91"/>
      <c r="C44" s="91"/>
      <c r="D44" s="55">
        <f aca="true" t="shared" si="9" ref="D44:W44">SUM(D45:D52)</f>
        <v>3300.5</v>
      </c>
      <c r="E44" s="55">
        <f t="shared" si="9"/>
        <v>580</v>
      </c>
      <c r="F44" s="55">
        <f t="shared" si="9"/>
        <v>2095</v>
      </c>
      <c r="G44" s="55">
        <f t="shared" si="9"/>
        <v>0</v>
      </c>
      <c r="H44" s="55">
        <f t="shared" si="9"/>
        <v>3766</v>
      </c>
      <c r="I44" s="55">
        <f t="shared" si="9"/>
        <v>137</v>
      </c>
      <c r="J44" s="55">
        <f t="shared" si="9"/>
        <v>3516</v>
      </c>
      <c r="K44" s="55">
        <f t="shared" si="9"/>
        <v>1285</v>
      </c>
      <c r="L44" s="55">
        <f t="shared" si="9"/>
        <v>2696</v>
      </c>
      <c r="M44" s="55">
        <f t="shared" si="9"/>
        <v>951</v>
      </c>
      <c r="N44" s="55">
        <f t="shared" si="9"/>
        <v>2845</v>
      </c>
      <c r="O44" s="55">
        <f t="shared" si="9"/>
        <v>40</v>
      </c>
      <c r="P44" s="55">
        <f t="shared" si="9"/>
        <v>2723</v>
      </c>
      <c r="Q44" s="55">
        <f t="shared" si="9"/>
        <v>139</v>
      </c>
      <c r="R44" s="55">
        <f t="shared" si="9"/>
        <v>7255</v>
      </c>
      <c r="S44" s="55">
        <f t="shared" si="9"/>
        <v>4361</v>
      </c>
      <c r="T44" s="55">
        <f t="shared" si="9"/>
        <v>9769</v>
      </c>
      <c r="U44" s="55">
        <f t="shared" si="9"/>
        <v>6706</v>
      </c>
      <c r="V44" s="55">
        <f t="shared" si="9"/>
        <v>10426</v>
      </c>
      <c r="W44" s="55">
        <f t="shared" si="9"/>
        <v>8025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2" customFormat="1" ht="12.75">
      <c r="A45" s="25"/>
      <c r="B45" s="10" t="s">
        <v>116</v>
      </c>
      <c r="C45" s="29"/>
      <c r="D45" s="46">
        <f>ROUND((860/1936.27)*1000,0)</f>
        <v>444</v>
      </c>
      <c r="E45" s="46"/>
      <c r="F45" s="46">
        <v>428</v>
      </c>
      <c r="G45" s="43">
        <f>ROUND((72882176/1936.27),0)-37640-1</f>
        <v>0</v>
      </c>
      <c r="H45" s="46">
        <v>207</v>
      </c>
      <c r="I45" s="43"/>
      <c r="J45" s="46">
        <v>221</v>
      </c>
      <c r="K45" s="43"/>
      <c r="L45" s="46">
        <v>135</v>
      </c>
      <c r="M45" s="43">
        <v>43</v>
      </c>
      <c r="N45" s="46">
        <v>109</v>
      </c>
      <c r="O45" s="43"/>
      <c r="P45" s="46">
        <v>135</v>
      </c>
      <c r="Q45" s="43"/>
      <c r="R45" s="46">
        <v>105</v>
      </c>
      <c r="S45" s="43"/>
      <c r="T45" s="46">
        <v>181</v>
      </c>
      <c r="U45" s="43"/>
      <c r="V45" s="46">
        <v>56</v>
      </c>
      <c r="W45" s="43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2" customFormat="1" ht="12.75">
      <c r="A46" s="25"/>
      <c r="B46" s="10" t="s">
        <v>70</v>
      </c>
      <c r="D46" s="46">
        <f>ROUND((507/1936.27)*1000,0)</f>
        <v>262</v>
      </c>
      <c r="E46" s="43"/>
      <c r="F46" s="43">
        <v>48</v>
      </c>
      <c r="G46" s="43"/>
      <c r="H46" s="46">
        <v>63</v>
      </c>
      <c r="I46" s="43"/>
      <c r="J46" s="46">
        <v>34</v>
      </c>
      <c r="K46" s="43"/>
      <c r="L46" s="46"/>
      <c r="M46" s="43"/>
      <c r="N46" s="46"/>
      <c r="O46" s="43"/>
      <c r="P46" s="46"/>
      <c r="Q46" s="43"/>
      <c r="R46" s="46"/>
      <c r="S46" s="43"/>
      <c r="T46" s="46"/>
      <c r="U46" s="43"/>
      <c r="V46" s="46"/>
      <c r="W46" s="43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2" customFormat="1" ht="12.75">
      <c r="A47" s="25"/>
      <c r="B47" s="20" t="s">
        <v>135</v>
      </c>
      <c r="D47" s="46">
        <f>ROUND((94/1936.27)*1000,0)</f>
        <v>49</v>
      </c>
      <c r="E47" s="43"/>
      <c r="F47" s="43">
        <v>17</v>
      </c>
      <c r="G47" s="43"/>
      <c r="H47" s="43">
        <v>1</v>
      </c>
      <c r="I47" s="43"/>
      <c r="J47" s="43">
        <v>12</v>
      </c>
      <c r="K47" s="43"/>
      <c r="L47" s="43">
        <v>21</v>
      </c>
      <c r="M47" s="43"/>
      <c r="N47" s="43">
        <v>163</v>
      </c>
      <c r="O47" s="43"/>
      <c r="P47" s="43">
        <v>82</v>
      </c>
      <c r="Q47" s="43"/>
      <c r="R47" s="43">
        <v>61</v>
      </c>
      <c r="S47" s="43">
        <v>21</v>
      </c>
      <c r="T47" s="43">
        <v>45</v>
      </c>
      <c r="U47" s="43"/>
      <c r="V47" s="43">
        <v>46</v>
      </c>
      <c r="W47" s="43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2" customFormat="1" ht="12.75">
      <c r="A48" s="25"/>
      <c r="B48" s="20" t="s">
        <v>69</v>
      </c>
      <c r="D48" s="46">
        <v>2073.5</v>
      </c>
      <c r="E48" s="43">
        <v>580</v>
      </c>
      <c r="F48" s="43">
        <v>837</v>
      </c>
      <c r="G48" s="43"/>
      <c r="H48" s="43">
        <v>468</v>
      </c>
      <c r="I48" s="43">
        <v>137</v>
      </c>
      <c r="J48" s="43">
        <v>333</v>
      </c>
      <c r="K48" s="43">
        <v>88</v>
      </c>
      <c r="L48" s="43">
        <v>229</v>
      </c>
      <c r="M48" s="43">
        <v>65</v>
      </c>
      <c r="N48" s="43">
        <v>210</v>
      </c>
      <c r="O48" s="43">
        <v>40</v>
      </c>
      <c r="P48" s="43">
        <v>202</v>
      </c>
      <c r="Q48" s="43"/>
      <c r="R48" s="43">
        <v>220</v>
      </c>
      <c r="S48" s="43"/>
      <c r="T48" s="43">
        <v>6956</v>
      </c>
      <c r="U48" s="43">
        <v>6706</v>
      </c>
      <c r="V48" s="43">
        <v>1420</v>
      </c>
      <c r="W48" s="43">
        <v>1200</v>
      </c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2" customFormat="1" ht="12.75">
      <c r="A49" s="25"/>
      <c r="B49" s="20" t="s">
        <v>71</v>
      </c>
      <c r="D49" s="46"/>
      <c r="E49" s="43"/>
      <c r="F49" s="43"/>
      <c r="G49" s="43"/>
      <c r="H49" s="43">
        <v>27</v>
      </c>
      <c r="I49" s="43"/>
      <c r="J49" s="43">
        <v>368</v>
      </c>
      <c r="K49" s="43">
        <v>324</v>
      </c>
      <c r="L49" s="43">
        <v>203</v>
      </c>
      <c r="M49" s="43">
        <v>172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2" customFormat="1" ht="12.75">
      <c r="A50" s="25"/>
      <c r="B50" s="20" t="s">
        <v>72</v>
      </c>
      <c r="D50" s="46"/>
      <c r="E50" s="43"/>
      <c r="F50" s="43"/>
      <c r="G50" s="43"/>
      <c r="H50" s="43">
        <v>1820</v>
      </c>
      <c r="I50" s="43"/>
      <c r="J50" s="43">
        <v>1187</v>
      </c>
      <c r="K50" s="43"/>
      <c r="L50" s="43">
        <v>1209</v>
      </c>
      <c r="M50" s="43"/>
      <c r="N50" s="43">
        <v>2174</v>
      </c>
      <c r="O50" s="43"/>
      <c r="P50" s="43">
        <v>2239</v>
      </c>
      <c r="Q50" s="43">
        <v>139</v>
      </c>
      <c r="R50" s="43">
        <v>2466</v>
      </c>
      <c r="S50" s="43">
        <v>140</v>
      </c>
      <c r="T50" s="43">
        <v>2550</v>
      </c>
      <c r="U50" s="43"/>
      <c r="V50" s="43">
        <v>7557</v>
      </c>
      <c r="W50" s="43">
        <v>5500</v>
      </c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2" customFormat="1" ht="12.75">
      <c r="A51" s="25"/>
      <c r="B51" s="19" t="s">
        <v>68</v>
      </c>
      <c r="D51" s="46"/>
      <c r="E51" s="43"/>
      <c r="F51" s="43">
        <v>178</v>
      </c>
      <c r="G51" s="43"/>
      <c r="H51" s="43">
        <v>147</v>
      </c>
      <c r="I51" s="43"/>
      <c r="J51" s="43">
        <v>293</v>
      </c>
      <c r="K51" s="43"/>
      <c r="L51" s="43">
        <v>215</v>
      </c>
      <c r="M51" s="43">
        <v>71</v>
      </c>
      <c r="N51" s="43">
        <v>61</v>
      </c>
      <c r="O51" s="43"/>
      <c r="P51" s="43">
        <v>65</v>
      </c>
      <c r="Q51" s="43"/>
      <c r="R51" s="43">
        <v>4229</v>
      </c>
      <c r="S51" s="43">
        <v>4200</v>
      </c>
      <c r="T51" s="43">
        <v>7</v>
      </c>
      <c r="U51" s="43"/>
      <c r="V51" s="43">
        <v>1327</v>
      </c>
      <c r="W51" s="43">
        <v>1325</v>
      </c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2" customFormat="1" ht="12.75">
      <c r="A52" s="25"/>
      <c r="B52" s="20" t="s">
        <v>134</v>
      </c>
      <c r="C52" s="20"/>
      <c r="D52" s="57">
        <f>ROUND((913/1936.27)*1000,0)</f>
        <v>472</v>
      </c>
      <c r="E52" s="45"/>
      <c r="F52" s="63">
        <v>587</v>
      </c>
      <c r="G52" s="45"/>
      <c r="H52" s="63">
        <v>1033</v>
      </c>
      <c r="I52" s="45"/>
      <c r="J52" s="63">
        <v>1068</v>
      </c>
      <c r="K52" s="45">
        <v>873</v>
      </c>
      <c r="L52" s="63">
        <v>684</v>
      </c>
      <c r="M52" s="45">
        <v>600</v>
      </c>
      <c r="N52" s="63">
        <v>128</v>
      </c>
      <c r="O52" s="45"/>
      <c r="P52" s="63"/>
      <c r="Q52" s="45"/>
      <c r="R52" s="63">
        <v>174</v>
      </c>
      <c r="S52" s="45"/>
      <c r="T52" s="63">
        <v>30</v>
      </c>
      <c r="U52" s="45"/>
      <c r="V52" s="63">
        <v>20</v>
      </c>
      <c r="W52" s="45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2" customFormat="1" ht="12.75">
      <c r="A53" s="96" t="s">
        <v>85</v>
      </c>
      <c r="B53" s="91"/>
      <c r="C53" s="91"/>
      <c r="D53" s="55">
        <f>+D54+D55+D61</f>
        <v>15997</v>
      </c>
      <c r="E53" s="55">
        <f aca="true" t="shared" si="10" ref="E53:W53">+E54+E55+E61</f>
        <v>166</v>
      </c>
      <c r="F53" s="55">
        <f t="shared" si="10"/>
        <v>17852</v>
      </c>
      <c r="G53" s="55">
        <f t="shared" si="10"/>
        <v>2063.2453118624985</v>
      </c>
      <c r="H53" s="55">
        <f t="shared" si="10"/>
        <v>18593</v>
      </c>
      <c r="I53" s="55">
        <f t="shared" si="10"/>
        <v>3635</v>
      </c>
      <c r="J53" s="55">
        <f t="shared" si="10"/>
        <v>17388</v>
      </c>
      <c r="K53" s="55">
        <f t="shared" si="10"/>
        <v>2263</v>
      </c>
      <c r="L53" s="55">
        <f t="shared" si="10"/>
        <v>15632</v>
      </c>
      <c r="M53" s="55">
        <f t="shared" si="10"/>
        <v>310</v>
      </c>
      <c r="N53" s="55">
        <f t="shared" si="10"/>
        <v>17353</v>
      </c>
      <c r="O53" s="55">
        <f t="shared" si="10"/>
        <v>740</v>
      </c>
      <c r="P53" s="55">
        <f t="shared" si="10"/>
        <v>15644</v>
      </c>
      <c r="Q53" s="55">
        <f t="shared" si="10"/>
        <v>679</v>
      </c>
      <c r="R53" s="55">
        <f t="shared" si="10"/>
        <v>16250</v>
      </c>
      <c r="S53" s="55">
        <f t="shared" si="10"/>
        <v>241</v>
      </c>
      <c r="T53" s="55">
        <f t="shared" si="10"/>
        <v>15426</v>
      </c>
      <c r="U53" s="55">
        <f t="shared" si="10"/>
        <v>407</v>
      </c>
      <c r="V53" s="55">
        <f t="shared" si="10"/>
        <v>14780</v>
      </c>
      <c r="W53" s="55">
        <f t="shared" si="10"/>
        <v>384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2" customFormat="1" ht="12.75">
      <c r="A54" s="25"/>
      <c r="B54" s="20" t="s">
        <v>92</v>
      </c>
      <c r="D54" s="46">
        <f>ROUND((3354/1936.27)*1000,0)</f>
        <v>1732</v>
      </c>
      <c r="E54" s="43"/>
      <c r="F54" s="43">
        <v>2570</v>
      </c>
      <c r="G54" s="43">
        <f>262/1.93627</f>
        <v>135.31170756144547</v>
      </c>
      <c r="H54" s="43">
        <v>979</v>
      </c>
      <c r="I54" s="43"/>
      <c r="J54" s="43">
        <v>882</v>
      </c>
      <c r="K54" s="43"/>
      <c r="L54" s="43">
        <v>720</v>
      </c>
      <c r="M54" s="43">
        <v>9</v>
      </c>
      <c r="N54" s="43">
        <v>812</v>
      </c>
      <c r="O54" s="43">
        <v>123</v>
      </c>
      <c r="P54" s="43">
        <v>607</v>
      </c>
      <c r="Q54" s="43">
        <v>5</v>
      </c>
      <c r="R54" s="43">
        <v>298</v>
      </c>
      <c r="S54" s="43"/>
      <c r="T54" s="43">
        <v>577</v>
      </c>
      <c r="U54" s="43">
        <v>90</v>
      </c>
      <c r="V54" s="43">
        <v>305</v>
      </c>
      <c r="W54" s="43">
        <v>2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2" customFormat="1" ht="12.75">
      <c r="A55" s="25"/>
      <c r="B55" s="20" t="s">
        <v>137</v>
      </c>
      <c r="D55" s="43">
        <f>SUM(D56:D60)</f>
        <v>7708</v>
      </c>
      <c r="E55" s="43">
        <f aca="true" t="shared" si="11" ref="E55:W55">SUM(E56:E60)</f>
        <v>0</v>
      </c>
      <c r="F55" s="43">
        <f t="shared" si="11"/>
        <v>5369</v>
      </c>
      <c r="G55" s="43">
        <f t="shared" si="11"/>
        <v>351.7071482799403</v>
      </c>
      <c r="H55" s="43">
        <f t="shared" si="11"/>
        <v>8131</v>
      </c>
      <c r="I55" s="43">
        <f t="shared" si="11"/>
        <v>2650</v>
      </c>
      <c r="J55" s="43">
        <f t="shared" si="11"/>
        <v>6595</v>
      </c>
      <c r="K55" s="43">
        <f t="shared" si="11"/>
        <v>704</v>
      </c>
      <c r="L55" s="43">
        <f t="shared" si="11"/>
        <v>6244</v>
      </c>
      <c r="M55" s="43">
        <f t="shared" si="11"/>
        <v>301</v>
      </c>
      <c r="N55" s="43">
        <f t="shared" si="11"/>
        <v>7533</v>
      </c>
      <c r="O55" s="43">
        <f t="shared" si="11"/>
        <v>617</v>
      </c>
      <c r="P55" s="43">
        <f t="shared" si="11"/>
        <v>5929</v>
      </c>
      <c r="Q55" s="43">
        <f t="shared" si="11"/>
        <v>612</v>
      </c>
      <c r="R55" s="43">
        <f t="shared" si="11"/>
        <v>6638</v>
      </c>
      <c r="S55" s="43">
        <f t="shared" si="11"/>
        <v>227</v>
      </c>
      <c r="T55" s="43">
        <f t="shared" si="11"/>
        <v>5155</v>
      </c>
      <c r="U55" s="43">
        <f t="shared" si="11"/>
        <v>297</v>
      </c>
      <c r="V55" s="43">
        <f t="shared" si="11"/>
        <v>4880</v>
      </c>
      <c r="W55" s="43">
        <f t="shared" si="11"/>
        <v>222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2" customFormat="1" ht="12.75">
      <c r="A56" s="99"/>
      <c r="B56" s="98"/>
      <c r="C56" s="101" t="s">
        <v>7</v>
      </c>
      <c r="D56" s="100">
        <f>ROUND((2401/1936.27)*1000,0)</f>
        <v>1240</v>
      </c>
      <c r="E56" s="102"/>
      <c r="F56" s="100">
        <v>516</v>
      </c>
      <c r="G56" s="102"/>
      <c r="H56" s="100">
        <v>3373</v>
      </c>
      <c r="I56" s="102">
        <v>2360</v>
      </c>
      <c r="J56" s="100">
        <v>533</v>
      </c>
      <c r="K56" s="102"/>
      <c r="L56" s="100">
        <v>681</v>
      </c>
      <c r="M56" s="102">
        <f>22+59</f>
        <v>81</v>
      </c>
      <c r="N56" s="100">
        <v>1638</v>
      </c>
      <c r="O56" s="102"/>
      <c r="P56" s="100">
        <v>403</v>
      </c>
      <c r="Q56" s="102">
        <v>30</v>
      </c>
      <c r="R56" s="100">
        <v>436</v>
      </c>
      <c r="S56" s="102"/>
      <c r="T56" s="100">
        <v>166</v>
      </c>
      <c r="U56" s="102">
        <v>15</v>
      </c>
      <c r="V56" s="100">
        <v>488</v>
      </c>
      <c r="W56" s="102">
        <v>22</v>
      </c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2" customFormat="1" ht="12.75">
      <c r="A57" s="99"/>
      <c r="B57" s="98"/>
      <c r="C57" s="101" t="s">
        <v>96</v>
      </c>
      <c r="D57" s="100"/>
      <c r="E57" s="102"/>
      <c r="F57" s="100"/>
      <c r="G57" s="102"/>
      <c r="H57" s="100"/>
      <c r="I57" s="102"/>
      <c r="J57" s="100"/>
      <c r="K57" s="102"/>
      <c r="L57" s="100"/>
      <c r="M57" s="102"/>
      <c r="N57" s="100"/>
      <c r="O57" s="102"/>
      <c r="P57" s="100">
        <v>17</v>
      </c>
      <c r="Q57" s="102">
        <v>17</v>
      </c>
      <c r="R57" s="100"/>
      <c r="S57" s="102"/>
      <c r="T57" s="100"/>
      <c r="U57" s="102"/>
      <c r="V57" s="100"/>
      <c r="W57" s="102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2" customFormat="1" ht="12.75">
      <c r="A58" s="99"/>
      <c r="B58" s="98"/>
      <c r="C58" s="101" t="s">
        <v>6</v>
      </c>
      <c r="D58" s="100">
        <f>ROUND((4/1936.27)*1000,0)</f>
        <v>2</v>
      </c>
      <c r="E58" s="102"/>
      <c r="F58" s="100">
        <v>30</v>
      </c>
      <c r="G58" s="102"/>
      <c r="H58" s="100">
        <v>93</v>
      </c>
      <c r="I58" s="102"/>
      <c r="J58" s="100">
        <v>880</v>
      </c>
      <c r="K58" s="102">
        <v>440</v>
      </c>
      <c r="L58" s="100">
        <v>329</v>
      </c>
      <c r="M58" s="102"/>
      <c r="N58" s="100">
        <v>495</v>
      </c>
      <c r="O58" s="102">
        <v>387</v>
      </c>
      <c r="P58" s="100">
        <v>460</v>
      </c>
      <c r="Q58" s="102">
        <v>451</v>
      </c>
      <c r="R58" s="100">
        <v>1209</v>
      </c>
      <c r="S58" s="102">
        <v>100</v>
      </c>
      <c r="T58" s="100">
        <v>157</v>
      </c>
      <c r="U58" s="102">
        <v>150</v>
      </c>
      <c r="V58" s="100">
        <v>7</v>
      </c>
      <c r="W58" s="102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2" customFormat="1" ht="12.75">
      <c r="A59" s="99"/>
      <c r="B59" s="98"/>
      <c r="C59" s="101" t="s">
        <v>75</v>
      </c>
      <c r="D59" s="100">
        <f>ROUND((12841/1936.27)*1000,0)-166</f>
        <v>6466</v>
      </c>
      <c r="E59" s="102"/>
      <c r="F59" s="100">
        <v>4823</v>
      </c>
      <c r="G59" s="102">
        <f>681/1.93627</f>
        <v>351.7071482799403</v>
      </c>
      <c r="H59" s="100">
        <v>4511</v>
      </c>
      <c r="I59" s="102">
        <v>290</v>
      </c>
      <c r="J59" s="100">
        <v>3699</v>
      </c>
      <c r="K59" s="102">
        <v>264</v>
      </c>
      <c r="L59" s="100">
        <v>3606</v>
      </c>
      <c r="M59" s="102">
        <v>130</v>
      </c>
      <c r="N59" s="100">
        <v>3710</v>
      </c>
      <c r="O59" s="102">
        <v>130</v>
      </c>
      <c r="P59" s="100">
        <v>3607</v>
      </c>
      <c r="Q59" s="102">
        <v>104</v>
      </c>
      <c r="R59" s="100">
        <v>3613</v>
      </c>
      <c r="S59" s="102">
        <v>117</v>
      </c>
      <c r="T59" s="100">
        <v>3439</v>
      </c>
      <c r="U59" s="102">
        <v>122</v>
      </c>
      <c r="V59" s="100">
        <v>3177</v>
      </c>
      <c r="W59" s="102">
        <v>160</v>
      </c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2" customFormat="1" ht="12.75">
      <c r="A60" s="99"/>
      <c r="B60" s="98"/>
      <c r="C60" s="101" t="s">
        <v>74</v>
      </c>
      <c r="D60" s="100"/>
      <c r="E60" s="102"/>
      <c r="F60" s="100"/>
      <c r="G60" s="102"/>
      <c r="H60" s="100">
        <v>154</v>
      </c>
      <c r="I60" s="102"/>
      <c r="J60" s="100">
        <v>1483</v>
      </c>
      <c r="K60" s="102"/>
      <c r="L60" s="100">
        <v>1628</v>
      </c>
      <c r="M60" s="102">
        <v>90</v>
      </c>
      <c r="N60" s="100">
        <v>1690</v>
      </c>
      <c r="O60" s="102">
        <v>100</v>
      </c>
      <c r="P60" s="100">
        <v>1442</v>
      </c>
      <c r="Q60" s="102">
        <v>10</v>
      </c>
      <c r="R60" s="100">
        <v>1380</v>
      </c>
      <c r="S60" s="102">
        <v>10</v>
      </c>
      <c r="T60" s="100">
        <v>1393</v>
      </c>
      <c r="U60" s="102">
        <v>10</v>
      </c>
      <c r="V60" s="100">
        <v>1208</v>
      </c>
      <c r="W60" s="102">
        <v>40</v>
      </c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2" customFormat="1" ht="12.75">
      <c r="A61" s="25"/>
      <c r="B61" s="20" t="s">
        <v>138</v>
      </c>
      <c r="D61" s="43">
        <f>SUM(D62:D66)</f>
        <v>6557</v>
      </c>
      <c r="E61" s="43">
        <f aca="true" t="shared" si="12" ref="E61:W61">SUM(E62:E66)</f>
        <v>166</v>
      </c>
      <c r="F61" s="43">
        <f t="shared" si="12"/>
        <v>9913</v>
      </c>
      <c r="G61" s="43">
        <f t="shared" si="12"/>
        <v>1576.2264560211129</v>
      </c>
      <c r="H61" s="43">
        <f t="shared" si="12"/>
        <v>9483</v>
      </c>
      <c r="I61" s="43">
        <f t="shared" si="12"/>
        <v>985</v>
      </c>
      <c r="J61" s="43">
        <f t="shared" si="12"/>
        <v>9911</v>
      </c>
      <c r="K61" s="43">
        <f t="shared" si="12"/>
        <v>1559</v>
      </c>
      <c r="L61" s="43">
        <f t="shared" si="12"/>
        <v>8668</v>
      </c>
      <c r="M61" s="43">
        <f t="shared" si="12"/>
        <v>0</v>
      </c>
      <c r="N61" s="43">
        <f t="shared" si="12"/>
        <v>9008</v>
      </c>
      <c r="O61" s="43">
        <f t="shared" si="12"/>
        <v>0</v>
      </c>
      <c r="P61" s="43">
        <f t="shared" si="12"/>
        <v>9108</v>
      </c>
      <c r="Q61" s="43">
        <f t="shared" si="12"/>
        <v>62</v>
      </c>
      <c r="R61" s="43">
        <f t="shared" si="12"/>
        <v>9314</v>
      </c>
      <c r="S61" s="43">
        <f t="shared" si="12"/>
        <v>14</v>
      </c>
      <c r="T61" s="43">
        <f t="shared" si="12"/>
        <v>9694</v>
      </c>
      <c r="U61" s="43">
        <f t="shared" si="12"/>
        <v>20</v>
      </c>
      <c r="V61" s="43">
        <f t="shared" si="12"/>
        <v>9595</v>
      </c>
      <c r="W61" s="43">
        <f t="shared" si="12"/>
        <v>160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2" customFormat="1" ht="12.75">
      <c r="A62" s="99"/>
      <c r="B62" s="98"/>
      <c r="C62" s="101" t="s">
        <v>58</v>
      </c>
      <c r="D62" s="100">
        <v>145</v>
      </c>
      <c r="E62" s="102"/>
      <c r="F62" s="100">
        <f>284+1</f>
        <v>285</v>
      </c>
      <c r="G62" s="102">
        <f>550/1.93627</f>
        <v>284.0512944992176</v>
      </c>
      <c r="H62" s="100">
        <v>199</v>
      </c>
      <c r="I62" s="102"/>
      <c r="J62" s="100">
        <v>258</v>
      </c>
      <c r="K62" s="102"/>
      <c r="L62" s="100">
        <v>64</v>
      </c>
      <c r="M62" s="102"/>
      <c r="N62" s="100">
        <v>59</v>
      </c>
      <c r="O62" s="102"/>
      <c r="P62" s="100">
        <v>3</v>
      </c>
      <c r="Q62" s="102"/>
      <c r="R62" s="100">
        <v>6</v>
      </c>
      <c r="S62" s="102"/>
      <c r="T62" s="100">
        <v>449</v>
      </c>
      <c r="U62" s="102"/>
      <c r="V62" s="100">
        <v>173</v>
      </c>
      <c r="W62" s="102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2" customFormat="1" ht="12.75">
      <c r="A63" s="99"/>
      <c r="B63" s="98"/>
      <c r="C63" s="101" t="s">
        <v>73</v>
      </c>
      <c r="D63" s="100">
        <f>ROUND((4215/1936.27)*1000,0)</f>
        <v>2177</v>
      </c>
      <c r="E63" s="102"/>
      <c r="F63" s="100">
        <v>3733</v>
      </c>
      <c r="G63" s="102">
        <f>2502/1.93627</f>
        <v>1292.1751615218952</v>
      </c>
      <c r="H63" s="100">
        <v>3923</v>
      </c>
      <c r="I63" s="102">
        <v>948</v>
      </c>
      <c r="J63" s="100">
        <v>4188</v>
      </c>
      <c r="K63" s="102">
        <v>1559</v>
      </c>
      <c r="L63" s="100">
        <v>2647</v>
      </c>
      <c r="M63" s="102"/>
      <c r="N63" s="100">
        <v>2799</v>
      </c>
      <c r="O63" s="102"/>
      <c r="P63" s="100">
        <v>2819</v>
      </c>
      <c r="Q63" s="102">
        <v>62</v>
      </c>
      <c r="R63" s="100">
        <v>2758</v>
      </c>
      <c r="S63" s="102">
        <v>14</v>
      </c>
      <c r="T63" s="100">
        <v>2911</v>
      </c>
      <c r="U63" s="102">
        <v>20</v>
      </c>
      <c r="V63" s="100">
        <v>3149</v>
      </c>
      <c r="W63" s="102">
        <v>160</v>
      </c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2" customFormat="1" ht="12.75">
      <c r="A64" s="99"/>
      <c r="B64" s="98"/>
      <c r="C64" s="101" t="s">
        <v>139</v>
      </c>
      <c r="D64" s="100">
        <f>ROUND((670/1936.27)*1000,0)</f>
        <v>346</v>
      </c>
      <c r="E64" s="102"/>
      <c r="F64" s="100">
        <v>369</v>
      </c>
      <c r="G64" s="102"/>
      <c r="H64" s="100">
        <v>420</v>
      </c>
      <c r="I64" s="102">
        <v>37</v>
      </c>
      <c r="J64" s="100">
        <v>301</v>
      </c>
      <c r="K64" s="102"/>
      <c r="L64" s="100">
        <v>301</v>
      </c>
      <c r="M64" s="102"/>
      <c r="N64" s="100">
        <v>316</v>
      </c>
      <c r="O64" s="102"/>
      <c r="P64" s="100">
        <v>315</v>
      </c>
      <c r="Q64" s="102"/>
      <c r="R64" s="100">
        <v>326</v>
      </c>
      <c r="S64" s="102"/>
      <c r="T64" s="100">
        <v>330</v>
      </c>
      <c r="U64" s="102"/>
      <c r="V64" s="100">
        <v>325</v>
      </c>
      <c r="W64" s="102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2" customFormat="1" ht="12.75">
      <c r="A65" s="99"/>
      <c r="B65" s="98"/>
      <c r="C65" s="101" t="s">
        <v>140</v>
      </c>
      <c r="D65" s="100">
        <f>ROUND((260/1936.27)*1000,0)</f>
        <v>134</v>
      </c>
      <c r="E65" s="102"/>
      <c r="F65" s="100">
        <v>38</v>
      </c>
      <c r="G65" s="102"/>
      <c r="H65" s="100">
        <v>29</v>
      </c>
      <c r="I65" s="102"/>
      <c r="J65" s="100"/>
      <c r="K65" s="102"/>
      <c r="L65" s="100">
        <v>84</v>
      </c>
      <c r="M65" s="102"/>
      <c r="N65" s="100"/>
      <c r="O65" s="102"/>
      <c r="P65" s="100"/>
      <c r="Q65" s="102"/>
      <c r="R65" s="100">
        <v>18</v>
      </c>
      <c r="S65" s="102"/>
      <c r="T65" s="100"/>
      <c r="U65" s="102"/>
      <c r="V65" s="100">
        <v>6</v>
      </c>
      <c r="W65" s="102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2" customFormat="1" ht="12.75">
      <c r="A66" s="103"/>
      <c r="B66" s="104"/>
      <c r="C66" s="123" t="s">
        <v>141</v>
      </c>
      <c r="D66" s="124">
        <v>3755</v>
      </c>
      <c r="E66" s="125">
        <v>166</v>
      </c>
      <c r="F66" s="124">
        <v>5488</v>
      </c>
      <c r="G66" s="125">
        <v>0</v>
      </c>
      <c r="H66" s="124">
        <v>4912</v>
      </c>
      <c r="I66" s="125">
        <v>0</v>
      </c>
      <c r="J66" s="124">
        <v>5164</v>
      </c>
      <c r="K66" s="125">
        <v>0</v>
      </c>
      <c r="L66" s="124">
        <v>5572</v>
      </c>
      <c r="M66" s="125"/>
      <c r="N66" s="124">
        <v>5834</v>
      </c>
      <c r="O66" s="125">
        <v>0</v>
      </c>
      <c r="P66" s="124">
        <v>5971</v>
      </c>
      <c r="Q66" s="125">
        <v>0</v>
      </c>
      <c r="R66" s="124">
        <v>6206</v>
      </c>
      <c r="S66" s="125">
        <v>0</v>
      </c>
      <c r="T66" s="124">
        <v>6004</v>
      </c>
      <c r="U66" s="125">
        <v>0</v>
      </c>
      <c r="V66" s="124">
        <v>5942</v>
      </c>
      <c r="W66" s="125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2" customFormat="1" ht="12.75">
      <c r="A67" s="126" t="s">
        <v>84</v>
      </c>
      <c r="B67" s="121"/>
      <c r="C67" s="122"/>
      <c r="D67" s="69">
        <f>ROUND((334/1936.27)*1000,0)</f>
        <v>172</v>
      </c>
      <c r="E67" s="68"/>
      <c r="F67" s="58">
        <v>131</v>
      </c>
      <c r="G67" s="68"/>
      <c r="H67" s="58">
        <v>189</v>
      </c>
      <c r="I67" s="68"/>
      <c r="J67" s="58">
        <v>240</v>
      </c>
      <c r="K67" s="68"/>
      <c r="L67" s="58">
        <v>264</v>
      </c>
      <c r="M67" s="68"/>
      <c r="N67" s="58">
        <v>185</v>
      </c>
      <c r="O67" s="68"/>
      <c r="P67" s="58">
        <v>126</v>
      </c>
      <c r="Q67" s="68"/>
      <c r="R67" s="58">
        <v>129</v>
      </c>
      <c r="S67" s="68"/>
      <c r="T67" s="58">
        <v>17</v>
      </c>
      <c r="U67" s="68"/>
      <c r="V67" s="58">
        <v>8</v>
      </c>
      <c r="W67" s="68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2" customFormat="1" ht="12.75">
      <c r="A68" s="145" t="s">
        <v>142</v>
      </c>
      <c r="B68" s="93"/>
      <c r="C68" s="118"/>
      <c r="D68" s="112">
        <f>+D69+D72+D78+D85</f>
        <v>13013</v>
      </c>
      <c r="E68" s="112">
        <f aca="true" t="shared" si="13" ref="E68:W68">+E69+E72+E78+E85</f>
        <v>6460</v>
      </c>
      <c r="F68" s="112">
        <f t="shared" si="13"/>
        <v>13781</v>
      </c>
      <c r="G68" s="112">
        <f t="shared" si="13"/>
        <v>5289</v>
      </c>
      <c r="H68" s="112">
        <f t="shared" si="13"/>
        <v>15174</v>
      </c>
      <c r="I68" s="112">
        <f t="shared" si="13"/>
        <v>7839</v>
      </c>
      <c r="J68" s="112">
        <f t="shared" si="13"/>
        <v>10663</v>
      </c>
      <c r="K68" s="112">
        <f t="shared" si="13"/>
        <v>5601</v>
      </c>
      <c r="L68" s="112">
        <f t="shared" si="13"/>
        <v>11656</v>
      </c>
      <c r="M68" s="112">
        <f t="shared" si="13"/>
        <v>8139</v>
      </c>
      <c r="N68" s="112">
        <f t="shared" si="13"/>
        <v>10894</v>
      </c>
      <c r="O68" s="112">
        <f t="shared" si="13"/>
        <v>7838</v>
      </c>
      <c r="P68" s="112">
        <f t="shared" si="13"/>
        <v>7342</v>
      </c>
      <c r="Q68" s="112">
        <f t="shared" si="13"/>
        <v>6005</v>
      </c>
      <c r="R68" s="112">
        <f t="shared" si="13"/>
        <v>10191</v>
      </c>
      <c r="S68" s="112">
        <f t="shared" si="13"/>
        <v>8385</v>
      </c>
      <c r="T68" s="112">
        <f t="shared" si="13"/>
        <v>9554</v>
      </c>
      <c r="U68" s="112">
        <f t="shared" si="13"/>
        <v>7518</v>
      </c>
      <c r="V68" s="112">
        <f t="shared" si="13"/>
        <v>8530</v>
      </c>
      <c r="W68" s="112">
        <f t="shared" si="13"/>
        <v>6641</v>
      </c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2" customFormat="1" ht="12.75">
      <c r="A69" s="144" t="s">
        <v>143</v>
      </c>
      <c r="B69" s="92"/>
      <c r="C69" s="92"/>
      <c r="D69" s="59">
        <f>SUM(D70:D71)</f>
        <v>0</v>
      </c>
      <c r="E69" s="59">
        <f aca="true" t="shared" si="14" ref="E69:W69">SUM(E70:E71)</f>
        <v>0</v>
      </c>
      <c r="F69" s="59">
        <f t="shared" si="14"/>
        <v>0</v>
      </c>
      <c r="G69" s="59">
        <f t="shared" si="14"/>
        <v>0</v>
      </c>
      <c r="H69" s="59">
        <f t="shared" si="14"/>
        <v>0</v>
      </c>
      <c r="I69" s="59">
        <f t="shared" si="14"/>
        <v>0</v>
      </c>
      <c r="J69" s="59">
        <f t="shared" si="14"/>
        <v>149</v>
      </c>
      <c r="K69" s="59">
        <f t="shared" si="14"/>
        <v>67</v>
      </c>
      <c r="L69" s="59">
        <f t="shared" si="14"/>
        <v>343</v>
      </c>
      <c r="M69" s="59">
        <f t="shared" si="14"/>
        <v>224</v>
      </c>
      <c r="N69" s="59">
        <f t="shared" si="14"/>
        <v>170</v>
      </c>
      <c r="O69" s="59">
        <f t="shared" si="14"/>
        <v>55</v>
      </c>
      <c r="P69" s="59">
        <f t="shared" si="14"/>
        <v>237</v>
      </c>
      <c r="Q69" s="59">
        <f t="shared" si="14"/>
        <v>200</v>
      </c>
      <c r="R69" s="59">
        <f t="shared" si="14"/>
        <v>478</v>
      </c>
      <c r="S69" s="59">
        <f t="shared" si="14"/>
        <v>454</v>
      </c>
      <c r="T69" s="59">
        <f t="shared" si="14"/>
        <v>583</v>
      </c>
      <c r="U69" s="59">
        <f t="shared" si="14"/>
        <v>472</v>
      </c>
      <c r="V69" s="59">
        <f t="shared" si="14"/>
        <v>100</v>
      </c>
      <c r="W69" s="59">
        <f t="shared" si="14"/>
        <v>0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2" customFormat="1" ht="12.75">
      <c r="A70" s="25"/>
      <c r="B70" s="20" t="s">
        <v>144</v>
      </c>
      <c r="C70" s="20"/>
      <c r="D70" s="46"/>
      <c r="E70" s="39"/>
      <c r="F70" s="43"/>
      <c r="G70" s="39"/>
      <c r="H70" s="43"/>
      <c r="I70" s="39"/>
      <c r="J70" s="43"/>
      <c r="K70" s="39"/>
      <c r="L70" s="43">
        <v>239</v>
      </c>
      <c r="M70" s="39">
        <v>206</v>
      </c>
      <c r="N70" s="43">
        <v>29</v>
      </c>
      <c r="O70" s="39"/>
      <c r="P70" s="43">
        <v>155</v>
      </c>
      <c r="Q70" s="39">
        <v>150</v>
      </c>
      <c r="R70" s="43">
        <v>29</v>
      </c>
      <c r="S70" s="39">
        <v>25</v>
      </c>
      <c r="T70" s="43">
        <v>322</v>
      </c>
      <c r="U70" s="39">
        <v>322</v>
      </c>
      <c r="V70" s="43"/>
      <c r="W70" s="39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2" customFormat="1" ht="12.75">
      <c r="A71" s="31"/>
      <c r="B71" s="32" t="s">
        <v>98</v>
      </c>
      <c r="C71" s="127"/>
      <c r="D71" s="57"/>
      <c r="E71" s="45"/>
      <c r="F71" s="63"/>
      <c r="G71" s="45"/>
      <c r="H71" s="63"/>
      <c r="I71" s="45"/>
      <c r="J71" s="63">
        <v>149</v>
      </c>
      <c r="K71" s="45">
        <v>67</v>
      </c>
      <c r="L71" s="63">
        <v>104</v>
      </c>
      <c r="M71" s="45">
        <v>18</v>
      </c>
      <c r="N71" s="63">
        <v>141</v>
      </c>
      <c r="O71" s="45">
        <v>55</v>
      </c>
      <c r="P71" s="63">
        <v>82</v>
      </c>
      <c r="Q71" s="45">
        <v>50</v>
      </c>
      <c r="R71" s="63">
        <v>449</v>
      </c>
      <c r="S71" s="45">
        <v>429</v>
      </c>
      <c r="T71" s="63">
        <v>261</v>
      </c>
      <c r="U71" s="45">
        <v>150</v>
      </c>
      <c r="V71" s="63">
        <v>100</v>
      </c>
      <c r="W71" s="45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2" customFormat="1" ht="12.75">
      <c r="A72" s="111" t="s">
        <v>97</v>
      </c>
      <c r="B72" s="92"/>
      <c r="C72" s="92"/>
      <c r="D72" s="59">
        <f>SUM(D73:D77)</f>
        <v>3426</v>
      </c>
      <c r="E72" s="59">
        <f>SUM(E73:E77)</f>
        <v>0</v>
      </c>
      <c r="F72" s="59">
        <f aca="true" t="shared" si="15" ref="F72:U72">SUM(F73:F77)</f>
        <v>4582</v>
      </c>
      <c r="G72" s="59">
        <f t="shared" si="15"/>
        <v>39</v>
      </c>
      <c r="H72" s="59">
        <f t="shared" si="15"/>
        <v>3040</v>
      </c>
      <c r="I72" s="59">
        <f t="shared" si="15"/>
        <v>58</v>
      </c>
      <c r="J72" s="59">
        <f t="shared" si="15"/>
        <v>2303</v>
      </c>
      <c r="K72" s="59">
        <f t="shared" si="15"/>
        <v>720</v>
      </c>
      <c r="L72" s="59">
        <f t="shared" si="15"/>
        <v>1904</v>
      </c>
      <c r="M72" s="59">
        <f t="shared" si="15"/>
        <v>512</v>
      </c>
      <c r="N72" s="59">
        <f t="shared" si="15"/>
        <v>1913</v>
      </c>
      <c r="O72" s="59">
        <f t="shared" si="15"/>
        <v>676</v>
      </c>
      <c r="P72" s="59">
        <f t="shared" si="15"/>
        <v>1415</v>
      </c>
      <c r="Q72" s="59">
        <f t="shared" si="15"/>
        <v>492</v>
      </c>
      <c r="R72" s="59">
        <f t="shared" si="15"/>
        <v>1400</v>
      </c>
      <c r="S72" s="59">
        <f t="shared" si="15"/>
        <v>726</v>
      </c>
      <c r="T72" s="59">
        <f t="shared" si="15"/>
        <v>1382</v>
      </c>
      <c r="U72" s="59">
        <f t="shared" si="15"/>
        <v>418</v>
      </c>
      <c r="V72" s="59">
        <f>SUM(V73:V77)</f>
        <v>1302</v>
      </c>
      <c r="W72" s="59">
        <f>SUM(W73:W77)</f>
        <v>468</v>
      </c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2" customFormat="1" ht="12.75">
      <c r="A73" s="25"/>
      <c r="B73" s="20" t="s">
        <v>15</v>
      </c>
      <c r="C73" s="20"/>
      <c r="D73" s="46">
        <f>ROUND((1086/1936.27)*1000,0)+26</f>
        <v>587</v>
      </c>
      <c r="E73" s="39"/>
      <c r="F73" s="43">
        <f>834+77</f>
        <v>911</v>
      </c>
      <c r="G73" s="39">
        <f>ROUND((2000/1936.27),0)</f>
        <v>1</v>
      </c>
      <c r="H73" s="43">
        <v>551</v>
      </c>
      <c r="I73" s="39">
        <v>19</v>
      </c>
      <c r="J73" s="43">
        <v>722</v>
      </c>
      <c r="K73" s="39">
        <v>241</v>
      </c>
      <c r="L73" s="43">
        <v>441</v>
      </c>
      <c r="M73" s="39">
        <v>68</v>
      </c>
      <c r="N73" s="43">
        <v>323</v>
      </c>
      <c r="O73" s="39">
        <v>30</v>
      </c>
      <c r="P73" s="43">
        <v>471</v>
      </c>
      <c r="Q73" s="39">
        <v>92</v>
      </c>
      <c r="R73" s="43">
        <v>257</v>
      </c>
      <c r="S73" s="39"/>
      <c r="T73" s="43">
        <v>601</v>
      </c>
      <c r="U73" s="39">
        <v>93</v>
      </c>
      <c r="V73" s="43">
        <v>152</v>
      </c>
      <c r="W73" s="39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2" customFormat="1" ht="12.75">
      <c r="A74" s="25"/>
      <c r="B74" s="20" t="s">
        <v>106</v>
      </c>
      <c r="C74" s="20"/>
      <c r="D74" s="46"/>
      <c r="E74" s="39"/>
      <c r="F74" s="43"/>
      <c r="G74" s="39"/>
      <c r="H74" s="43"/>
      <c r="I74" s="39"/>
      <c r="J74" s="43">
        <v>209</v>
      </c>
      <c r="K74" s="39">
        <v>115</v>
      </c>
      <c r="L74" s="43">
        <v>374</v>
      </c>
      <c r="M74" s="39">
        <v>274</v>
      </c>
      <c r="N74" s="43">
        <v>343</v>
      </c>
      <c r="O74" s="39">
        <v>268</v>
      </c>
      <c r="P74" s="43">
        <v>139</v>
      </c>
      <c r="Q74" s="39">
        <v>139</v>
      </c>
      <c r="R74" s="43"/>
      <c r="S74" s="39"/>
      <c r="T74" s="43">
        <v>40</v>
      </c>
      <c r="U74" s="39">
        <v>40</v>
      </c>
      <c r="V74" s="43">
        <v>269</v>
      </c>
      <c r="W74" s="39">
        <v>238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2" customFormat="1" ht="12.75">
      <c r="A75" s="25"/>
      <c r="B75" s="20" t="s">
        <v>107</v>
      </c>
      <c r="C75" s="20"/>
      <c r="D75" s="46"/>
      <c r="E75" s="39"/>
      <c r="F75" s="43"/>
      <c r="G75" s="39"/>
      <c r="H75" s="43"/>
      <c r="I75" s="39"/>
      <c r="J75" s="43">
        <v>671</v>
      </c>
      <c r="K75" s="39">
        <v>308</v>
      </c>
      <c r="L75" s="43">
        <v>569</v>
      </c>
      <c r="M75" s="39">
        <v>147</v>
      </c>
      <c r="N75" s="43">
        <v>597</v>
      </c>
      <c r="O75" s="39">
        <v>251</v>
      </c>
      <c r="P75" s="43">
        <v>404</v>
      </c>
      <c r="Q75" s="39">
        <v>207</v>
      </c>
      <c r="R75" s="43">
        <v>675</v>
      </c>
      <c r="S75" s="39">
        <v>574</v>
      </c>
      <c r="T75" s="43">
        <v>244</v>
      </c>
      <c r="U75" s="39">
        <v>238</v>
      </c>
      <c r="V75" s="43">
        <v>30</v>
      </c>
      <c r="W75" s="39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2" customFormat="1" ht="12.75">
      <c r="A76" s="25"/>
      <c r="B76" s="20" t="s">
        <v>104</v>
      </c>
      <c r="C76" s="20"/>
      <c r="D76" s="46">
        <f>2576+263</f>
        <v>2839</v>
      </c>
      <c r="E76" s="39"/>
      <c r="F76" s="43">
        <f>2654+1017</f>
        <v>3671</v>
      </c>
      <c r="G76" s="39">
        <v>38</v>
      </c>
      <c r="H76" s="43">
        <v>2489</v>
      </c>
      <c r="I76" s="39">
        <v>39</v>
      </c>
      <c r="J76" s="43">
        <v>701</v>
      </c>
      <c r="K76" s="39">
        <v>56</v>
      </c>
      <c r="L76" s="43">
        <v>520</v>
      </c>
      <c r="M76" s="39">
        <v>23</v>
      </c>
      <c r="N76" s="43">
        <v>650</v>
      </c>
      <c r="O76" s="39">
        <v>127</v>
      </c>
      <c r="P76" s="43">
        <v>401</v>
      </c>
      <c r="Q76" s="39">
        <v>54</v>
      </c>
      <c r="R76" s="43">
        <v>468</v>
      </c>
      <c r="S76" s="39">
        <v>152</v>
      </c>
      <c r="T76" s="43">
        <v>497</v>
      </c>
      <c r="U76" s="39">
        <v>47</v>
      </c>
      <c r="V76" s="43">
        <v>827</v>
      </c>
      <c r="W76" s="39">
        <v>206</v>
      </c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2" customFormat="1" ht="12.75">
      <c r="A77" s="31"/>
      <c r="B77" s="32" t="s">
        <v>145</v>
      </c>
      <c r="C77" s="127"/>
      <c r="D77" s="57"/>
      <c r="E77" s="45"/>
      <c r="F77" s="63"/>
      <c r="G77" s="45"/>
      <c r="H77" s="63"/>
      <c r="I77" s="45"/>
      <c r="J77" s="63"/>
      <c r="K77" s="45"/>
      <c r="L77" s="63"/>
      <c r="M77" s="45"/>
      <c r="N77" s="63"/>
      <c r="O77" s="45"/>
      <c r="P77" s="63"/>
      <c r="Q77" s="45"/>
      <c r="R77" s="63"/>
      <c r="S77" s="45"/>
      <c r="T77" s="63"/>
      <c r="U77" s="45"/>
      <c r="V77" s="63">
        <v>24</v>
      </c>
      <c r="W77" s="45">
        <v>24</v>
      </c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2" customFormat="1" ht="12.75">
      <c r="A78" s="111" t="s">
        <v>147</v>
      </c>
      <c r="B78" s="92"/>
      <c r="C78" s="92"/>
      <c r="D78" s="59">
        <f aca="true" t="shared" si="16" ref="D78:W78">SUM(D79:D84)</f>
        <v>3356</v>
      </c>
      <c r="E78" s="59">
        <f t="shared" si="16"/>
        <v>1192</v>
      </c>
      <c r="F78" s="59">
        <f t="shared" si="16"/>
        <v>4210</v>
      </c>
      <c r="G78" s="59">
        <f t="shared" si="16"/>
        <v>1235</v>
      </c>
      <c r="H78" s="59">
        <f t="shared" si="16"/>
        <v>5860</v>
      </c>
      <c r="I78" s="59">
        <f t="shared" si="16"/>
        <v>1571</v>
      </c>
      <c r="J78" s="59">
        <f t="shared" si="16"/>
        <v>3703</v>
      </c>
      <c r="K78" s="59">
        <f t="shared" si="16"/>
        <v>340</v>
      </c>
      <c r="L78" s="59">
        <f t="shared" si="16"/>
        <v>2469</v>
      </c>
      <c r="M78" s="59">
        <f t="shared" si="16"/>
        <v>631</v>
      </c>
      <c r="N78" s="59">
        <f t="shared" si="16"/>
        <v>2370</v>
      </c>
      <c r="O78" s="59">
        <f t="shared" si="16"/>
        <v>765</v>
      </c>
      <c r="P78" s="59">
        <f t="shared" si="16"/>
        <v>1082</v>
      </c>
      <c r="Q78" s="59">
        <f t="shared" si="16"/>
        <v>790</v>
      </c>
      <c r="R78" s="59">
        <f t="shared" si="16"/>
        <v>1823</v>
      </c>
      <c r="S78" s="59">
        <f t="shared" si="16"/>
        <v>1037</v>
      </c>
      <c r="T78" s="59">
        <f t="shared" si="16"/>
        <v>2185</v>
      </c>
      <c r="U78" s="59">
        <f t="shared" si="16"/>
        <v>1541</v>
      </c>
      <c r="V78" s="59">
        <f t="shared" si="16"/>
        <v>2184</v>
      </c>
      <c r="W78" s="59">
        <f t="shared" si="16"/>
        <v>1508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2" customFormat="1" ht="12.75">
      <c r="A79" s="25"/>
      <c r="B79" s="20" t="s">
        <v>15</v>
      </c>
      <c r="C79" s="20"/>
      <c r="D79" s="46">
        <f>ROUND((1367/1936.27)*1000,0)</f>
        <v>706</v>
      </c>
      <c r="E79" s="39">
        <f>ROUND(361500/1936.27,0)</f>
        <v>187</v>
      </c>
      <c r="F79" s="43">
        <v>399</v>
      </c>
      <c r="G79" s="39">
        <f>ROUND((107600/1936.27),0)</f>
        <v>56</v>
      </c>
      <c r="H79" s="43">
        <v>257</v>
      </c>
      <c r="I79" s="39">
        <v>23</v>
      </c>
      <c r="J79" s="43">
        <v>137</v>
      </c>
      <c r="K79" s="39">
        <v>38</v>
      </c>
      <c r="L79" s="43">
        <v>138</v>
      </c>
      <c r="M79" s="39">
        <v>28</v>
      </c>
      <c r="N79" s="43">
        <v>96</v>
      </c>
      <c r="O79" s="39">
        <v>48</v>
      </c>
      <c r="P79" s="43">
        <v>74</v>
      </c>
      <c r="Q79" s="39">
        <v>20</v>
      </c>
      <c r="R79" s="43">
        <v>86</v>
      </c>
      <c r="S79" s="39">
        <v>53</v>
      </c>
      <c r="T79" s="43">
        <v>66</v>
      </c>
      <c r="U79" s="39">
        <v>45</v>
      </c>
      <c r="V79" s="43">
        <v>50</v>
      </c>
      <c r="W79" s="39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2" customFormat="1" ht="12.75">
      <c r="A80" s="25"/>
      <c r="B80" s="20" t="s">
        <v>46</v>
      </c>
      <c r="C80" s="20"/>
      <c r="D80" s="46">
        <f>ROUND((1634/1936.27)*1000,0)</f>
        <v>844</v>
      </c>
      <c r="E80" s="39">
        <f>ROUND(292090/1936.27,0)</f>
        <v>151</v>
      </c>
      <c r="F80" s="43">
        <v>888</v>
      </c>
      <c r="G80" s="39">
        <f>ROUND((300000/1936.27),0)</f>
        <v>155</v>
      </c>
      <c r="H80" s="43">
        <v>2475</v>
      </c>
      <c r="I80" s="39">
        <v>804</v>
      </c>
      <c r="J80" s="43">
        <v>1395</v>
      </c>
      <c r="K80" s="39">
        <v>127</v>
      </c>
      <c r="L80" s="43">
        <v>1466</v>
      </c>
      <c r="M80" s="39">
        <v>412</v>
      </c>
      <c r="N80" s="43">
        <v>1459</v>
      </c>
      <c r="O80" s="39">
        <v>495</v>
      </c>
      <c r="P80" s="43">
        <v>652</v>
      </c>
      <c r="Q80" s="39">
        <v>550</v>
      </c>
      <c r="R80" s="43">
        <v>1213</v>
      </c>
      <c r="S80" s="39">
        <v>706</v>
      </c>
      <c r="T80" s="43">
        <v>1215</v>
      </c>
      <c r="U80" s="39">
        <v>978</v>
      </c>
      <c r="V80" s="43">
        <v>1386</v>
      </c>
      <c r="W80" s="39">
        <v>1166</v>
      </c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2" customFormat="1" ht="12.75">
      <c r="A81" s="25"/>
      <c r="B81" s="20" t="s">
        <v>51</v>
      </c>
      <c r="C81" s="20"/>
      <c r="D81" s="46">
        <f>ROUND((368/1936.27)*1000,0)</f>
        <v>190</v>
      </c>
      <c r="E81" s="39">
        <f>ROUND(23000/1936.27,0)</f>
        <v>12</v>
      </c>
      <c r="F81" s="43">
        <v>203</v>
      </c>
      <c r="G81" s="39"/>
      <c r="H81" s="43">
        <v>116</v>
      </c>
      <c r="I81" s="39"/>
      <c r="J81" s="43">
        <v>214</v>
      </c>
      <c r="K81" s="39">
        <v>67</v>
      </c>
      <c r="L81" s="43">
        <v>97</v>
      </c>
      <c r="M81" s="39">
        <v>5</v>
      </c>
      <c r="N81" s="43">
        <v>86</v>
      </c>
      <c r="O81" s="39"/>
      <c r="P81" s="43">
        <v>31</v>
      </c>
      <c r="Q81" s="39">
        <v>24</v>
      </c>
      <c r="R81" s="43">
        <v>141</v>
      </c>
      <c r="S81" s="39">
        <v>93</v>
      </c>
      <c r="T81" s="43">
        <v>474</v>
      </c>
      <c r="U81" s="39">
        <v>322</v>
      </c>
      <c r="V81" s="43">
        <v>474</v>
      </c>
      <c r="W81" s="39">
        <v>211</v>
      </c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2" customFormat="1" ht="12.75">
      <c r="A82" s="25"/>
      <c r="B82" s="20" t="s">
        <v>52</v>
      </c>
      <c r="C82" s="20"/>
      <c r="D82" s="46">
        <f>ROUND((2213/1936.27)*1000,0)</f>
        <v>1143</v>
      </c>
      <c r="E82" s="39">
        <f>ROUND(1536207/1936.27,0)</f>
        <v>793</v>
      </c>
      <c r="F82" s="43">
        <v>2275</v>
      </c>
      <c r="G82" s="39">
        <f>ROUND((1948733/1936.27),0)</f>
        <v>1006</v>
      </c>
      <c r="H82" s="43">
        <v>2293</v>
      </c>
      <c r="I82" s="39">
        <v>736</v>
      </c>
      <c r="J82" s="43">
        <v>1280</v>
      </c>
      <c r="K82" s="39">
        <v>100</v>
      </c>
      <c r="L82" s="43">
        <v>203</v>
      </c>
      <c r="M82" s="39">
        <v>178</v>
      </c>
      <c r="N82" s="43">
        <v>238</v>
      </c>
      <c r="O82" s="39">
        <v>216</v>
      </c>
      <c r="P82" s="43">
        <v>212</v>
      </c>
      <c r="Q82" s="39">
        <v>190</v>
      </c>
      <c r="R82" s="43">
        <v>197</v>
      </c>
      <c r="S82" s="39">
        <v>179</v>
      </c>
      <c r="T82" s="43">
        <v>232</v>
      </c>
      <c r="U82" s="39">
        <v>190</v>
      </c>
      <c r="V82" s="43">
        <v>161</v>
      </c>
      <c r="W82" s="39">
        <v>125</v>
      </c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2" customFormat="1" ht="12.75">
      <c r="A83" s="25"/>
      <c r="B83" s="20" t="s">
        <v>55</v>
      </c>
      <c r="C83" s="20"/>
      <c r="D83" s="46">
        <f>ROUND((916/1936.27)*1000,0)</f>
        <v>473</v>
      </c>
      <c r="E83" s="39">
        <f>ROUND(94889/1936.27,0)</f>
        <v>49</v>
      </c>
      <c r="F83" s="43">
        <v>445</v>
      </c>
      <c r="G83" s="39">
        <f>ROUND((34765/1936.27),0)</f>
        <v>18</v>
      </c>
      <c r="H83" s="43">
        <v>719</v>
      </c>
      <c r="I83" s="39">
        <v>8</v>
      </c>
      <c r="J83" s="43">
        <v>677</v>
      </c>
      <c r="K83" s="39">
        <v>8</v>
      </c>
      <c r="L83" s="43">
        <v>565</v>
      </c>
      <c r="M83" s="39">
        <v>8</v>
      </c>
      <c r="N83" s="43">
        <v>491</v>
      </c>
      <c r="O83" s="39">
        <v>6</v>
      </c>
      <c r="P83" s="43">
        <v>113</v>
      </c>
      <c r="Q83" s="39">
        <v>6</v>
      </c>
      <c r="R83" s="43">
        <v>176</v>
      </c>
      <c r="S83" s="39">
        <v>6</v>
      </c>
      <c r="T83" s="43">
        <v>198</v>
      </c>
      <c r="U83" s="39">
        <v>6</v>
      </c>
      <c r="V83" s="43">
        <v>113</v>
      </c>
      <c r="W83" s="39">
        <v>6</v>
      </c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2" customFormat="1" ht="12.75">
      <c r="A84" s="31"/>
      <c r="B84" s="32" t="s">
        <v>146</v>
      </c>
      <c r="C84" s="127"/>
      <c r="D84" s="57">
        <v>0</v>
      </c>
      <c r="E84" s="45"/>
      <c r="F84" s="63">
        <v>0</v>
      </c>
      <c r="G84" s="45"/>
      <c r="H84" s="63"/>
      <c r="I84" s="45"/>
      <c r="J84" s="63"/>
      <c r="K84" s="45"/>
      <c r="L84" s="63"/>
      <c r="M84" s="45"/>
      <c r="N84" s="63"/>
      <c r="O84" s="45"/>
      <c r="P84" s="63"/>
      <c r="Q84" s="45"/>
      <c r="R84" s="63">
        <v>10</v>
      </c>
      <c r="S84" s="45"/>
      <c r="T84" s="63"/>
      <c r="U84" s="45"/>
      <c r="V84" s="63"/>
      <c r="W84" s="45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2" customFormat="1" ht="12.75">
      <c r="A85" s="120" t="s">
        <v>148</v>
      </c>
      <c r="B85" s="121"/>
      <c r="C85" s="122"/>
      <c r="D85" s="69">
        <f>ROUND((12065/1936.27)*1000,0)</f>
        <v>6231</v>
      </c>
      <c r="E85" s="68">
        <f>ROUND(10200000/1936.27,0)</f>
        <v>5268</v>
      </c>
      <c r="F85" s="58">
        <v>4989</v>
      </c>
      <c r="G85" s="68">
        <f>ROUND((7773708/1936.27),0)</f>
        <v>4015</v>
      </c>
      <c r="H85" s="58">
        <v>6274</v>
      </c>
      <c r="I85" s="68">
        <v>6210</v>
      </c>
      <c r="J85" s="58">
        <v>4508</v>
      </c>
      <c r="K85" s="68">
        <v>4474</v>
      </c>
      <c r="L85" s="58">
        <v>6940</v>
      </c>
      <c r="M85" s="68">
        <v>6772</v>
      </c>
      <c r="N85" s="58">
        <v>6441</v>
      </c>
      <c r="O85" s="68">
        <v>6342</v>
      </c>
      <c r="P85" s="58">
        <v>4608</v>
      </c>
      <c r="Q85" s="68">
        <v>4523</v>
      </c>
      <c r="R85" s="58">
        <v>6490</v>
      </c>
      <c r="S85" s="68">
        <v>6168</v>
      </c>
      <c r="T85" s="58">
        <v>5404</v>
      </c>
      <c r="U85" s="68">
        <v>5087</v>
      </c>
      <c r="V85" s="58">
        <v>4944</v>
      </c>
      <c r="W85" s="68">
        <v>4665</v>
      </c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2" customFormat="1" ht="12.75">
      <c r="A86" s="113" t="s">
        <v>153</v>
      </c>
      <c r="B86" s="93"/>
      <c r="C86" s="93"/>
      <c r="D86" s="112">
        <f>SUM(D87:D97)</f>
        <v>14672</v>
      </c>
      <c r="E86" s="112">
        <f aca="true" t="shared" si="17" ref="E86:W86">SUM(E87:E97)</f>
        <v>3888</v>
      </c>
      <c r="F86" s="112">
        <f t="shared" si="17"/>
        <v>11558</v>
      </c>
      <c r="G86" s="112">
        <f t="shared" si="17"/>
        <v>1616</v>
      </c>
      <c r="H86" s="112">
        <f t="shared" si="17"/>
        <v>10914</v>
      </c>
      <c r="I86" s="112">
        <f t="shared" si="17"/>
        <v>562</v>
      </c>
      <c r="J86" s="112">
        <f t="shared" si="17"/>
        <v>15279</v>
      </c>
      <c r="K86" s="112">
        <f t="shared" si="17"/>
        <v>2105</v>
      </c>
      <c r="L86" s="112">
        <f t="shared" si="17"/>
        <v>14678</v>
      </c>
      <c r="M86" s="112">
        <f t="shared" si="17"/>
        <v>1684</v>
      </c>
      <c r="N86" s="112">
        <f t="shared" si="17"/>
        <v>14057</v>
      </c>
      <c r="O86" s="112">
        <f t="shared" si="17"/>
        <v>1968</v>
      </c>
      <c r="P86" s="112">
        <f t="shared" si="17"/>
        <v>9815</v>
      </c>
      <c r="Q86" s="112">
        <f t="shared" si="17"/>
        <v>1227</v>
      </c>
      <c r="R86" s="112">
        <f t="shared" si="17"/>
        <v>10072</v>
      </c>
      <c r="S86" s="112">
        <f t="shared" si="17"/>
        <v>1343</v>
      </c>
      <c r="T86" s="112">
        <f t="shared" si="17"/>
        <v>10697</v>
      </c>
      <c r="U86" s="112">
        <f t="shared" si="17"/>
        <v>1575</v>
      </c>
      <c r="V86" s="112">
        <f t="shared" si="17"/>
        <v>10291</v>
      </c>
      <c r="W86" s="112">
        <f t="shared" si="17"/>
        <v>2485</v>
      </c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2" customFormat="1" ht="12.75">
      <c r="A87" s="25"/>
      <c r="B87" s="20" t="s">
        <v>4</v>
      </c>
      <c r="D87" s="46">
        <f>ROUND((843/1936.27)*1000,0)</f>
        <v>435</v>
      </c>
      <c r="E87" s="39">
        <f>ROUND(329000/1936.27,0)</f>
        <v>170</v>
      </c>
      <c r="F87" s="38">
        <v>1846</v>
      </c>
      <c r="G87" s="43">
        <f>ROUND((3015000/1936.27),0)</f>
        <v>1557</v>
      </c>
      <c r="H87" s="38">
        <v>113</v>
      </c>
      <c r="I87" s="43"/>
      <c r="J87" s="38">
        <v>216</v>
      </c>
      <c r="K87" s="43"/>
      <c r="L87" s="38">
        <v>157</v>
      </c>
      <c r="M87" s="43">
        <v>20</v>
      </c>
      <c r="N87" s="38">
        <v>140</v>
      </c>
      <c r="O87" s="43"/>
      <c r="P87" s="38">
        <v>49</v>
      </c>
      <c r="Q87" s="43"/>
      <c r="R87" s="38">
        <v>58</v>
      </c>
      <c r="S87" s="43">
        <v>25</v>
      </c>
      <c r="T87" s="38">
        <v>38</v>
      </c>
      <c r="U87" s="43"/>
      <c r="V87" s="38">
        <v>197</v>
      </c>
      <c r="W87" s="43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2" customFormat="1" ht="12.75">
      <c r="A88" s="25"/>
      <c r="B88" s="20" t="s">
        <v>62</v>
      </c>
      <c r="D88" s="46">
        <f>ROUND((674/1936.27)*1000,0)</f>
        <v>348</v>
      </c>
      <c r="E88" s="39"/>
      <c r="F88" s="38">
        <v>1310</v>
      </c>
      <c r="G88" s="43"/>
      <c r="H88" s="38">
        <v>1943</v>
      </c>
      <c r="I88" s="43">
        <v>87</v>
      </c>
      <c r="J88" s="38">
        <v>3609</v>
      </c>
      <c r="K88" s="43">
        <v>833</v>
      </c>
      <c r="L88" s="38">
        <v>3222</v>
      </c>
      <c r="M88" s="43">
        <v>648</v>
      </c>
      <c r="N88" s="38">
        <v>2316</v>
      </c>
      <c r="O88" s="43">
        <v>855</v>
      </c>
      <c r="P88" s="38">
        <v>1198</v>
      </c>
      <c r="Q88" s="43">
        <v>415</v>
      </c>
      <c r="R88" s="38">
        <v>1286</v>
      </c>
      <c r="S88" s="43">
        <v>556</v>
      </c>
      <c r="T88" s="38">
        <v>1241</v>
      </c>
      <c r="U88" s="43">
        <v>589</v>
      </c>
      <c r="V88" s="38">
        <v>791</v>
      </c>
      <c r="W88" s="43">
        <v>250</v>
      </c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2" customFormat="1" ht="12.75">
      <c r="A89" s="25"/>
      <c r="B89" s="20" t="s">
        <v>149</v>
      </c>
      <c r="D89" s="46"/>
      <c r="E89" s="39"/>
      <c r="F89" s="38"/>
      <c r="G89" s="43"/>
      <c r="H89" s="38"/>
      <c r="I89" s="43"/>
      <c r="J89" s="38"/>
      <c r="K89" s="43"/>
      <c r="L89" s="38"/>
      <c r="M89" s="43"/>
      <c r="N89" s="38"/>
      <c r="O89" s="43"/>
      <c r="P89" s="38"/>
      <c r="Q89" s="43"/>
      <c r="R89" s="38"/>
      <c r="S89" s="43"/>
      <c r="T89" s="38"/>
      <c r="U89" s="43"/>
      <c r="V89" s="38">
        <v>102</v>
      </c>
      <c r="W89" s="43">
        <v>102</v>
      </c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2" customFormat="1" ht="12.75">
      <c r="A90" s="25"/>
      <c r="B90" s="20" t="s">
        <v>35</v>
      </c>
      <c r="D90" s="46">
        <f>ROUND((6431/1936.27)*1000,0)</f>
        <v>3321</v>
      </c>
      <c r="E90" s="39"/>
      <c r="F90" s="38">
        <v>2893</v>
      </c>
      <c r="G90" s="43"/>
      <c r="H90" s="38">
        <v>2680</v>
      </c>
      <c r="I90" s="43"/>
      <c r="J90" s="38">
        <v>2879</v>
      </c>
      <c r="K90" s="43">
        <v>8</v>
      </c>
      <c r="L90" s="38">
        <v>2890</v>
      </c>
      <c r="M90" s="43">
        <v>19</v>
      </c>
      <c r="N90" s="38">
        <v>3144</v>
      </c>
      <c r="O90" s="43">
        <v>46</v>
      </c>
      <c r="P90" s="38">
        <v>2814</v>
      </c>
      <c r="Q90" s="43">
        <v>3</v>
      </c>
      <c r="R90" s="38">
        <v>3406</v>
      </c>
      <c r="S90" s="43">
        <v>250</v>
      </c>
      <c r="T90" s="38">
        <v>3493</v>
      </c>
      <c r="U90" s="43">
        <v>294</v>
      </c>
      <c r="V90" s="38">
        <v>2988</v>
      </c>
      <c r="W90" s="43">
        <v>110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2" customFormat="1" ht="12.75">
      <c r="A91" s="25"/>
      <c r="B91" s="20" t="s">
        <v>150</v>
      </c>
      <c r="D91" s="46">
        <v>1446</v>
      </c>
      <c r="E91" s="46">
        <v>101</v>
      </c>
      <c r="F91" s="46">
        <v>1799</v>
      </c>
      <c r="G91" s="46">
        <v>57</v>
      </c>
      <c r="H91" s="46">
        <v>1588</v>
      </c>
      <c r="I91" s="46">
        <v>99</v>
      </c>
      <c r="J91" s="38">
        <v>2481</v>
      </c>
      <c r="K91" s="43">
        <v>928</v>
      </c>
      <c r="L91" s="46">
        <v>2163</v>
      </c>
      <c r="M91" s="46">
        <v>602</v>
      </c>
      <c r="N91" s="46">
        <v>1974</v>
      </c>
      <c r="O91" s="46">
        <v>361</v>
      </c>
      <c r="P91" s="46">
        <v>1297</v>
      </c>
      <c r="Q91" s="46">
        <v>494</v>
      </c>
      <c r="R91" s="46">
        <v>867</v>
      </c>
      <c r="S91" s="46">
        <v>284</v>
      </c>
      <c r="T91" s="46">
        <v>1107</v>
      </c>
      <c r="U91" s="46">
        <v>361</v>
      </c>
      <c r="V91" s="46">
        <v>1240</v>
      </c>
      <c r="W91" s="46">
        <v>503</v>
      </c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2" customFormat="1" ht="12.75">
      <c r="A92" s="25"/>
      <c r="B92" s="20" t="s">
        <v>151</v>
      </c>
      <c r="D92" s="46">
        <v>1522</v>
      </c>
      <c r="E92" s="46">
        <v>2</v>
      </c>
      <c r="F92" s="46">
        <v>1918</v>
      </c>
      <c r="G92" s="46">
        <v>2</v>
      </c>
      <c r="H92" s="46">
        <v>2540</v>
      </c>
      <c r="I92" s="46">
        <v>106</v>
      </c>
      <c r="J92" s="46">
        <v>3808</v>
      </c>
      <c r="K92" s="46">
        <v>227</v>
      </c>
      <c r="L92" s="46">
        <v>3305</v>
      </c>
      <c r="M92" s="46">
        <v>165</v>
      </c>
      <c r="N92" s="46">
        <v>3584</v>
      </c>
      <c r="O92" s="46">
        <v>216</v>
      </c>
      <c r="P92" s="46">
        <v>2998</v>
      </c>
      <c r="Q92" s="46">
        <v>305</v>
      </c>
      <c r="R92" s="46">
        <v>2887</v>
      </c>
      <c r="S92" s="46">
        <v>228</v>
      </c>
      <c r="T92" s="46">
        <v>3294</v>
      </c>
      <c r="U92" s="46">
        <v>331</v>
      </c>
      <c r="V92" s="46">
        <v>2896</v>
      </c>
      <c r="W92" s="46">
        <v>460</v>
      </c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2" customFormat="1" ht="12.75">
      <c r="A93" s="25"/>
      <c r="B93" s="20" t="s">
        <v>11</v>
      </c>
      <c r="D93" s="46">
        <f>ROUND((961/1936.27)*1000,0)</f>
        <v>496</v>
      </c>
      <c r="E93" s="39"/>
      <c r="F93" s="38">
        <v>491</v>
      </c>
      <c r="G93" s="43"/>
      <c r="H93" s="38">
        <f>497+53</f>
        <v>550</v>
      </c>
      <c r="I93" s="43"/>
      <c r="J93" s="46">
        <v>691</v>
      </c>
      <c r="K93" s="46">
        <v>50</v>
      </c>
      <c r="L93" s="38">
        <f>861+31</f>
        <v>892</v>
      </c>
      <c r="M93" s="43">
        <v>50</v>
      </c>
      <c r="N93" s="38">
        <v>1075</v>
      </c>
      <c r="O93" s="43">
        <v>330</v>
      </c>
      <c r="P93" s="38">
        <v>390</v>
      </c>
      <c r="Q93" s="43">
        <v>10</v>
      </c>
      <c r="R93" s="38">
        <v>380</v>
      </c>
      <c r="S93" s="43"/>
      <c r="T93" s="38">
        <v>372</v>
      </c>
      <c r="U93" s="43"/>
      <c r="V93" s="38">
        <v>900</v>
      </c>
      <c r="W93" s="43">
        <v>850</v>
      </c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2" customFormat="1" ht="12.75">
      <c r="A94" s="25"/>
      <c r="B94" s="20" t="s">
        <v>12</v>
      </c>
      <c r="D94" s="46">
        <f>ROUND((2195/1936.27)*1000,0)</f>
        <v>1134</v>
      </c>
      <c r="E94" s="39"/>
      <c r="F94" s="38">
        <v>1134</v>
      </c>
      <c r="G94" s="43"/>
      <c r="H94" s="38">
        <v>1053</v>
      </c>
      <c r="I94" s="43"/>
      <c r="J94" s="38">
        <v>1144</v>
      </c>
      <c r="K94" s="43"/>
      <c r="L94" s="38">
        <v>1341</v>
      </c>
      <c r="M94" s="43"/>
      <c r="N94" s="38">
        <v>1310</v>
      </c>
      <c r="O94" s="43">
        <v>160</v>
      </c>
      <c r="P94" s="38">
        <v>620</v>
      </c>
      <c r="Q94" s="43"/>
      <c r="R94" s="38">
        <v>809</v>
      </c>
      <c r="S94" s="43"/>
      <c r="T94" s="38">
        <v>773</v>
      </c>
      <c r="U94" s="43"/>
      <c r="V94" s="38">
        <v>851</v>
      </c>
      <c r="W94" s="43">
        <v>210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2" customFormat="1" ht="12.75">
      <c r="A95" s="25"/>
      <c r="B95" s="20" t="s">
        <v>152</v>
      </c>
      <c r="D95" s="46"/>
      <c r="E95" s="39"/>
      <c r="F95" s="38"/>
      <c r="G95" s="43"/>
      <c r="H95" s="38"/>
      <c r="I95" s="43"/>
      <c r="J95" s="38">
        <v>144</v>
      </c>
      <c r="K95" s="43"/>
      <c r="L95" s="38">
        <v>403</v>
      </c>
      <c r="M95" s="43">
        <v>180</v>
      </c>
      <c r="N95" s="38">
        <v>235</v>
      </c>
      <c r="O95" s="43"/>
      <c r="P95" s="38">
        <v>163</v>
      </c>
      <c r="Q95" s="43"/>
      <c r="R95" s="38">
        <v>146</v>
      </c>
      <c r="S95" s="43"/>
      <c r="T95" s="38">
        <v>146</v>
      </c>
      <c r="U95" s="43"/>
      <c r="V95" s="38">
        <v>135</v>
      </c>
      <c r="W95" s="43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2" customFormat="1" ht="12.75">
      <c r="A96" s="25"/>
      <c r="B96" s="20" t="s">
        <v>13</v>
      </c>
      <c r="D96" s="46">
        <f>ROUND((411/1936.27)*1000,0)</f>
        <v>212</v>
      </c>
      <c r="E96" s="39"/>
      <c r="F96" s="38">
        <v>167</v>
      </c>
      <c r="G96" s="43"/>
      <c r="H96" s="38">
        <v>177</v>
      </c>
      <c r="I96" s="43"/>
      <c r="J96" s="38">
        <v>248</v>
      </c>
      <c r="K96" s="43"/>
      <c r="L96" s="38">
        <v>305</v>
      </c>
      <c r="M96" s="43"/>
      <c r="N96" s="38">
        <v>279</v>
      </c>
      <c r="O96" s="43"/>
      <c r="P96" s="38">
        <v>286</v>
      </c>
      <c r="Q96" s="43"/>
      <c r="R96" s="38">
        <v>233</v>
      </c>
      <c r="S96" s="43"/>
      <c r="T96" s="38">
        <v>233</v>
      </c>
      <c r="U96" s="43"/>
      <c r="V96" s="38">
        <v>191</v>
      </c>
      <c r="W96" s="43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2" customFormat="1" ht="12.75">
      <c r="A97" s="31"/>
      <c r="B97" s="32" t="s">
        <v>53</v>
      </c>
      <c r="C97" s="127"/>
      <c r="D97" s="57">
        <f>ROUND((11149/1936.27)*1000,0)</f>
        <v>5758</v>
      </c>
      <c r="E97" s="45">
        <v>3615</v>
      </c>
      <c r="F97" s="63"/>
      <c r="G97" s="45"/>
      <c r="H97" s="63">
        <v>270</v>
      </c>
      <c r="I97" s="45">
        <v>270</v>
      </c>
      <c r="J97" s="63">
        <v>59</v>
      </c>
      <c r="K97" s="45">
        <v>59</v>
      </c>
      <c r="L97" s="63"/>
      <c r="M97" s="45"/>
      <c r="N97" s="63"/>
      <c r="O97" s="45"/>
      <c r="P97" s="63"/>
      <c r="Q97" s="45"/>
      <c r="R97" s="63"/>
      <c r="S97" s="45"/>
      <c r="T97" s="63"/>
      <c r="U97" s="45"/>
      <c r="V97" s="63"/>
      <c r="W97" s="45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2" customFormat="1" ht="12.75">
      <c r="A98" s="145" t="s">
        <v>154</v>
      </c>
      <c r="B98" s="93"/>
      <c r="C98" s="93"/>
      <c r="D98" s="112">
        <f>SUM(D99:D106)</f>
        <v>4625</v>
      </c>
      <c r="E98" s="112">
        <f aca="true" t="shared" si="18" ref="E98:W98">SUM(E99:E106)</f>
        <v>1775</v>
      </c>
      <c r="F98" s="112">
        <f t="shared" si="18"/>
        <v>5731</v>
      </c>
      <c r="G98" s="112">
        <f t="shared" si="18"/>
        <v>2922</v>
      </c>
      <c r="H98" s="112">
        <f t="shared" si="18"/>
        <v>6333</v>
      </c>
      <c r="I98" s="112">
        <f t="shared" si="18"/>
        <v>2420</v>
      </c>
      <c r="J98" s="112">
        <f t="shared" si="18"/>
        <v>5253</v>
      </c>
      <c r="K98" s="112">
        <f t="shared" si="18"/>
        <v>2485</v>
      </c>
      <c r="L98" s="112">
        <f t="shared" si="18"/>
        <v>2954</v>
      </c>
      <c r="M98" s="112">
        <f t="shared" si="18"/>
        <v>628</v>
      </c>
      <c r="N98" s="112">
        <f t="shared" si="18"/>
        <v>4871</v>
      </c>
      <c r="O98" s="112">
        <f t="shared" si="18"/>
        <v>2971</v>
      </c>
      <c r="P98" s="112">
        <f t="shared" si="18"/>
        <v>1372</v>
      </c>
      <c r="Q98" s="112">
        <f t="shared" si="18"/>
        <v>790</v>
      </c>
      <c r="R98" s="112">
        <f t="shared" si="18"/>
        <v>1531</v>
      </c>
      <c r="S98" s="112">
        <f t="shared" si="18"/>
        <v>634</v>
      </c>
      <c r="T98" s="112">
        <f t="shared" si="18"/>
        <v>2537</v>
      </c>
      <c r="U98" s="112">
        <f t="shared" si="18"/>
        <v>1946</v>
      </c>
      <c r="V98" s="112">
        <f t="shared" si="18"/>
        <v>1413</v>
      </c>
      <c r="W98" s="112">
        <f t="shared" si="18"/>
        <v>944</v>
      </c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2" customFormat="1" ht="12.75">
      <c r="A99" s="25"/>
      <c r="B99" s="10" t="s">
        <v>4</v>
      </c>
      <c r="D99" s="46">
        <f>ROUND((1066/1936.27)*1000,0)</f>
        <v>551</v>
      </c>
      <c r="E99" s="44">
        <f>ROUND(94145/1936.27,0)</f>
        <v>49</v>
      </c>
      <c r="F99" s="46">
        <v>491</v>
      </c>
      <c r="G99" s="46">
        <f>ROUND((77157/1936.27),0)</f>
        <v>40</v>
      </c>
      <c r="H99" s="46">
        <f>500+98</f>
        <v>598</v>
      </c>
      <c r="I99" s="46"/>
      <c r="J99" s="46">
        <v>204</v>
      </c>
      <c r="K99" s="46"/>
      <c r="L99" s="46">
        <v>219</v>
      </c>
      <c r="M99" s="46"/>
      <c r="N99" s="46">
        <v>145</v>
      </c>
      <c r="O99" s="46"/>
      <c r="P99" s="46">
        <v>43</v>
      </c>
      <c r="Q99" s="46"/>
      <c r="R99" s="46">
        <v>63</v>
      </c>
      <c r="S99" s="46"/>
      <c r="T99" s="46">
        <v>41</v>
      </c>
      <c r="U99" s="46"/>
      <c r="V99" s="46">
        <v>13</v>
      </c>
      <c r="W99" s="46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2" customFormat="1" ht="12.75">
      <c r="A100" s="25"/>
      <c r="B100" s="20" t="s">
        <v>113</v>
      </c>
      <c r="D100" s="46">
        <f>ROUND((3709/1936.27)*1000,0)</f>
        <v>1916</v>
      </c>
      <c r="E100" s="39">
        <f>ROUND(2282348/1936.27,0)</f>
        <v>1179</v>
      </c>
      <c r="F100" s="43">
        <v>2896</v>
      </c>
      <c r="G100" s="43">
        <f>ROUND((5225459/1936.27),0)</f>
        <v>2699</v>
      </c>
      <c r="H100" s="43">
        <v>2155</v>
      </c>
      <c r="I100" s="43">
        <v>2087</v>
      </c>
      <c r="J100" s="43">
        <v>2516</v>
      </c>
      <c r="K100" s="43">
        <v>2460</v>
      </c>
      <c r="L100" s="43">
        <v>297</v>
      </c>
      <c r="M100" s="43">
        <v>86</v>
      </c>
      <c r="N100" s="43">
        <v>2541</v>
      </c>
      <c r="O100" s="43">
        <v>2391</v>
      </c>
      <c r="P100" s="43">
        <v>145</v>
      </c>
      <c r="Q100" s="43">
        <v>133</v>
      </c>
      <c r="R100" s="43">
        <v>5</v>
      </c>
      <c r="S100" s="43">
        <v>5</v>
      </c>
      <c r="T100" s="43">
        <v>1173</v>
      </c>
      <c r="U100" s="43">
        <v>1173</v>
      </c>
      <c r="V100" s="43">
        <v>103</v>
      </c>
      <c r="W100" s="43">
        <v>103</v>
      </c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2" customFormat="1" ht="12.75">
      <c r="A101" s="25"/>
      <c r="B101" s="20" t="s">
        <v>112</v>
      </c>
      <c r="D101" s="46">
        <f>ROUND((382/1936.27)*1000,0)</f>
        <v>197</v>
      </c>
      <c r="E101" s="39">
        <f>ROUND(381584/1936.27,0)</f>
        <v>197</v>
      </c>
      <c r="F101" s="43">
        <v>15</v>
      </c>
      <c r="G101" s="43">
        <v>15</v>
      </c>
      <c r="H101" s="43">
        <v>260</v>
      </c>
      <c r="I101" s="43"/>
      <c r="J101" s="43">
        <v>319</v>
      </c>
      <c r="K101" s="43"/>
      <c r="L101" s="43">
        <v>337</v>
      </c>
      <c r="M101" s="43"/>
      <c r="N101" s="43">
        <v>280</v>
      </c>
      <c r="O101" s="43">
        <v>10</v>
      </c>
      <c r="P101" s="43">
        <v>156</v>
      </c>
      <c r="Q101" s="43"/>
      <c r="R101" s="43">
        <v>202</v>
      </c>
      <c r="S101" s="43"/>
      <c r="T101" s="43">
        <v>76</v>
      </c>
      <c r="U101" s="43"/>
      <c r="V101" s="43">
        <v>117</v>
      </c>
      <c r="W101" s="43">
        <v>1</v>
      </c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2" customFormat="1" ht="12.75">
      <c r="A102" s="25"/>
      <c r="B102" s="20" t="s">
        <v>114</v>
      </c>
      <c r="D102" s="46"/>
      <c r="E102" s="39"/>
      <c r="F102" s="43">
        <v>18</v>
      </c>
      <c r="G102" s="43">
        <v>18</v>
      </c>
      <c r="H102" s="43">
        <v>104</v>
      </c>
      <c r="I102" s="43">
        <v>1</v>
      </c>
      <c r="J102" s="43">
        <v>53</v>
      </c>
      <c r="K102" s="43">
        <v>1</v>
      </c>
      <c r="L102" s="43">
        <v>17</v>
      </c>
      <c r="M102" s="43">
        <v>1</v>
      </c>
      <c r="N102" s="43">
        <v>26</v>
      </c>
      <c r="O102" s="43">
        <v>0</v>
      </c>
      <c r="P102" s="43">
        <v>5</v>
      </c>
      <c r="Q102" s="43">
        <v>0</v>
      </c>
      <c r="R102" s="43">
        <v>144</v>
      </c>
      <c r="S102" s="43">
        <v>2</v>
      </c>
      <c r="T102" s="43"/>
      <c r="U102" s="43"/>
      <c r="V102" s="43"/>
      <c r="W102" s="43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2" customFormat="1" ht="12.75">
      <c r="A103" s="13"/>
      <c r="B103" s="10" t="s">
        <v>83</v>
      </c>
      <c r="C103" s="10"/>
      <c r="D103" s="46">
        <v>874</v>
      </c>
      <c r="E103" s="44">
        <v>350</v>
      </c>
      <c r="F103" s="46">
        <v>1068</v>
      </c>
      <c r="G103" s="44">
        <v>150</v>
      </c>
      <c r="H103" s="46">
        <v>1720</v>
      </c>
      <c r="I103" s="44">
        <v>294</v>
      </c>
      <c r="J103" s="46">
        <v>944</v>
      </c>
      <c r="K103" s="44">
        <v>6</v>
      </c>
      <c r="L103" s="46">
        <v>753</v>
      </c>
      <c r="M103" s="44">
        <v>10</v>
      </c>
      <c r="N103" s="46">
        <v>596</v>
      </c>
      <c r="O103" s="44"/>
      <c r="P103" s="46">
        <v>273</v>
      </c>
      <c r="Q103" s="44">
        <v>150</v>
      </c>
      <c r="R103" s="46">
        <v>314</v>
      </c>
      <c r="S103" s="44"/>
      <c r="T103" s="46">
        <v>300</v>
      </c>
      <c r="U103" s="44"/>
      <c r="V103" s="46">
        <v>293</v>
      </c>
      <c r="W103" s="44">
        <v>46</v>
      </c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2" customFormat="1" ht="12.75">
      <c r="A104" s="13"/>
      <c r="B104" s="10" t="s">
        <v>63</v>
      </c>
      <c r="C104" s="10"/>
      <c r="D104" s="46"/>
      <c r="E104" s="44"/>
      <c r="F104" s="46"/>
      <c r="G104" s="44"/>
      <c r="H104" s="46">
        <v>694</v>
      </c>
      <c r="I104" s="44"/>
      <c r="J104" s="46">
        <v>337</v>
      </c>
      <c r="K104" s="44"/>
      <c r="L104" s="46">
        <v>495</v>
      </c>
      <c r="M104" s="44">
        <v>1</v>
      </c>
      <c r="N104" s="46">
        <v>445</v>
      </c>
      <c r="O104" s="44"/>
      <c r="P104" s="46">
        <v>242</v>
      </c>
      <c r="Q104" s="44">
        <v>82</v>
      </c>
      <c r="R104" s="46">
        <v>164</v>
      </c>
      <c r="S104" s="44">
        <v>38</v>
      </c>
      <c r="T104" s="46">
        <v>65</v>
      </c>
      <c r="U104" s="44"/>
      <c r="V104" s="46"/>
      <c r="W104" s="44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2" customFormat="1" ht="12.75">
      <c r="A105" s="13"/>
      <c r="B105" s="10" t="s">
        <v>64</v>
      </c>
      <c r="C105" s="10"/>
      <c r="D105" s="46">
        <f>ROUND((1728/1936.27)*1000,0)</f>
        <v>892</v>
      </c>
      <c r="E105" s="44"/>
      <c r="F105" s="46">
        <v>988</v>
      </c>
      <c r="G105" s="44"/>
      <c r="H105" s="46">
        <v>484</v>
      </c>
      <c r="I105" s="44"/>
      <c r="J105" s="46">
        <v>576</v>
      </c>
      <c r="K105" s="44"/>
      <c r="L105" s="46">
        <v>500</v>
      </c>
      <c r="M105" s="44">
        <v>500</v>
      </c>
      <c r="N105" s="46">
        <v>539</v>
      </c>
      <c r="O105" s="44">
        <v>527</v>
      </c>
      <c r="P105" s="46">
        <v>423</v>
      </c>
      <c r="Q105" s="44">
        <v>423</v>
      </c>
      <c r="R105" s="46">
        <v>563</v>
      </c>
      <c r="S105" s="44">
        <v>563</v>
      </c>
      <c r="T105" s="46">
        <v>653</v>
      </c>
      <c r="U105" s="44">
        <v>643</v>
      </c>
      <c r="V105" s="46">
        <v>702</v>
      </c>
      <c r="W105" s="44">
        <v>694</v>
      </c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2" customFormat="1" ht="12.75">
      <c r="A106" s="31"/>
      <c r="B106" s="32" t="s">
        <v>65</v>
      </c>
      <c r="C106" s="127"/>
      <c r="D106" s="57">
        <f>ROUND((378/1936.27)*1000,0)</f>
        <v>195</v>
      </c>
      <c r="E106" s="45"/>
      <c r="F106" s="63">
        <v>255</v>
      </c>
      <c r="G106" s="45"/>
      <c r="H106" s="63">
        <v>318</v>
      </c>
      <c r="I106" s="45">
        <v>38</v>
      </c>
      <c r="J106" s="63">
        <v>304</v>
      </c>
      <c r="K106" s="45">
        <v>18</v>
      </c>
      <c r="L106" s="63">
        <v>336</v>
      </c>
      <c r="M106" s="45">
        <v>30</v>
      </c>
      <c r="N106" s="63">
        <v>299</v>
      </c>
      <c r="O106" s="45">
        <v>43</v>
      </c>
      <c r="P106" s="63">
        <v>85</v>
      </c>
      <c r="Q106" s="45">
        <v>2</v>
      </c>
      <c r="R106" s="63">
        <v>76</v>
      </c>
      <c r="S106" s="45">
        <v>26</v>
      </c>
      <c r="T106" s="63">
        <v>229</v>
      </c>
      <c r="U106" s="45">
        <v>130</v>
      </c>
      <c r="V106" s="63">
        <v>185</v>
      </c>
      <c r="W106" s="45">
        <v>100</v>
      </c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2" customFormat="1" ht="12.75">
      <c r="A107" s="145" t="s">
        <v>155</v>
      </c>
      <c r="B107" s="93"/>
      <c r="C107" s="93"/>
      <c r="D107" s="112">
        <f>+D108+D109+D110</f>
        <v>1162</v>
      </c>
      <c r="E107" s="112">
        <f aca="true" t="shared" si="19" ref="E107:W107">+E108+E109+E110</f>
        <v>0</v>
      </c>
      <c r="F107" s="112">
        <f t="shared" si="19"/>
        <v>1503</v>
      </c>
      <c r="G107" s="112">
        <f t="shared" si="19"/>
        <v>0</v>
      </c>
      <c r="H107" s="112">
        <f t="shared" si="19"/>
        <v>2100</v>
      </c>
      <c r="I107" s="112">
        <f t="shared" si="19"/>
        <v>0</v>
      </c>
      <c r="J107" s="112">
        <f t="shared" si="19"/>
        <v>3376</v>
      </c>
      <c r="K107" s="112">
        <f t="shared" si="19"/>
        <v>0</v>
      </c>
      <c r="L107" s="112">
        <f t="shared" si="19"/>
        <v>4789</v>
      </c>
      <c r="M107" s="112">
        <f t="shared" si="19"/>
        <v>0</v>
      </c>
      <c r="N107" s="112">
        <f t="shared" si="19"/>
        <v>5158</v>
      </c>
      <c r="O107" s="112">
        <f t="shared" si="19"/>
        <v>0</v>
      </c>
      <c r="P107" s="112">
        <f t="shared" si="19"/>
        <v>2983</v>
      </c>
      <c r="Q107" s="112">
        <f t="shared" si="19"/>
        <v>0</v>
      </c>
      <c r="R107" s="112">
        <f t="shared" si="19"/>
        <v>4135</v>
      </c>
      <c r="S107" s="112">
        <f t="shared" si="19"/>
        <v>0</v>
      </c>
      <c r="T107" s="112">
        <f t="shared" si="19"/>
        <v>9220</v>
      </c>
      <c r="U107" s="112">
        <f t="shared" si="19"/>
        <v>3308</v>
      </c>
      <c r="V107" s="112">
        <f t="shared" si="19"/>
        <v>5558</v>
      </c>
      <c r="W107" s="112">
        <f t="shared" si="19"/>
        <v>0</v>
      </c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2" customFormat="1" ht="12.75">
      <c r="A108" s="128" t="s">
        <v>156</v>
      </c>
      <c r="B108" s="129"/>
      <c r="C108" s="130"/>
      <c r="D108" s="115">
        <v>162</v>
      </c>
      <c r="E108" s="131"/>
      <c r="F108" s="114">
        <v>169</v>
      </c>
      <c r="G108" s="131"/>
      <c r="H108" s="114">
        <v>244</v>
      </c>
      <c r="I108" s="131"/>
      <c r="J108" s="114">
        <v>304</v>
      </c>
      <c r="K108" s="131"/>
      <c r="L108" s="114">
        <v>227</v>
      </c>
      <c r="M108" s="131"/>
      <c r="N108" s="114">
        <v>246</v>
      </c>
      <c r="O108" s="131"/>
      <c r="P108" s="114">
        <v>146</v>
      </c>
      <c r="Q108" s="131"/>
      <c r="R108" s="114">
        <v>138</v>
      </c>
      <c r="S108" s="131"/>
      <c r="T108" s="114">
        <v>157</v>
      </c>
      <c r="U108" s="131"/>
      <c r="V108" s="114">
        <v>159</v>
      </c>
      <c r="W108" s="13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2" customFormat="1" ht="12.75">
      <c r="A109" s="120" t="s">
        <v>43</v>
      </c>
      <c r="B109" s="121"/>
      <c r="C109" s="122"/>
      <c r="D109" s="69">
        <f>ROUND((1847/1936.27)*1000,0)</f>
        <v>954</v>
      </c>
      <c r="E109" s="68"/>
      <c r="F109" s="58">
        <v>1304</v>
      </c>
      <c r="G109" s="68"/>
      <c r="H109" s="58">
        <v>1852</v>
      </c>
      <c r="I109" s="68"/>
      <c r="J109" s="58">
        <v>3046</v>
      </c>
      <c r="K109" s="68"/>
      <c r="L109" s="58">
        <v>4516</v>
      </c>
      <c r="M109" s="68"/>
      <c r="N109" s="58">
        <v>4841</v>
      </c>
      <c r="O109" s="68"/>
      <c r="P109" s="58">
        <v>2727</v>
      </c>
      <c r="Q109" s="68"/>
      <c r="R109" s="58">
        <v>3989</v>
      </c>
      <c r="S109" s="68"/>
      <c r="T109" s="58">
        <v>9058</v>
      </c>
      <c r="U109" s="68">
        <v>3308</v>
      </c>
      <c r="V109" s="58">
        <v>5395</v>
      </c>
      <c r="W109" s="68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2" customFormat="1" ht="12.75">
      <c r="A110" s="90" t="s">
        <v>157</v>
      </c>
      <c r="B110" s="91"/>
      <c r="C110" s="91"/>
      <c r="D110" s="55">
        <f>SUM(D111:D113)</f>
        <v>46</v>
      </c>
      <c r="E110" s="55">
        <f aca="true" t="shared" si="20" ref="E110:W110">SUM(E111:E113)</f>
        <v>0</v>
      </c>
      <c r="F110" s="55">
        <f t="shared" si="20"/>
        <v>30</v>
      </c>
      <c r="G110" s="55">
        <f t="shared" si="20"/>
        <v>0</v>
      </c>
      <c r="H110" s="55">
        <f t="shared" si="20"/>
        <v>4</v>
      </c>
      <c r="I110" s="55">
        <f t="shared" si="20"/>
        <v>0</v>
      </c>
      <c r="J110" s="55">
        <f t="shared" si="20"/>
        <v>26</v>
      </c>
      <c r="K110" s="55">
        <f t="shared" si="20"/>
        <v>0</v>
      </c>
      <c r="L110" s="55">
        <f t="shared" si="20"/>
        <v>46</v>
      </c>
      <c r="M110" s="55">
        <f t="shared" si="20"/>
        <v>0</v>
      </c>
      <c r="N110" s="55">
        <f t="shared" si="20"/>
        <v>71</v>
      </c>
      <c r="O110" s="55">
        <f t="shared" si="20"/>
        <v>0</v>
      </c>
      <c r="P110" s="55">
        <f t="shared" si="20"/>
        <v>110</v>
      </c>
      <c r="Q110" s="55">
        <f t="shared" si="20"/>
        <v>0</v>
      </c>
      <c r="R110" s="55">
        <f t="shared" si="20"/>
        <v>8</v>
      </c>
      <c r="S110" s="55">
        <f t="shared" si="20"/>
        <v>0</v>
      </c>
      <c r="T110" s="55">
        <f t="shared" si="20"/>
        <v>5</v>
      </c>
      <c r="U110" s="55">
        <f t="shared" si="20"/>
        <v>0</v>
      </c>
      <c r="V110" s="55">
        <f t="shared" si="20"/>
        <v>4</v>
      </c>
      <c r="W110" s="55">
        <f t="shared" si="20"/>
        <v>0</v>
      </c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2" customFormat="1" ht="12.75">
      <c r="A111" s="23"/>
      <c r="B111" s="20" t="s">
        <v>158</v>
      </c>
      <c r="C111" s="24"/>
      <c r="D111" s="46"/>
      <c r="E111" s="39"/>
      <c r="F111" s="43"/>
      <c r="G111" s="39"/>
      <c r="H111" s="43"/>
      <c r="I111" s="39"/>
      <c r="J111" s="43"/>
      <c r="K111" s="39"/>
      <c r="L111" s="43">
        <v>7</v>
      </c>
      <c r="M111" s="39"/>
      <c r="N111" s="43">
        <v>6</v>
      </c>
      <c r="O111" s="39"/>
      <c r="P111" s="43">
        <v>5</v>
      </c>
      <c r="Q111" s="39"/>
      <c r="R111" s="43">
        <v>6</v>
      </c>
      <c r="S111" s="39"/>
      <c r="T111" s="43">
        <v>5</v>
      </c>
      <c r="U111" s="39"/>
      <c r="V111" s="43">
        <v>4</v>
      </c>
      <c r="W111" s="39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2" customFormat="1" ht="12.75">
      <c r="A112" s="23"/>
      <c r="B112" s="20" t="s">
        <v>4</v>
      </c>
      <c r="C112" s="24"/>
      <c r="D112" s="46">
        <f>ROUND((90/1936.27)*1000,0)</f>
        <v>46</v>
      </c>
      <c r="E112" s="39"/>
      <c r="F112" s="43">
        <v>30</v>
      </c>
      <c r="G112" s="39"/>
      <c r="H112" s="43">
        <v>4</v>
      </c>
      <c r="I112" s="39"/>
      <c r="J112" s="43">
        <v>20</v>
      </c>
      <c r="K112" s="39"/>
      <c r="L112" s="43"/>
      <c r="M112" s="39"/>
      <c r="N112" s="43"/>
      <c r="O112" s="39"/>
      <c r="P112" s="43"/>
      <c r="Q112" s="39"/>
      <c r="R112" s="43"/>
      <c r="S112" s="39"/>
      <c r="T112" s="43"/>
      <c r="U112" s="39"/>
      <c r="V112" s="43"/>
      <c r="W112" s="39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2" customFormat="1" ht="12.75">
      <c r="A113" s="31"/>
      <c r="B113" s="32" t="s">
        <v>5</v>
      </c>
      <c r="C113" s="127"/>
      <c r="D113" s="57"/>
      <c r="E113" s="45"/>
      <c r="F113" s="63">
        <v>0</v>
      </c>
      <c r="G113" s="45"/>
      <c r="H113" s="63"/>
      <c r="I113" s="45"/>
      <c r="J113" s="63">
        <v>6</v>
      </c>
      <c r="K113" s="45"/>
      <c r="L113" s="63">
        <v>39</v>
      </c>
      <c r="M113" s="45"/>
      <c r="N113" s="63">
        <v>65</v>
      </c>
      <c r="O113" s="45"/>
      <c r="P113" s="63">
        <v>105</v>
      </c>
      <c r="Q113" s="45"/>
      <c r="R113" s="63">
        <v>2</v>
      </c>
      <c r="S113" s="45"/>
      <c r="T113" s="63"/>
      <c r="U113" s="45"/>
      <c r="V113" s="63"/>
      <c r="W113" s="45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2" customFormat="1" ht="12.75">
      <c r="A114" s="145" t="s">
        <v>159</v>
      </c>
      <c r="B114" s="93"/>
      <c r="C114" s="93"/>
      <c r="D114" s="112">
        <f>+D115+D116+D117</f>
        <v>116</v>
      </c>
      <c r="E114" s="112">
        <f aca="true" t="shared" si="21" ref="E114:W114">+E115+E116+E117</f>
        <v>0</v>
      </c>
      <c r="F114" s="112">
        <f t="shared" si="21"/>
        <v>80</v>
      </c>
      <c r="G114" s="112">
        <f t="shared" si="21"/>
        <v>0</v>
      </c>
      <c r="H114" s="112">
        <f t="shared" si="21"/>
        <v>107</v>
      </c>
      <c r="I114" s="112">
        <f t="shared" si="21"/>
        <v>0</v>
      </c>
      <c r="J114" s="112">
        <f t="shared" si="21"/>
        <v>58</v>
      </c>
      <c r="K114" s="112">
        <f t="shared" si="21"/>
        <v>0</v>
      </c>
      <c r="L114" s="112">
        <f t="shared" si="21"/>
        <v>46</v>
      </c>
      <c r="M114" s="112">
        <f t="shared" si="21"/>
        <v>0</v>
      </c>
      <c r="N114" s="112">
        <f t="shared" si="21"/>
        <v>54</v>
      </c>
      <c r="O114" s="112">
        <f t="shared" si="21"/>
        <v>0</v>
      </c>
      <c r="P114" s="112">
        <f t="shared" si="21"/>
        <v>33</v>
      </c>
      <c r="Q114" s="112">
        <f t="shared" si="21"/>
        <v>0</v>
      </c>
      <c r="R114" s="112">
        <f t="shared" si="21"/>
        <v>42</v>
      </c>
      <c r="S114" s="112">
        <f t="shared" si="21"/>
        <v>9</v>
      </c>
      <c r="T114" s="112">
        <f t="shared" si="21"/>
        <v>73</v>
      </c>
      <c r="U114" s="112">
        <f t="shared" si="21"/>
        <v>30</v>
      </c>
      <c r="V114" s="112">
        <f t="shared" si="21"/>
        <v>60</v>
      </c>
      <c r="W114" s="112">
        <f t="shared" si="21"/>
        <v>22</v>
      </c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2" customFormat="1" ht="12.75">
      <c r="A115" s="128" t="s">
        <v>160</v>
      </c>
      <c r="B115" s="129"/>
      <c r="C115" s="130"/>
      <c r="D115" s="115">
        <f>ROUND((225/1936.27)*1000,0)</f>
        <v>116</v>
      </c>
      <c r="E115" s="131"/>
      <c r="F115" s="114">
        <v>80</v>
      </c>
      <c r="G115" s="131"/>
      <c r="H115" s="114">
        <v>107</v>
      </c>
      <c r="I115" s="131"/>
      <c r="J115" s="114">
        <v>58</v>
      </c>
      <c r="K115" s="131"/>
      <c r="L115" s="114">
        <v>37</v>
      </c>
      <c r="M115" s="131"/>
      <c r="N115" s="114">
        <v>45</v>
      </c>
      <c r="O115" s="131"/>
      <c r="P115" s="114">
        <v>32</v>
      </c>
      <c r="Q115" s="131"/>
      <c r="R115" s="114">
        <v>42</v>
      </c>
      <c r="S115" s="131">
        <v>9</v>
      </c>
      <c r="T115" s="114">
        <v>73</v>
      </c>
      <c r="U115" s="131">
        <v>30</v>
      </c>
      <c r="V115" s="114">
        <v>60</v>
      </c>
      <c r="W115" s="131">
        <v>22</v>
      </c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2" customFormat="1" ht="12.75">
      <c r="A116" s="120" t="s">
        <v>161</v>
      </c>
      <c r="B116" s="121"/>
      <c r="C116" s="122"/>
      <c r="D116" s="69">
        <v>0</v>
      </c>
      <c r="E116" s="68"/>
      <c r="F116" s="58">
        <v>0</v>
      </c>
      <c r="G116" s="68"/>
      <c r="H116" s="58"/>
      <c r="I116" s="68"/>
      <c r="J116" s="58"/>
      <c r="K116" s="68"/>
      <c r="L116" s="58">
        <v>7</v>
      </c>
      <c r="M116" s="68"/>
      <c r="N116" s="58">
        <v>2</v>
      </c>
      <c r="O116" s="68"/>
      <c r="P116" s="58"/>
      <c r="Q116" s="68"/>
      <c r="R116" s="58"/>
      <c r="S116" s="68"/>
      <c r="T116" s="58"/>
      <c r="U116" s="68"/>
      <c r="V116" s="58"/>
      <c r="W116" s="68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2" customFormat="1" ht="12.75">
      <c r="A117" s="120" t="s">
        <v>40</v>
      </c>
      <c r="B117" s="121"/>
      <c r="C117" s="122"/>
      <c r="D117" s="69">
        <v>0</v>
      </c>
      <c r="E117" s="68"/>
      <c r="F117" s="58">
        <v>0</v>
      </c>
      <c r="G117" s="68"/>
      <c r="H117" s="58"/>
      <c r="I117" s="68"/>
      <c r="J117" s="58"/>
      <c r="K117" s="68"/>
      <c r="L117" s="58">
        <v>2</v>
      </c>
      <c r="M117" s="68"/>
      <c r="N117" s="58">
        <v>7</v>
      </c>
      <c r="O117" s="68"/>
      <c r="P117" s="58">
        <v>1</v>
      </c>
      <c r="Q117" s="68"/>
      <c r="R117" s="58"/>
      <c r="S117" s="68"/>
      <c r="T117" s="58"/>
      <c r="U117" s="68"/>
      <c r="V117" s="58"/>
      <c r="W117" s="68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2" customFormat="1" ht="12.75">
      <c r="A118" s="145" t="s">
        <v>162</v>
      </c>
      <c r="B118" s="93"/>
      <c r="C118" s="93"/>
      <c r="D118" s="112">
        <f>+D119+D123+D130</f>
        <v>11573</v>
      </c>
      <c r="E118" s="112">
        <f aca="true" t="shared" si="22" ref="E118:W118">+E119+E123+E130</f>
        <v>81</v>
      </c>
      <c r="F118" s="112">
        <f t="shared" si="22"/>
        <v>10715</v>
      </c>
      <c r="G118" s="112">
        <f t="shared" si="22"/>
        <v>314.81800058876087</v>
      </c>
      <c r="H118" s="112">
        <f t="shared" si="22"/>
        <v>11637</v>
      </c>
      <c r="I118" s="112">
        <f t="shared" si="22"/>
        <v>1449</v>
      </c>
      <c r="J118" s="112">
        <f t="shared" si="22"/>
        <v>11474</v>
      </c>
      <c r="K118" s="112">
        <f t="shared" si="22"/>
        <v>1199</v>
      </c>
      <c r="L118" s="112">
        <f t="shared" si="22"/>
        <v>10919</v>
      </c>
      <c r="M118" s="112">
        <f t="shared" si="22"/>
        <v>845</v>
      </c>
      <c r="N118" s="112">
        <f t="shared" si="22"/>
        <v>10404</v>
      </c>
      <c r="O118" s="112">
        <f t="shared" si="22"/>
        <v>871</v>
      </c>
      <c r="P118" s="112">
        <f t="shared" si="22"/>
        <v>7892</v>
      </c>
      <c r="Q118" s="112">
        <f t="shared" si="22"/>
        <v>756</v>
      </c>
      <c r="R118" s="112">
        <f t="shared" si="22"/>
        <v>8131</v>
      </c>
      <c r="S118" s="112">
        <f t="shared" si="22"/>
        <v>1044</v>
      </c>
      <c r="T118" s="112">
        <f t="shared" si="22"/>
        <v>7937</v>
      </c>
      <c r="U118" s="112">
        <f t="shared" si="22"/>
        <v>1026</v>
      </c>
      <c r="V118" s="112">
        <f t="shared" si="22"/>
        <v>6699</v>
      </c>
      <c r="W118" s="112">
        <f t="shared" si="22"/>
        <v>711</v>
      </c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7" s="2" customFormat="1" ht="12.75">
      <c r="A119" s="111" t="s">
        <v>163</v>
      </c>
      <c r="B119" s="92"/>
      <c r="C119" s="92"/>
      <c r="D119" s="59">
        <f>SUM(D120:D122)</f>
        <v>9104</v>
      </c>
      <c r="E119" s="59">
        <f aca="true" t="shared" si="23" ref="E119:U119">SUM(E120:E122)</f>
        <v>0</v>
      </c>
      <c r="F119" s="59">
        <f t="shared" si="23"/>
        <v>8016</v>
      </c>
      <c r="G119" s="59">
        <f t="shared" si="23"/>
        <v>112.58760400150805</v>
      </c>
      <c r="H119" s="59">
        <f t="shared" si="23"/>
        <v>8513</v>
      </c>
      <c r="I119" s="59">
        <f t="shared" si="23"/>
        <v>620</v>
      </c>
      <c r="J119" s="59">
        <f t="shared" si="23"/>
        <v>8435</v>
      </c>
      <c r="K119" s="59">
        <f t="shared" si="23"/>
        <v>404</v>
      </c>
      <c r="L119" s="59">
        <f t="shared" si="23"/>
        <v>8296</v>
      </c>
      <c r="M119" s="59">
        <f t="shared" si="23"/>
        <v>78</v>
      </c>
      <c r="N119" s="59">
        <f t="shared" si="23"/>
        <v>7639</v>
      </c>
      <c r="O119" s="59">
        <f t="shared" si="23"/>
        <v>20</v>
      </c>
      <c r="P119" s="59">
        <f t="shared" si="23"/>
        <v>6189</v>
      </c>
      <c r="Q119" s="59">
        <f t="shared" si="23"/>
        <v>0</v>
      </c>
      <c r="R119" s="59">
        <f t="shared" si="23"/>
        <v>6315</v>
      </c>
      <c r="S119" s="59">
        <f t="shared" si="23"/>
        <v>150</v>
      </c>
      <c r="T119" s="59">
        <f t="shared" si="23"/>
        <v>6145</v>
      </c>
      <c r="U119" s="59">
        <f t="shared" si="23"/>
        <v>192</v>
      </c>
      <c r="V119" s="59">
        <f>SUM(V120:V122)</f>
        <v>5122</v>
      </c>
      <c r="W119" s="59">
        <f>SUM(W120:W122)</f>
        <v>7</v>
      </c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116"/>
      <c r="AK119" s="116"/>
    </row>
    <row r="120" spans="1:35" s="2" customFormat="1" ht="12.75">
      <c r="A120" s="25"/>
      <c r="B120" s="20" t="s">
        <v>4</v>
      </c>
      <c r="C120" s="20"/>
      <c r="D120" s="46">
        <f>ROUND((100/1936.27)*1000,0)</f>
        <v>52</v>
      </c>
      <c r="E120" s="39"/>
      <c r="F120" s="38">
        <v>40</v>
      </c>
      <c r="G120" s="39"/>
      <c r="H120" s="38">
        <v>174</v>
      </c>
      <c r="I120" s="39"/>
      <c r="J120" s="38">
        <v>167</v>
      </c>
      <c r="K120" s="39"/>
      <c r="L120" s="38">
        <v>531</v>
      </c>
      <c r="M120" s="39"/>
      <c r="N120" s="38">
        <v>174</v>
      </c>
      <c r="O120" s="39"/>
      <c r="P120" s="38">
        <v>68</v>
      </c>
      <c r="Q120" s="39"/>
      <c r="R120" s="38">
        <v>72</v>
      </c>
      <c r="S120" s="39"/>
      <c r="T120" s="38">
        <v>115</v>
      </c>
      <c r="U120" s="39"/>
      <c r="V120" s="38">
        <v>95</v>
      </c>
      <c r="W120" s="39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2" customFormat="1" ht="12.75">
      <c r="A121" s="25"/>
      <c r="B121" s="20" t="s">
        <v>45</v>
      </c>
      <c r="C121" s="20"/>
      <c r="D121" s="46">
        <f>ROUND((6324/1936.27)*1000,0)</f>
        <v>3266</v>
      </c>
      <c r="E121" s="39"/>
      <c r="F121" s="38">
        <v>2383</v>
      </c>
      <c r="G121" s="39"/>
      <c r="H121" s="38">
        <v>2614</v>
      </c>
      <c r="I121" s="39"/>
      <c r="J121" s="38">
        <v>2781</v>
      </c>
      <c r="K121" s="39"/>
      <c r="L121" s="38">
        <v>2552</v>
      </c>
      <c r="M121" s="39"/>
      <c r="N121" s="38">
        <v>2974</v>
      </c>
      <c r="O121" s="39"/>
      <c r="P121" s="38">
        <v>3097</v>
      </c>
      <c r="Q121" s="39"/>
      <c r="R121" s="38">
        <v>3368</v>
      </c>
      <c r="S121" s="39"/>
      <c r="T121" s="38">
        <v>3160</v>
      </c>
      <c r="U121" s="39"/>
      <c r="V121" s="38">
        <v>2854</v>
      </c>
      <c r="W121" s="39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2" customFormat="1" ht="12.75">
      <c r="A122" s="31"/>
      <c r="B122" s="32" t="s">
        <v>10</v>
      </c>
      <c r="C122" s="127"/>
      <c r="D122" s="57">
        <f>ROUND((11203/1936.27)*1000,0)</f>
        <v>5786</v>
      </c>
      <c r="E122" s="45"/>
      <c r="F122" s="63">
        <v>5593</v>
      </c>
      <c r="G122" s="45">
        <f>218/1.93627</f>
        <v>112.58760400150805</v>
      </c>
      <c r="H122" s="63">
        <v>5725</v>
      </c>
      <c r="I122" s="45">
        <v>620</v>
      </c>
      <c r="J122" s="63">
        <v>5487</v>
      </c>
      <c r="K122" s="45">
        <v>404</v>
      </c>
      <c r="L122" s="63">
        <v>5213</v>
      </c>
      <c r="M122" s="45">
        <v>78</v>
      </c>
      <c r="N122" s="63">
        <v>4491</v>
      </c>
      <c r="O122" s="45">
        <v>20</v>
      </c>
      <c r="P122" s="63">
        <v>3024</v>
      </c>
      <c r="Q122" s="45"/>
      <c r="R122" s="63">
        <v>2875</v>
      </c>
      <c r="S122" s="45">
        <v>150</v>
      </c>
      <c r="T122" s="63">
        <v>2870</v>
      </c>
      <c r="U122" s="45">
        <v>192</v>
      </c>
      <c r="V122" s="63">
        <v>2173</v>
      </c>
      <c r="W122" s="45">
        <v>7</v>
      </c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2" customFormat="1" ht="12.75">
      <c r="A123" s="96" t="s">
        <v>164</v>
      </c>
      <c r="B123" s="91"/>
      <c r="C123" s="91"/>
      <c r="D123" s="59">
        <f>SUM(D124:D129)</f>
        <v>1008</v>
      </c>
      <c r="E123" s="59">
        <f aca="true" t="shared" si="24" ref="E123:Q123">SUM(E124:E129)</f>
        <v>0</v>
      </c>
      <c r="F123" s="59">
        <f t="shared" si="24"/>
        <v>1045</v>
      </c>
      <c r="G123" s="59">
        <f t="shared" si="24"/>
        <v>0</v>
      </c>
      <c r="H123" s="59">
        <f t="shared" si="24"/>
        <v>1041</v>
      </c>
      <c r="I123" s="59">
        <f t="shared" si="24"/>
        <v>0</v>
      </c>
      <c r="J123" s="59">
        <f t="shared" si="24"/>
        <v>962</v>
      </c>
      <c r="K123" s="59">
        <f t="shared" si="24"/>
        <v>0</v>
      </c>
      <c r="L123" s="59">
        <f t="shared" si="24"/>
        <v>879</v>
      </c>
      <c r="M123" s="59">
        <f t="shared" si="24"/>
        <v>0</v>
      </c>
      <c r="N123" s="59">
        <f t="shared" si="24"/>
        <v>946</v>
      </c>
      <c r="O123" s="59">
        <f t="shared" si="24"/>
        <v>0</v>
      </c>
      <c r="P123" s="59">
        <f t="shared" si="24"/>
        <v>435</v>
      </c>
      <c r="Q123" s="59">
        <f t="shared" si="24"/>
        <v>0</v>
      </c>
      <c r="R123" s="59">
        <f aca="true" t="shared" si="25" ref="R123:W123">SUM(R124:R129)</f>
        <v>500</v>
      </c>
      <c r="S123" s="59">
        <f t="shared" si="25"/>
        <v>100</v>
      </c>
      <c r="T123" s="59">
        <f t="shared" si="25"/>
        <v>400</v>
      </c>
      <c r="U123" s="59">
        <f t="shared" si="25"/>
        <v>0</v>
      </c>
      <c r="V123" s="59">
        <f t="shared" si="25"/>
        <v>418</v>
      </c>
      <c r="W123" s="59">
        <f t="shared" si="25"/>
        <v>14</v>
      </c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2" customFormat="1" ht="12.75">
      <c r="A124" s="25"/>
      <c r="B124" s="20" t="s">
        <v>3</v>
      </c>
      <c r="C124" s="20"/>
      <c r="D124" s="46">
        <f>ROUND((515/1936.27)*1000,0)</f>
        <v>266</v>
      </c>
      <c r="E124" s="39"/>
      <c r="F124" s="38">
        <v>224</v>
      </c>
      <c r="G124" s="39"/>
      <c r="H124" s="38">
        <v>315</v>
      </c>
      <c r="I124" s="39"/>
      <c r="J124" s="38">
        <v>419</v>
      </c>
      <c r="K124" s="39"/>
      <c r="L124" s="38">
        <v>101</v>
      </c>
      <c r="M124" s="39"/>
      <c r="N124" s="38">
        <v>368</v>
      </c>
      <c r="O124" s="39"/>
      <c r="P124" s="38">
        <v>51</v>
      </c>
      <c r="Q124" s="39"/>
      <c r="R124" s="38">
        <v>56</v>
      </c>
      <c r="S124" s="39"/>
      <c r="T124" s="38">
        <v>55</v>
      </c>
      <c r="U124" s="39"/>
      <c r="V124" s="38">
        <v>50</v>
      </c>
      <c r="W124" s="39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7" s="2" customFormat="1" ht="12.75">
      <c r="A125" s="25"/>
      <c r="B125" s="20" t="s">
        <v>9</v>
      </c>
      <c r="C125" s="20"/>
      <c r="D125" s="46">
        <f>ROUND((20/1936.27)*1000,0)</f>
        <v>10</v>
      </c>
      <c r="E125" s="39"/>
      <c r="F125" s="38">
        <v>23</v>
      </c>
      <c r="G125" s="39"/>
      <c r="H125" s="38">
        <v>145</v>
      </c>
      <c r="I125" s="39"/>
      <c r="J125" s="38">
        <v>130</v>
      </c>
      <c r="K125" s="39"/>
      <c r="L125" s="38">
        <v>165</v>
      </c>
      <c r="M125" s="39"/>
      <c r="N125" s="38">
        <v>109</v>
      </c>
      <c r="O125" s="39"/>
      <c r="P125" s="38">
        <v>37</v>
      </c>
      <c r="Q125" s="39"/>
      <c r="R125" s="38"/>
      <c r="S125" s="39"/>
      <c r="T125" s="38"/>
      <c r="U125" s="39"/>
      <c r="V125" s="38"/>
      <c r="W125" s="39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33"/>
      <c r="AK125" s="33"/>
    </row>
    <row r="126" spans="1:35" s="2" customFormat="1" ht="12.75">
      <c r="A126" s="25"/>
      <c r="B126" s="20" t="s">
        <v>110</v>
      </c>
      <c r="C126" s="20"/>
      <c r="D126" s="46">
        <f>ROUND((80/1936.27)*1000,0)</f>
        <v>41</v>
      </c>
      <c r="E126" s="39"/>
      <c r="F126" s="38">
        <v>0</v>
      </c>
      <c r="G126" s="39"/>
      <c r="H126" s="38"/>
      <c r="I126" s="39"/>
      <c r="J126" s="38"/>
      <c r="K126" s="39"/>
      <c r="L126" s="38"/>
      <c r="M126" s="39"/>
      <c r="N126" s="38">
        <v>12</v>
      </c>
      <c r="O126" s="39"/>
      <c r="P126" s="38">
        <v>13</v>
      </c>
      <c r="Q126" s="39"/>
      <c r="R126" s="38"/>
      <c r="S126" s="39"/>
      <c r="T126" s="38"/>
      <c r="U126" s="39"/>
      <c r="V126" s="38"/>
      <c r="W126" s="39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2" customFormat="1" ht="12.75">
      <c r="A127" s="25"/>
      <c r="B127" s="20" t="s">
        <v>90</v>
      </c>
      <c r="C127" s="20"/>
      <c r="D127" s="46">
        <f>ROUND((710/1936.27)*1000,0)</f>
        <v>367</v>
      </c>
      <c r="E127" s="39"/>
      <c r="F127" s="38">
        <v>506</v>
      </c>
      <c r="G127" s="39"/>
      <c r="H127" s="38">
        <v>478</v>
      </c>
      <c r="I127" s="39"/>
      <c r="J127" s="38">
        <v>400</v>
      </c>
      <c r="K127" s="39"/>
      <c r="L127" s="38">
        <v>394</v>
      </c>
      <c r="M127" s="39"/>
      <c r="N127" s="38">
        <v>258</v>
      </c>
      <c r="O127" s="39"/>
      <c r="P127" s="38">
        <v>182</v>
      </c>
      <c r="Q127" s="39"/>
      <c r="R127" s="38">
        <v>291</v>
      </c>
      <c r="S127" s="39">
        <v>100</v>
      </c>
      <c r="T127" s="38">
        <v>165</v>
      </c>
      <c r="U127" s="39"/>
      <c r="V127" s="38">
        <v>258</v>
      </c>
      <c r="W127" s="39">
        <v>14</v>
      </c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2" customFormat="1" ht="12.75">
      <c r="A128" s="25"/>
      <c r="B128" s="20" t="s">
        <v>111</v>
      </c>
      <c r="C128" s="20"/>
      <c r="D128" s="46">
        <f>ROUND((487/1936.27)*1000,0)</f>
        <v>252</v>
      </c>
      <c r="E128" s="39"/>
      <c r="F128" s="38">
        <v>241</v>
      </c>
      <c r="G128" s="39"/>
      <c r="H128" s="38">
        <v>42</v>
      </c>
      <c r="I128" s="39"/>
      <c r="J128" s="38">
        <v>13</v>
      </c>
      <c r="K128" s="39"/>
      <c r="L128" s="38">
        <v>219</v>
      </c>
      <c r="M128" s="39"/>
      <c r="N128" s="38">
        <v>199</v>
      </c>
      <c r="O128" s="39"/>
      <c r="P128" s="38">
        <v>152</v>
      </c>
      <c r="Q128" s="39"/>
      <c r="R128" s="38">
        <v>153</v>
      </c>
      <c r="S128" s="39"/>
      <c r="T128" s="38">
        <v>180</v>
      </c>
      <c r="U128" s="39"/>
      <c r="V128" s="38">
        <v>110</v>
      </c>
      <c r="W128" s="39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29" customFormat="1" ht="12.75">
      <c r="A129" s="89"/>
      <c r="B129" s="48" t="s">
        <v>44</v>
      </c>
      <c r="C129" s="132"/>
      <c r="D129" s="81">
        <f>ROUND((140/1936.27)*1000,0)</f>
        <v>72</v>
      </c>
      <c r="E129" s="133">
        <v>0</v>
      </c>
      <c r="F129" s="49">
        <v>51</v>
      </c>
      <c r="G129" s="133">
        <v>0</v>
      </c>
      <c r="H129" s="49">
        <v>61</v>
      </c>
      <c r="I129" s="133"/>
      <c r="J129" s="49"/>
      <c r="K129" s="133"/>
      <c r="L129" s="49"/>
      <c r="M129" s="133"/>
      <c r="N129" s="49"/>
      <c r="O129" s="133"/>
      <c r="P129" s="49"/>
      <c r="Q129" s="133"/>
      <c r="R129" s="49"/>
      <c r="S129" s="133"/>
      <c r="T129" s="49"/>
      <c r="U129" s="133"/>
      <c r="V129" s="49"/>
      <c r="W129" s="133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</row>
    <row r="130" spans="1:35" s="2" customFormat="1" ht="12.75">
      <c r="A130" s="96" t="s">
        <v>165</v>
      </c>
      <c r="B130" s="91"/>
      <c r="C130" s="91"/>
      <c r="D130" s="55">
        <f>SUM(D131:D133)</f>
        <v>1461</v>
      </c>
      <c r="E130" s="55">
        <f aca="true" t="shared" si="26" ref="E130:W130">SUM(E131:E133)</f>
        <v>81</v>
      </c>
      <c r="F130" s="55">
        <f t="shared" si="26"/>
        <v>1654</v>
      </c>
      <c r="G130" s="55">
        <f t="shared" si="26"/>
        <v>202.2303965872528</v>
      </c>
      <c r="H130" s="55">
        <f t="shared" si="26"/>
        <v>2083</v>
      </c>
      <c r="I130" s="55">
        <f t="shared" si="26"/>
        <v>829</v>
      </c>
      <c r="J130" s="55">
        <f t="shared" si="26"/>
        <v>2077</v>
      </c>
      <c r="K130" s="55">
        <f t="shared" si="26"/>
        <v>795</v>
      </c>
      <c r="L130" s="55">
        <f t="shared" si="26"/>
        <v>1744</v>
      </c>
      <c r="M130" s="55">
        <f t="shared" si="26"/>
        <v>767</v>
      </c>
      <c r="N130" s="55">
        <f t="shared" si="26"/>
        <v>1819</v>
      </c>
      <c r="O130" s="55">
        <f t="shared" si="26"/>
        <v>851</v>
      </c>
      <c r="P130" s="55">
        <f t="shared" si="26"/>
        <v>1268</v>
      </c>
      <c r="Q130" s="55">
        <f t="shared" si="26"/>
        <v>756</v>
      </c>
      <c r="R130" s="55">
        <f t="shared" si="26"/>
        <v>1316</v>
      </c>
      <c r="S130" s="55">
        <f t="shared" si="26"/>
        <v>794</v>
      </c>
      <c r="T130" s="55">
        <f t="shared" si="26"/>
        <v>1392</v>
      </c>
      <c r="U130" s="55">
        <f t="shared" si="26"/>
        <v>834</v>
      </c>
      <c r="V130" s="55">
        <f t="shared" si="26"/>
        <v>1159</v>
      </c>
      <c r="W130" s="55">
        <f t="shared" si="26"/>
        <v>690</v>
      </c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29" customFormat="1" ht="12.75">
      <c r="A131" s="9"/>
      <c r="B131" s="10" t="s">
        <v>4</v>
      </c>
      <c r="C131" s="2"/>
      <c r="D131" s="46">
        <v>604</v>
      </c>
      <c r="E131" s="44">
        <v>0</v>
      </c>
      <c r="F131" s="60">
        <v>559</v>
      </c>
      <c r="G131" s="44">
        <v>0</v>
      </c>
      <c r="H131" s="60">
        <v>33</v>
      </c>
      <c r="I131" s="44">
        <v>0</v>
      </c>
      <c r="J131" s="60">
        <v>5</v>
      </c>
      <c r="K131" s="44"/>
      <c r="L131" s="60">
        <v>36</v>
      </c>
      <c r="M131" s="44"/>
      <c r="N131" s="60">
        <v>86</v>
      </c>
      <c r="O131" s="44"/>
      <c r="P131" s="60">
        <v>45</v>
      </c>
      <c r="Q131" s="44"/>
      <c r="R131" s="60">
        <v>33</v>
      </c>
      <c r="S131" s="44"/>
      <c r="T131" s="60">
        <v>19</v>
      </c>
      <c r="U131" s="44"/>
      <c r="V131" s="60">
        <v>16</v>
      </c>
      <c r="W131" s="44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</row>
    <row r="132" spans="1:35" s="2" customFormat="1" ht="12.75">
      <c r="A132" s="9"/>
      <c r="B132" s="10" t="s">
        <v>76</v>
      </c>
      <c r="D132" s="46">
        <v>572</v>
      </c>
      <c r="E132" s="44">
        <v>81</v>
      </c>
      <c r="F132" s="60">
        <v>897</v>
      </c>
      <c r="G132" s="44">
        <v>202.2303965872528</v>
      </c>
      <c r="H132" s="60">
        <v>730</v>
      </c>
      <c r="I132" s="44">
        <v>21</v>
      </c>
      <c r="J132" s="60">
        <v>607</v>
      </c>
      <c r="K132" s="44">
        <v>20</v>
      </c>
      <c r="L132" s="60">
        <v>462</v>
      </c>
      <c r="M132" s="44">
        <v>23</v>
      </c>
      <c r="N132" s="60">
        <v>604</v>
      </c>
      <c r="O132" s="44">
        <v>52</v>
      </c>
      <c r="P132" s="60">
        <v>281</v>
      </c>
      <c r="Q132" s="44">
        <v>1</v>
      </c>
      <c r="R132" s="60">
        <v>344</v>
      </c>
      <c r="S132" s="44">
        <v>9</v>
      </c>
      <c r="T132" s="60">
        <v>514</v>
      </c>
      <c r="U132" s="44">
        <v>121</v>
      </c>
      <c r="V132" s="60">
        <v>336</v>
      </c>
      <c r="W132" s="44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2" customFormat="1" ht="12.75">
      <c r="A133" s="31"/>
      <c r="B133" s="32" t="s">
        <v>86</v>
      </c>
      <c r="C133" s="127"/>
      <c r="D133" s="57">
        <v>285</v>
      </c>
      <c r="E133" s="45">
        <v>0</v>
      </c>
      <c r="F133" s="63">
        <v>198</v>
      </c>
      <c r="G133" s="45">
        <v>0</v>
      </c>
      <c r="H133" s="63">
        <v>1320</v>
      </c>
      <c r="I133" s="45">
        <v>808</v>
      </c>
      <c r="J133" s="63">
        <v>1465</v>
      </c>
      <c r="K133" s="45">
        <v>775</v>
      </c>
      <c r="L133" s="63">
        <v>1246</v>
      </c>
      <c r="M133" s="45">
        <v>744</v>
      </c>
      <c r="N133" s="63">
        <v>1129</v>
      </c>
      <c r="O133" s="45">
        <v>799</v>
      </c>
      <c r="P133" s="63">
        <v>942</v>
      </c>
      <c r="Q133" s="45">
        <v>755</v>
      </c>
      <c r="R133" s="63">
        <v>939</v>
      </c>
      <c r="S133" s="45">
        <v>785</v>
      </c>
      <c r="T133" s="63">
        <v>859</v>
      </c>
      <c r="U133" s="45">
        <v>713</v>
      </c>
      <c r="V133" s="63">
        <v>807</v>
      </c>
      <c r="W133" s="45">
        <v>690</v>
      </c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2" customFormat="1" ht="12.75">
      <c r="A134" s="113" t="s">
        <v>166</v>
      </c>
      <c r="B134" s="93"/>
      <c r="C134" s="93"/>
      <c r="D134" s="112">
        <f>SUM(D135:D139)</f>
        <v>385</v>
      </c>
      <c r="E134" s="112">
        <f aca="true" t="shared" si="27" ref="E134:W134">SUM(E135:E139)</f>
        <v>0</v>
      </c>
      <c r="F134" s="112">
        <f t="shared" si="27"/>
        <v>352</v>
      </c>
      <c r="G134" s="112">
        <f t="shared" si="27"/>
        <v>0</v>
      </c>
      <c r="H134" s="112">
        <f t="shared" si="27"/>
        <v>255</v>
      </c>
      <c r="I134" s="112">
        <f t="shared" si="27"/>
        <v>0</v>
      </c>
      <c r="J134" s="112">
        <f t="shared" si="27"/>
        <v>829</v>
      </c>
      <c r="K134" s="112">
        <f t="shared" si="27"/>
        <v>0</v>
      </c>
      <c r="L134" s="112">
        <f t="shared" si="27"/>
        <v>900</v>
      </c>
      <c r="M134" s="112">
        <f t="shared" si="27"/>
        <v>0</v>
      </c>
      <c r="N134" s="112">
        <f t="shared" si="27"/>
        <v>960</v>
      </c>
      <c r="O134" s="112">
        <f t="shared" si="27"/>
        <v>140</v>
      </c>
      <c r="P134" s="112">
        <f t="shared" si="27"/>
        <v>589</v>
      </c>
      <c r="Q134" s="112">
        <f t="shared" si="27"/>
        <v>26</v>
      </c>
      <c r="R134" s="112">
        <f t="shared" si="27"/>
        <v>686</v>
      </c>
      <c r="S134" s="112">
        <f t="shared" si="27"/>
        <v>53</v>
      </c>
      <c r="T134" s="112">
        <f t="shared" si="27"/>
        <v>590</v>
      </c>
      <c r="U134" s="112">
        <f t="shared" si="27"/>
        <v>43</v>
      </c>
      <c r="V134" s="112">
        <f t="shared" si="27"/>
        <v>1021</v>
      </c>
      <c r="W134" s="112">
        <f t="shared" si="27"/>
        <v>0</v>
      </c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2" customFormat="1" ht="12.75">
      <c r="A135" s="25"/>
      <c r="B135" s="20" t="s">
        <v>3</v>
      </c>
      <c r="C135" s="20"/>
      <c r="D135" s="46">
        <f>ROUND((153/1936.27)*1000,0)</f>
        <v>79</v>
      </c>
      <c r="E135" s="39"/>
      <c r="F135" s="43">
        <v>98</v>
      </c>
      <c r="G135" s="39"/>
      <c r="H135" s="43">
        <v>66</v>
      </c>
      <c r="I135" s="39"/>
      <c r="J135" s="43">
        <v>57</v>
      </c>
      <c r="K135" s="39"/>
      <c r="L135" s="43">
        <v>60</v>
      </c>
      <c r="M135" s="39"/>
      <c r="N135" s="43">
        <v>33</v>
      </c>
      <c r="O135" s="39"/>
      <c r="P135" s="43">
        <v>25</v>
      </c>
      <c r="Q135" s="39"/>
      <c r="R135" s="43">
        <v>137</v>
      </c>
      <c r="S135" s="39"/>
      <c r="T135" s="43">
        <v>69</v>
      </c>
      <c r="U135" s="39"/>
      <c r="V135" s="43">
        <v>28</v>
      </c>
      <c r="W135" s="39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2" customFormat="1" ht="12.75">
      <c r="A136" s="25"/>
      <c r="B136" s="20" t="s">
        <v>167</v>
      </c>
      <c r="C136" s="20"/>
      <c r="D136" s="46"/>
      <c r="E136" s="39"/>
      <c r="F136" s="43"/>
      <c r="G136" s="39"/>
      <c r="H136" s="43"/>
      <c r="I136" s="39"/>
      <c r="J136" s="43">
        <v>570</v>
      </c>
      <c r="K136" s="39"/>
      <c r="L136" s="43">
        <v>633</v>
      </c>
      <c r="M136" s="39"/>
      <c r="N136" s="43">
        <v>668</v>
      </c>
      <c r="O136" s="39"/>
      <c r="P136" s="43">
        <v>425</v>
      </c>
      <c r="Q136" s="39"/>
      <c r="R136" s="43">
        <v>424</v>
      </c>
      <c r="S136" s="39"/>
      <c r="T136" s="43">
        <v>424</v>
      </c>
      <c r="U136" s="39"/>
      <c r="V136" s="43">
        <v>383</v>
      </c>
      <c r="W136" s="39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47" customFormat="1" ht="12.75">
      <c r="A137" s="25"/>
      <c r="B137" s="20" t="s">
        <v>91</v>
      </c>
      <c r="C137" s="20"/>
      <c r="D137" s="46">
        <f>ROUND((258/1936.27)*1000,0)+23</f>
        <v>156</v>
      </c>
      <c r="E137" s="39"/>
      <c r="F137" s="43">
        <v>127</v>
      </c>
      <c r="G137" s="39"/>
      <c r="H137" s="43">
        <v>116</v>
      </c>
      <c r="I137" s="39"/>
      <c r="J137" s="43">
        <v>131</v>
      </c>
      <c r="K137" s="39"/>
      <c r="L137" s="43">
        <v>83</v>
      </c>
      <c r="M137" s="39"/>
      <c r="N137" s="43">
        <v>56</v>
      </c>
      <c r="O137" s="39"/>
      <c r="P137" s="43">
        <v>23</v>
      </c>
      <c r="Q137" s="39"/>
      <c r="R137" s="43">
        <v>21</v>
      </c>
      <c r="S137" s="39"/>
      <c r="T137" s="43">
        <v>1</v>
      </c>
      <c r="U137" s="39"/>
      <c r="V137" s="43">
        <v>33</v>
      </c>
      <c r="W137" s="39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</row>
    <row r="138" spans="1:35" s="2" customFormat="1" ht="12.75">
      <c r="A138" s="25"/>
      <c r="B138" s="20" t="s">
        <v>103</v>
      </c>
      <c r="C138" s="20"/>
      <c r="D138" s="46"/>
      <c r="E138" s="39"/>
      <c r="F138" s="43"/>
      <c r="G138" s="39"/>
      <c r="H138" s="43"/>
      <c r="I138" s="39"/>
      <c r="J138" s="43"/>
      <c r="K138" s="39"/>
      <c r="L138" s="43"/>
      <c r="M138" s="39"/>
      <c r="N138" s="43">
        <v>140</v>
      </c>
      <c r="O138" s="39">
        <v>140</v>
      </c>
      <c r="P138" s="43">
        <v>26</v>
      </c>
      <c r="Q138" s="39">
        <v>26</v>
      </c>
      <c r="R138" s="43">
        <v>53</v>
      </c>
      <c r="S138" s="39">
        <v>53</v>
      </c>
      <c r="T138" s="43">
        <v>43</v>
      </c>
      <c r="U138" s="39">
        <v>43</v>
      </c>
      <c r="V138" s="43"/>
      <c r="W138" s="39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2" customFormat="1" ht="12.75">
      <c r="A139" s="25"/>
      <c r="B139" s="20" t="s">
        <v>82</v>
      </c>
      <c r="C139" s="20"/>
      <c r="D139" s="46">
        <f>ROUND((291/1936.27)*1000,0)</f>
        <v>150</v>
      </c>
      <c r="E139" s="39"/>
      <c r="F139" s="43">
        <v>127</v>
      </c>
      <c r="G139" s="39"/>
      <c r="H139" s="43">
        <v>73</v>
      </c>
      <c r="I139" s="39"/>
      <c r="J139" s="43">
        <v>71</v>
      </c>
      <c r="K139" s="39"/>
      <c r="L139" s="43">
        <v>124</v>
      </c>
      <c r="M139" s="39"/>
      <c r="N139" s="43">
        <v>63</v>
      </c>
      <c r="O139" s="39"/>
      <c r="P139" s="43">
        <v>90</v>
      </c>
      <c r="Q139" s="39"/>
      <c r="R139" s="43">
        <v>51</v>
      </c>
      <c r="S139" s="39"/>
      <c r="T139" s="43">
        <v>53</v>
      </c>
      <c r="U139" s="39"/>
      <c r="V139" s="43">
        <v>577</v>
      </c>
      <c r="W139" s="39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2" customFormat="1" ht="12.75">
      <c r="A140" s="113" t="s">
        <v>47</v>
      </c>
      <c r="B140" s="93"/>
      <c r="C140" s="93"/>
      <c r="D140" s="112">
        <f>+D141+D153+D161+D170+D179+D187+D194+D202+D210+D218</f>
        <v>44913.5</v>
      </c>
      <c r="E140" s="112">
        <f aca="true" t="shared" si="28" ref="E140:W140">+E141+E153+E161+E170+E179+E187+E194+E202+E210+E218</f>
        <v>2776</v>
      </c>
      <c r="F140" s="112">
        <f t="shared" si="28"/>
        <v>46501</v>
      </c>
      <c r="G140" s="112">
        <f t="shared" si="28"/>
        <v>1831.108905266311</v>
      </c>
      <c r="H140" s="112">
        <f t="shared" si="28"/>
        <v>50253</v>
      </c>
      <c r="I140" s="112">
        <f t="shared" si="28"/>
        <v>3986</v>
      </c>
      <c r="J140" s="112">
        <f t="shared" si="28"/>
        <v>55174</v>
      </c>
      <c r="K140" s="112">
        <f t="shared" si="28"/>
        <v>6041</v>
      </c>
      <c r="L140" s="112">
        <f t="shared" si="28"/>
        <v>64113</v>
      </c>
      <c r="M140" s="112">
        <f t="shared" si="28"/>
        <v>9299</v>
      </c>
      <c r="N140" s="112">
        <f t="shared" si="28"/>
        <v>61826</v>
      </c>
      <c r="O140" s="112">
        <f t="shared" si="28"/>
        <v>8177</v>
      </c>
      <c r="P140" s="112">
        <f t="shared" si="28"/>
        <v>63217</v>
      </c>
      <c r="Q140" s="112">
        <f t="shared" si="28"/>
        <v>5241</v>
      </c>
      <c r="R140" s="112">
        <f t="shared" si="28"/>
        <v>66195</v>
      </c>
      <c r="S140" s="112">
        <f t="shared" si="28"/>
        <v>7074</v>
      </c>
      <c r="T140" s="112">
        <f t="shared" si="28"/>
        <v>68933</v>
      </c>
      <c r="U140" s="112">
        <f t="shared" si="28"/>
        <v>7629</v>
      </c>
      <c r="V140" s="112">
        <f t="shared" si="28"/>
        <v>69477</v>
      </c>
      <c r="W140" s="112">
        <f t="shared" si="28"/>
        <v>11064</v>
      </c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2" customFormat="1" ht="12.75">
      <c r="A141" s="111" t="s">
        <v>168</v>
      </c>
      <c r="B141" s="92"/>
      <c r="C141" s="92"/>
      <c r="D141" s="59">
        <f>SUM(D142:D152)</f>
        <v>17436</v>
      </c>
      <c r="E141" s="59">
        <f aca="true" t="shared" si="29" ref="E141:W141">SUM(E142:E152)</f>
        <v>2171</v>
      </c>
      <c r="F141" s="59">
        <f t="shared" si="29"/>
        <v>17874</v>
      </c>
      <c r="G141" s="59">
        <f t="shared" si="29"/>
        <v>1812</v>
      </c>
      <c r="H141" s="59">
        <f t="shared" si="29"/>
        <v>20140</v>
      </c>
      <c r="I141" s="59">
        <f t="shared" si="29"/>
        <v>3955</v>
      </c>
      <c r="J141" s="59">
        <f t="shared" si="29"/>
        <v>22474</v>
      </c>
      <c r="K141" s="59">
        <f t="shared" si="29"/>
        <v>5767</v>
      </c>
      <c r="L141" s="59">
        <f t="shared" si="29"/>
        <v>30977</v>
      </c>
      <c r="M141" s="59">
        <f t="shared" si="29"/>
        <v>8987</v>
      </c>
      <c r="N141" s="59">
        <f t="shared" si="29"/>
        <v>27321</v>
      </c>
      <c r="O141" s="59">
        <f t="shared" si="29"/>
        <v>7953</v>
      </c>
      <c r="P141" s="59">
        <f t="shared" si="29"/>
        <v>28587</v>
      </c>
      <c r="Q141" s="59">
        <f t="shared" si="29"/>
        <v>5069</v>
      </c>
      <c r="R141" s="59">
        <f t="shared" si="29"/>
        <v>30515</v>
      </c>
      <c r="S141" s="59">
        <f t="shared" si="29"/>
        <v>6295</v>
      </c>
      <c r="T141" s="59">
        <f t="shared" si="29"/>
        <v>32216</v>
      </c>
      <c r="U141" s="59">
        <f t="shared" si="29"/>
        <v>6543</v>
      </c>
      <c r="V141" s="59">
        <f t="shared" si="29"/>
        <v>34708</v>
      </c>
      <c r="W141" s="59">
        <f t="shared" si="29"/>
        <v>9278</v>
      </c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2" customFormat="1" ht="12.75">
      <c r="A142" s="25"/>
      <c r="B142" s="20" t="s">
        <v>4</v>
      </c>
      <c r="D142" s="46">
        <v>967</v>
      </c>
      <c r="E142" s="39">
        <v>8</v>
      </c>
      <c r="F142" s="38">
        <v>876</v>
      </c>
      <c r="G142" s="43"/>
      <c r="H142" s="38">
        <v>919</v>
      </c>
      <c r="I142" s="43">
        <v>7</v>
      </c>
      <c r="J142" s="38">
        <v>60</v>
      </c>
      <c r="K142" s="43">
        <v>7</v>
      </c>
      <c r="L142" s="38">
        <v>42</v>
      </c>
      <c r="M142" s="43">
        <v>42</v>
      </c>
      <c r="N142" s="38">
        <v>19</v>
      </c>
      <c r="O142" s="43"/>
      <c r="P142" s="38"/>
      <c r="Q142" s="43"/>
      <c r="R142" s="38">
        <v>74</v>
      </c>
      <c r="S142" s="43"/>
      <c r="T142" s="38">
        <v>132</v>
      </c>
      <c r="U142" s="43">
        <v>129</v>
      </c>
      <c r="V142" s="38">
        <v>656</v>
      </c>
      <c r="W142" s="43">
        <v>656</v>
      </c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2" customFormat="1" ht="12.75">
      <c r="A143" s="25"/>
      <c r="B143" s="19" t="s">
        <v>61</v>
      </c>
      <c r="D143" s="46">
        <f>ROUND((2019/1936.27)*1000,0)</f>
        <v>1043</v>
      </c>
      <c r="E143" s="39">
        <f>ROUND(247831/1936.27,0)</f>
        <v>128</v>
      </c>
      <c r="F143" s="38">
        <v>1990</v>
      </c>
      <c r="G143" s="39">
        <f>ROUND((568177/1936.27),0)</f>
        <v>293</v>
      </c>
      <c r="H143" s="38">
        <v>2521</v>
      </c>
      <c r="I143" s="39">
        <v>543</v>
      </c>
      <c r="J143" s="38">
        <v>2410</v>
      </c>
      <c r="K143" s="39">
        <v>486</v>
      </c>
      <c r="L143" s="38">
        <v>2612</v>
      </c>
      <c r="M143" s="39">
        <v>517</v>
      </c>
      <c r="N143" s="38">
        <v>3037</v>
      </c>
      <c r="O143" s="39">
        <v>517</v>
      </c>
      <c r="P143" s="38">
        <v>2857</v>
      </c>
      <c r="Q143" s="39">
        <v>413</v>
      </c>
      <c r="R143" s="38">
        <v>2600</v>
      </c>
      <c r="S143" s="39">
        <v>672</v>
      </c>
      <c r="T143" s="38">
        <v>2288</v>
      </c>
      <c r="U143" s="39">
        <v>787</v>
      </c>
      <c r="V143" s="38">
        <v>2520</v>
      </c>
      <c r="W143" s="39">
        <v>789</v>
      </c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2" customFormat="1" ht="12.75">
      <c r="A144" s="25"/>
      <c r="B144" s="19" t="s">
        <v>59</v>
      </c>
      <c r="D144" s="46"/>
      <c r="E144" s="39"/>
      <c r="F144" s="38"/>
      <c r="G144" s="43"/>
      <c r="H144" s="38">
        <v>368</v>
      </c>
      <c r="I144" s="43"/>
      <c r="J144" s="38">
        <v>1198</v>
      </c>
      <c r="K144" s="43">
        <v>366</v>
      </c>
      <c r="L144" s="38">
        <v>5330</v>
      </c>
      <c r="M144" s="43">
        <v>4424</v>
      </c>
      <c r="N144" s="38">
        <v>1282</v>
      </c>
      <c r="O144" s="43">
        <v>527</v>
      </c>
      <c r="P144" s="38">
        <v>855</v>
      </c>
      <c r="Q144" s="43">
        <v>229</v>
      </c>
      <c r="R144" s="38">
        <v>851</v>
      </c>
      <c r="S144" s="43">
        <v>152</v>
      </c>
      <c r="T144" s="38">
        <v>456</v>
      </c>
      <c r="U144" s="43">
        <v>130</v>
      </c>
      <c r="V144" s="38">
        <v>930</v>
      </c>
      <c r="W144" s="43">
        <v>456</v>
      </c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2" customFormat="1" ht="12.75">
      <c r="A145" s="25"/>
      <c r="B145" s="19" t="s">
        <v>16</v>
      </c>
      <c r="D145" s="46">
        <f>ROUND((12765/1936.27)*1000,0)</f>
        <v>6593</v>
      </c>
      <c r="E145" s="39">
        <f>+ROUND(1834790/1936.27,0)</f>
        <v>948</v>
      </c>
      <c r="F145" s="38">
        <v>6410</v>
      </c>
      <c r="G145" s="43">
        <f>ROUND((1847271/1936.27),0)</f>
        <v>954</v>
      </c>
      <c r="H145" s="38">
        <v>6203</v>
      </c>
      <c r="I145" s="43">
        <v>910</v>
      </c>
      <c r="J145" s="38">
        <v>6123</v>
      </c>
      <c r="K145" s="43">
        <v>861</v>
      </c>
      <c r="L145" s="38">
        <v>8259</v>
      </c>
      <c r="M145" s="43">
        <v>1395</v>
      </c>
      <c r="N145" s="38">
        <v>8050</v>
      </c>
      <c r="O145" s="43">
        <v>1453</v>
      </c>
      <c r="P145" s="38">
        <v>8255</v>
      </c>
      <c r="Q145" s="43">
        <v>1238</v>
      </c>
      <c r="R145" s="38">
        <v>9094</v>
      </c>
      <c r="S145" s="43">
        <v>462</v>
      </c>
      <c r="T145" s="38">
        <v>12227</v>
      </c>
      <c r="U145" s="43">
        <v>2324</v>
      </c>
      <c r="V145" s="38">
        <v>13346</v>
      </c>
      <c r="W145" s="43">
        <v>2645</v>
      </c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2" customFormat="1" ht="12.75">
      <c r="A146" s="25"/>
      <c r="B146" s="19" t="s">
        <v>60</v>
      </c>
      <c r="D146" s="46"/>
      <c r="E146" s="39"/>
      <c r="F146" s="38"/>
      <c r="G146" s="43"/>
      <c r="H146" s="38">
        <v>1041</v>
      </c>
      <c r="I146" s="43">
        <v>424</v>
      </c>
      <c r="J146" s="38">
        <v>1910</v>
      </c>
      <c r="K146" s="43">
        <v>830</v>
      </c>
      <c r="L146" s="38">
        <v>1117</v>
      </c>
      <c r="M146" s="43">
        <v>153</v>
      </c>
      <c r="N146" s="38">
        <v>1803</v>
      </c>
      <c r="O146" s="43">
        <v>1715</v>
      </c>
      <c r="P146" s="38">
        <v>1612</v>
      </c>
      <c r="Q146" s="43">
        <v>772</v>
      </c>
      <c r="R146" s="38">
        <v>2606</v>
      </c>
      <c r="S146" s="43">
        <v>1627</v>
      </c>
      <c r="T146" s="38">
        <v>1801</v>
      </c>
      <c r="U146" s="43">
        <v>855</v>
      </c>
      <c r="V146" s="38">
        <v>1779</v>
      </c>
      <c r="W146" s="43">
        <v>845</v>
      </c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2" customFormat="1" ht="12.75">
      <c r="A147" s="25"/>
      <c r="B147" s="19" t="s">
        <v>50</v>
      </c>
      <c r="D147" s="46">
        <f>ROUND((7815/1936.27)*1000,0)</f>
        <v>4036</v>
      </c>
      <c r="E147" s="39"/>
      <c r="F147" s="38">
        <v>4063</v>
      </c>
      <c r="G147" s="39"/>
      <c r="H147" s="38">
        <v>5251</v>
      </c>
      <c r="I147" s="39">
        <v>838</v>
      </c>
      <c r="J147" s="38">
        <v>5775</v>
      </c>
      <c r="K147" s="39">
        <v>1190</v>
      </c>
      <c r="L147" s="38">
        <v>7770</v>
      </c>
      <c r="M147" s="39">
        <v>302</v>
      </c>
      <c r="N147" s="38">
        <v>6961</v>
      </c>
      <c r="O147" s="39">
        <v>1955</v>
      </c>
      <c r="P147" s="38">
        <v>8188</v>
      </c>
      <c r="Q147" s="39">
        <v>930</v>
      </c>
      <c r="R147" s="38">
        <v>8255</v>
      </c>
      <c r="S147" s="39">
        <v>1262</v>
      </c>
      <c r="T147" s="38">
        <v>7990</v>
      </c>
      <c r="U147" s="39">
        <v>783</v>
      </c>
      <c r="V147" s="38">
        <v>6910</v>
      </c>
      <c r="W147" s="39">
        <v>2392</v>
      </c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2" customFormat="1" ht="12.75">
      <c r="A148" s="25"/>
      <c r="B148" s="19" t="s">
        <v>17</v>
      </c>
      <c r="D148" s="46">
        <f>ROUND((6537/1936.27)*1000,0)</f>
        <v>3376</v>
      </c>
      <c r="E148" s="39">
        <f>ROUND(1533955/1936.27,0)</f>
        <v>792</v>
      </c>
      <c r="F148" s="38">
        <v>2520</v>
      </c>
      <c r="G148" s="43">
        <f>ROUND((244356/1936.27),0)</f>
        <v>126</v>
      </c>
      <c r="H148" s="38">
        <v>3837</v>
      </c>
      <c r="I148" s="43">
        <v>1233</v>
      </c>
      <c r="J148" s="38">
        <v>2849</v>
      </c>
      <c r="K148" s="43">
        <v>1035</v>
      </c>
      <c r="L148" s="38">
        <v>3241</v>
      </c>
      <c r="M148" s="43">
        <v>1207</v>
      </c>
      <c r="N148" s="38">
        <v>3159</v>
      </c>
      <c r="O148" s="43">
        <v>1070</v>
      </c>
      <c r="P148" s="38">
        <v>2440</v>
      </c>
      <c r="Q148" s="43">
        <v>748</v>
      </c>
      <c r="R148" s="38">
        <v>1930</v>
      </c>
      <c r="S148" s="43">
        <v>748</v>
      </c>
      <c r="T148" s="38">
        <v>1707</v>
      </c>
      <c r="U148" s="43">
        <v>585</v>
      </c>
      <c r="V148" s="38">
        <v>1738</v>
      </c>
      <c r="W148" s="43">
        <v>452</v>
      </c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2" customFormat="1" ht="12.75">
      <c r="A149" s="25"/>
      <c r="B149" s="19" t="s">
        <v>109</v>
      </c>
      <c r="D149" s="46"/>
      <c r="E149" s="39"/>
      <c r="F149" s="38"/>
      <c r="G149" s="39"/>
      <c r="H149" s="38"/>
      <c r="I149" s="39"/>
      <c r="J149" s="38">
        <v>839</v>
      </c>
      <c r="K149" s="39">
        <v>443</v>
      </c>
      <c r="L149" s="38">
        <v>1300</v>
      </c>
      <c r="M149" s="39">
        <v>431</v>
      </c>
      <c r="N149" s="38">
        <v>1992</v>
      </c>
      <c r="O149" s="39">
        <v>147</v>
      </c>
      <c r="P149" s="38">
        <v>3105</v>
      </c>
      <c r="Q149" s="39">
        <v>65</v>
      </c>
      <c r="R149" s="38">
        <v>3790</v>
      </c>
      <c r="S149" s="39">
        <v>484</v>
      </c>
      <c r="T149" s="38">
        <v>4857</v>
      </c>
      <c r="U149" s="39">
        <v>734</v>
      </c>
      <c r="V149" s="38">
        <v>5981</v>
      </c>
      <c r="W149" s="39">
        <v>809</v>
      </c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2" customFormat="1" ht="12.75">
      <c r="A150" s="25"/>
      <c r="B150" s="19" t="s">
        <v>108</v>
      </c>
      <c r="D150" s="46"/>
      <c r="E150" s="39"/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38"/>
      <c r="S150" s="39"/>
      <c r="T150" s="38">
        <v>100</v>
      </c>
      <c r="U150" s="39"/>
      <c r="V150" s="38">
        <v>100</v>
      </c>
      <c r="W150" s="39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2" customFormat="1" ht="12.75">
      <c r="A151" s="25"/>
      <c r="B151" s="10" t="s">
        <v>87</v>
      </c>
      <c r="D151" s="46"/>
      <c r="E151" s="39"/>
      <c r="F151" s="38"/>
      <c r="G151" s="39"/>
      <c r="H151" s="38"/>
      <c r="I151" s="39"/>
      <c r="J151" s="38">
        <v>1310</v>
      </c>
      <c r="K151" s="39">
        <v>549</v>
      </c>
      <c r="L151" s="38">
        <v>1306</v>
      </c>
      <c r="M151" s="39">
        <v>516</v>
      </c>
      <c r="N151" s="38">
        <v>1018</v>
      </c>
      <c r="O151" s="39">
        <v>569</v>
      </c>
      <c r="P151" s="38">
        <v>1275</v>
      </c>
      <c r="Q151" s="39">
        <v>674</v>
      </c>
      <c r="R151" s="38">
        <v>1315</v>
      </c>
      <c r="S151" s="39">
        <v>888</v>
      </c>
      <c r="T151" s="38">
        <v>658</v>
      </c>
      <c r="U151" s="39">
        <v>216</v>
      </c>
      <c r="V151" s="38">
        <v>748</v>
      </c>
      <c r="W151" s="39">
        <v>234</v>
      </c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2" customFormat="1" ht="12.75">
      <c r="A152" s="88"/>
      <c r="B152" s="21" t="s">
        <v>57</v>
      </c>
      <c r="D152" s="80">
        <f>ROUND((2752/1936.27)*1000,0)</f>
        <v>1421</v>
      </c>
      <c r="E152" s="79">
        <f>ROUND(570922/1936.27,0)</f>
        <v>295</v>
      </c>
      <c r="F152" s="77">
        <v>2015</v>
      </c>
      <c r="G152" s="56">
        <f>ROUND((850534/1936.27),0)</f>
        <v>439</v>
      </c>
      <c r="H152" s="77"/>
      <c r="I152" s="56"/>
      <c r="J152" s="77"/>
      <c r="K152" s="56"/>
      <c r="L152" s="77"/>
      <c r="M152" s="56"/>
      <c r="N152" s="77"/>
      <c r="O152" s="56"/>
      <c r="P152" s="77"/>
      <c r="Q152" s="56"/>
      <c r="R152" s="77"/>
      <c r="S152" s="56"/>
      <c r="T152" s="77"/>
      <c r="U152" s="56"/>
      <c r="V152" s="77"/>
      <c r="W152" s="56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2" customFormat="1" ht="12.75">
      <c r="A153" s="90" t="s">
        <v>19</v>
      </c>
      <c r="B153" s="91"/>
      <c r="C153" s="91"/>
      <c r="D153" s="55">
        <f>SUM(D154:D160)</f>
        <v>1577</v>
      </c>
      <c r="E153" s="55">
        <f>SUM(E154:E160)</f>
        <v>0</v>
      </c>
      <c r="F153" s="55">
        <f>SUM(F154:F160)+1</f>
        <v>1657</v>
      </c>
      <c r="G153" s="55">
        <f aca="true" t="shared" si="30" ref="G153:U153">SUM(G154:G160)</f>
        <v>0</v>
      </c>
      <c r="H153" s="55">
        <f t="shared" si="30"/>
        <v>1762</v>
      </c>
      <c r="I153" s="55">
        <f t="shared" si="30"/>
        <v>0</v>
      </c>
      <c r="J153" s="55">
        <f t="shared" si="30"/>
        <v>1864</v>
      </c>
      <c r="K153" s="55">
        <f t="shared" si="30"/>
        <v>37</v>
      </c>
      <c r="L153" s="55">
        <f t="shared" si="30"/>
        <v>1881</v>
      </c>
      <c r="M153" s="55">
        <f t="shared" si="30"/>
        <v>27</v>
      </c>
      <c r="N153" s="55">
        <f t="shared" si="30"/>
        <v>2138</v>
      </c>
      <c r="O153" s="55">
        <f t="shared" si="30"/>
        <v>16</v>
      </c>
      <c r="P153" s="55">
        <f t="shared" si="30"/>
        <v>2163</v>
      </c>
      <c r="Q153" s="55">
        <f t="shared" si="30"/>
        <v>30</v>
      </c>
      <c r="R153" s="55">
        <f t="shared" si="30"/>
        <v>2170</v>
      </c>
      <c r="S153" s="55">
        <f t="shared" si="30"/>
        <v>27</v>
      </c>
      <c r="T153" s="55">
        <f t="shared" si="30"/>
        <v>2424</v>
      </c>
      <c r="U153" s="55">
        <f t="shared" si="30"/>
        <v>247</v>
      </c>
      <c r="V153" s="55">
        <f>SUM(V154:V160)</f>
        <v>2514</v>
      </c>
      <c r="W153" s="55">
        <f>SUM(W154:W160)</f>
        <v>131</v>
      </c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2" customFormat="1" ht="12.75">
      <c r="A154" s="10"/>
      <c r="B154" s="10" t="s">
        <v>20</v>
      </c>
      <c r="D154" s="65">
        <f>ROUND(474*1000/1936.27,0)</f>
        <v>245</v>
      </c>
      <c r="E154" s="46"/>
      <c r="F154" s="65">
        <f>ROUND((508000/1936.27),0)</f>
        <v>262</v>
      </c>
      <c r="G154" s="44"/>
      <c r="H154" s="65">
        <v>281</v>
      </c>
      <c r="I154" s="44"/>
      <c r="J154" s="65">
        <v>229</v>
      </c>
      <c r="K154" s="44"/>
      <c r="L154" s="65">
        <v>259</v>
      </c>
      <c r="M154" s="44"/>
      <c r="N154" s="65">
        <v>306</v>
      </c>
      <c r="O154" s="44"/>
      <c r="P154" s="65">
        <v>225</v>
      </c>
      <c r="Q154" s="44"/>
      <c r="R154" s="65">
        <v>225</v>
      </c>
      <c r="S154" s="44"/>
      <c r="T154" s="65">
        <v>255</v>
      </c>
      <c r="U154" s="44"/>
      <c r="V154" s="65">
        <v>131</v>
      </c>
      <c r="W154" s="44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2" customFormat="1" ht="12.75">
      <c r="A155" s="10"/>
      <c r="B155" s="10" t="s">
        <v>21</v>
      </c>
      <c r="D155" s="65">
        <f>ROUND(1825*1000/1936.27,0)</f>
        <v>943</v>
      </c>
      <c r="E155" s="44"/>
      <c r="F155" s="65">
        <f>ROUND((1833000/1936.27),0)</f>
        <v>947</v>
      </c>
      <c r="G155" s="44"/>
      <c r="H155" s="65">
        <v>959</v>
      </c>
      <c r="I155" s="44"/>
      <c r="J155" s="65">
        <v>1093</v>
      </c>
      <c r="K155" s="44"/>
      <c r="L155" s="65">
        <v>1088</v>
      </c>
      <c r="M155" s="44"/>
      <c r="N155" s="65">
        <v>1286</v>
      </c>
      <c r="O155" s="44"/>
      <c r="P155" s="65">
        <v>1260</v>
      </c>
      <c r="Q155" s="44">
        <v>30</v>
      </c>
      <c r="R155" s="65">
        <v>1237</v>
      </c>
      <c r="S155" s="44">
        <v>27</v>
      </c>
      <c r="T155" s="65">
        <v>1337</v>
      </c>
      <c r="U155" s="44">
        <v>247</v>
      </c>
      <c r="V155" s="65">
        <v>1355</v>
      </c>
      <c r="W155" s="44">
        <v>131</v>
      </c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2" customFormat="1" ht="12.75">
      <c r="A156" s="10"/>
      <c r="B156" s="10" t="s">
        <v>169</v>
      </c>
      <c r="D156" s="65"/>
      <c r="E156" s="44"/>
      <c r="F156" s="65"/>
      <c r="G156" s="44"/>
      <c r="H156" s="65"/>
      <c r="I156" s="44"/>
      <c r="J156" s="65">
        <v>37</v>
      </c>
      <c r="K156" s="44">
        <v>37</v>
      </c>
      <c r="L156" s="65">
        <v>27</v>
      </c>
      <c r="M156" s="44">
        <v>27</v>
      </c>
      <c r="N156" s="65">
        <v>16</v>
      </c>
      <c r="O156" s="44">
        <v>16</v>
      </c>
      <c r="P156" s="65">
        <v>20</v>
      </c>
      <c r="Q156" s="44"/>
      <c r="R156" s="65"/>
      <c r="S156" s="44"/>
      <c r="T156" s="65"/>
      <c r="U156" s="44"/>
      <c r="V156" s="65">
        <v>5</v>
      </c>
      <c r="W156" s="44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2" customFormat="1" ht="12.75">
      <c r="A157" s="10"/>
      <c r="B157" s="10" t="s">
        <v>22</v>
      </c>
      <c r="D157" s="65">
        <v>0</v>
      </c>
      <c r="E157" s="44"/>
      <c r="F157" s="65">
        <v>0</v>
      </c>
      <c r="G157" s="44"/>
      <c r="H157" s="65">
        <v>7</v>
      </c>
      <c r="I157" s="44"/>
      <c r="J157" s="65">
        <v>7</v>
      </c>
      <c r="K157" s="44"/>
      <c r="L157" s="65">
        <v>1</v>
      </c>
      <c r="M157" s="44"/>
      <c r="N157" s="65">
        <v>7</v>
      </c>
      <c r="O157" s="44"/>
      <c r="P157" s="65"/>
      <c r="Q157" s="44"/>
      <c r="R157" s="65"/>
      <c r="S157" s="44"/>
      <c r="T157" s="65"/>
      <c r="U157" s="44"/>
      <c r="V157" s="65">
        <v>10</v>
      </c>
      <c r="W157" s="44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2" customFormat="1" ht="13.5" customHeight="1">
      <c r="A158" s="10"/>
      <c r="B158" s="10" t="s">
        <v>23</v>
      </c>
      <c r="D158" s="65">
        <f>ROUND(28*1000/1936.27,0)</f>
        <v>14</v>
      </c>
      <c r="E158" s="44"/>
      <c r="F158" s="65">
        <f>ROUND((30000/1936.27),0)</f>
        <v>15</v>
      </c>
      <c r="G158" s="44"/>
      <c r="H158" s="65">
        <v>15</v>
      </c>
      <c r="I158" s="44"/>
      <c r="J158" s="65">
        <v>63</v>
      </c>
      <c r="K158" s="44"/>
      <c r="L158" s="65">
        <v>66</v>
      </c>
      <c r="M158" s="44"/>
      <c r="N158" s="65">
        <v>63</v>
      </c>
      <c r="O158" s="44"/>
      <c r="P158" s="65">
        <v>67</v>
      </c>
      <c r="Q158" s="44"/>
      <c r="R158" s="65">
        <v>68</v>
      </c>
      <c r="S158" s="44"/>
      <c r="T158" s="65">
        <v>92</v>
      </c>
      <c r="U158" s="44"/>
      <c r="V158" s="65">
        <v>92</v>
      </c>
      <c r="W158" s="44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2" customFormat="1" ht="12.75">
      <c r="A159" s="10"/>
      <c r="B159" s="10" t="s">
        <v>87</v>
      </c>
      <c r="D159" s="65">
        <f>ROUND((603-28)*1000/1936.27,0)</f>
        <v>297</v>
      </c>
      <c r="E159" s="44"/>
      <c r="F159" s="65">
        <f>ROUND((664000/1936.27),0)</f>
        <v>343</v>
      </c>
      <c r="G159" s="44"/>
      <c r="H159" s="65">
        <v>262</v>
      </c>
      <c r="I159" s="44"/>
      <c r="J159" s="65">
        <v>256</v>
      </c>
      <c r="K159" s="44"/>
      <c r="L159" s="65">
        <v>311</v>
      </c>
      <c r="M159" s="44"/>
      <c r="N159" s="65">
        <v>330</v>
      </c>
      <c r="O159" s="44"/>
      <c r="P159" s="65">
        <v>461</v>
      </c>
      <c r="Q159" s="44"/>
      <c r="R159" s="65">
        <v>508</v>
      </c>
      <c r="S159" s="44"/>
      <c r="T159" s="65">
        <v>610</v>
      </c>
      <c r="U159" s="44"/>
      <c r="V159" s="65">
        <v>791</v>
      </c>
      <c r="W159" s="44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2" customFormat="1" ht="12.75">
      <c r="A160" s="10"/>
      <c r="B160" s="10" t="s">
        <v>88</v>
      </c>
      <c r="D160" s="65">
        <v>78</v>
      </c>
      <c r="E160" s="65">
        <v>0</v>
      </c>
      <c r="F160" s="65">
        <v>89</v>
      </c>
      <c r="G160" s="65">
        <v>0</v>
      </c>
      <c r="H160" s="65">
        <v>238</v>
      </c>
      <c r="I160" s="65">
        <v>0</v>
      </c>
      <c r="J160" s="65">
        <v>179</v>
      </c>
      <c r="K160" s="65">
        <v>0</v>
      </c>
      <c r="L160" s="65">
        <v>129</v>
      </c>
      <c r="M160" s="65">
        <v>0</v>
      </c>
      <c r="N160" s="65">
        <v>130</v>
      </c>
      <c r="O160" s="65"/>
      <c r="P160" s="65">
        <v>130</v>
      </c>
      <c r="Q160" s="65"/>
      <c r="R160" s="65">
        <v>132</v>
      </c>
      <c r="S160" s="65"/>
      <c r="T160" s="65">
        <v>130</v>
      </c>
      <c r="U160" s="65"/>
      <c r="V160" s="65">
        <v>130</v>
      </c>
      <c r="W160" s="65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2" customFormat="1" ht="12.75">
      <c r="A161" s="90" t="s">
        <v>24</v>
      </c>
      <c r="B161" s="91"/>
      <c r="C161" s="91"/>
      <c r="D161" s="55">
        <f aca="true" t="shared" si="31" ref="D161:U161">SUM(D162:D169)</f>
        <v>4448</v>
      </c>
      <c r="E161" s="55">
        <f t="shared" si="31"/>
        <v>53</v>
      </c>
      <c r="F161" s="55">
        <f t="shared" si="31"/>
        <v>4778</v>
      </c>
      <c r="G161" s="55">
        <f t="shared" si="31"/>
        <v>3.6151982936264053</v>
      </c>
      <c r="H161" s="55">
        <f t="shared" si="31"/>
        <v>5164</v>
      </c>
      <c r="I161" s="55">
        <f t="shared" si="31"/>
        <v>0</v>
      </c>
      <c r="J161" s="55">
        <f t="shared" si="31"/>
        <v>5479</v>
      </c>
      <c r="K161" s="55">
        <f t="shared" si="31"/>
        <v>152</v>
      </c>
      <c r="L161" s="55">
        <f t="shared" si="31"/>
        <v>5620</v>
      </c>
      <c r="M161" s="55">
        <f t="shared" si="31"/>
        <v>265</v>
      </c>
      <c r="N161" s="55">
        <f t="shared" si="31"/>
        <v>5866</v>
      </c>
      <c r="O161" s="55">
        <f t="shared" si="31"/>
        <v>4</v>
      </c>
      <c r="P161" s="55">
        <f t="shared" si="31"/>
        <v>6118</v>
      </c>
      <c r="Q161" s="55">
        <f t="shared" si="31"/>
        <v>0</v>
      </c>
      <c r="R161" s="55">
        <f t="shared" si="31"/>
        <v>6237</v>
      </c>
      <c r="S161" s="55">
        <f t="shared" si="31"/>
        <v>23</v>
      </c>
      <c r="T161" s="55">
        <f t="shared" si="31"/>
        <v>6297</v>
      </c>
      <c r="U161" s="55">
        <f t="shared" si="31"/>
        <v>203</v>
      </c>
      <c r="V161" s="55">
        <f>SUM(V162:V169)</f>
        <v>5865</v>
      </c>
      <c r="W161" s="55">
        <f>SUM(W162:W169)</f>
        <v>364</v>
      </c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23" ht="12.75">
      <c r="A162" s="10"/>
      <c r="B162" s="10" t="s">
        <v>20</v>
      </c>
      <c r="D162" s="65">
        <f>ROUND(376*1000/1936.27,0)</f>
        <v>194</v>
      </c>
      <c r="E162" s="44"/>
      <c r="F162" s="65">
        <f>ROUND((518000/1936.27),0)</f>
        <v>268</v>
      </c>
      <c r="G162" s="44">
        <f>7/1.93627</f>
        <v>3.6151982936264053</v>
      </c>
      <c r="H162" s="65">
        <v>205</v>
      </c>
      <c r="I162" s="44"/>
      <c r="J162" s="65">
        <v>155</v>
      </c>
      <c r="K162" s="44"/>
      <c r="L162" s="65">
        <v>165</v>
      </c>
      <c r="M162" s="44"/>
      <c r="N162" s="65">
        <v>163</v>
      </c>
      <c r="O162" s="44"/>
      <c r="P162" s="65">
        <v>202</v>
      </c>
      <c r="Q162" s="44"/>
      <c r="R162" s="65">
        <v>181</v>
      </c>
      <c r="S162" s="44"/>
      <c r="T162" s="65">
        <v>152</v>
      </c>
      <c r="U162" s="44"/>
      <c r="V162" s="65">
        <v>125</v>
      </c>
      <c r="W162" s="44"/>
    </row>
    <row r="163" spans="1:23" ht="12.75">
      <c r="A163" s="10"/>
      <c r="B163" s="10" t="s">
        <v>21</v>
      </c>
      <c r="D163" s="65">
        <f>ROUND(6247*1000/1936.27,0)</f>
        <v>3226</v>
      </c>
      <c r="E163" s="44">
        <f>ROUND(103000/1936.27,0)</f>
        <v>53</v>
      </c>
      <c r="F163" s="65">
        <f>ROUND((6390000/1936.27),0)</f>
        <v>3300</v>
      </c>
      <c r="G163" s="44"/>
      <c r="H163" s="65">
        <v>3244</v>
      </c>
      <c r="I163" s="44"/>
      <c r="J163" s="65">
        <v>3393</v>
      </c>
      <c r="K163" s="44"/>
      <c r="L163" s="65">
        <v>3171</v>
      </c>
      <c r="M163" s="44"/>
      <c r="N163" s="65">
        <v>3290</v>
      </c>
      <c r="O163" s="44"/>
      <c r="P163" s="65">
        <v>3320</v>
      </c>
      <c r="Q163" s="44"/>
      <c r="R163" s="65">
        <v>3323</v>
      </c>
      <c r="S163" s="44">
        <v>20</v>
      </c>
      <c r="T163" s="65">
        <v>3286</v>
      </c>
      <c r="U163" s="44"/>
      <c r="V163" s="65">
        <v>3110</v>
      </c>
      <c r="W163" s="44">
        <v>246</v>
      </c>
    </row>
    <row r="164" spans="1:23" ht="12.75">
      <c r="A164" s="10"/>
      <c r="B164" s="10" t="s">
        <v>170</v>
      </c>
      <c r="D164" s="65"/>
      <c r="E164" s="44"/>
      <c r="F164" s="65"/>
      <c r="G164" s="44"/>
      <c r="H164" s="65"/>
      <c r="I164" s="44"/>
      <c r="J164" s="65"/>
      <c r="K164" s="44"/>
      <c r="L164" s="65"/>
      <c r="M164" s="44"/>
      <c r="N164" s="65"/>
      <c r="O164" s="44"/>
      <c r="P164" s="65"/>
      <c r="Q164" s="44"/>
      <c r="R164" s="65"/>
      <c r="S164" s="44"/>
      <c r="T164" s="65"/>
      <c r="U164" s="44"/>
      <c r="V164" s="65">
        <v>26</v>
      </c>
      <c r="W164" s="44"/>
    </row>
    <row r="165" spans="1:23" ht="12.75">
      <c r="A165" s="10"/>
      <c r="B165" s="10" t="s">
        <v>169</v>
      </c>
      <c r="D165" s="65"/>
      <c r="E165" s="44"/>
      <c r="F165" s="65"/>
      <c r="G165" s="44"/>
      <c r="H165" s="65"/>
      <c r="I165" s="44"/>
      <c r="J165" s="65">
        <v>150</v>
      </c>
      <c r="K165" s="44">
        <v>148</v>
      </c>
      <c r="L165" s="65">
        <v>333</v>
      </c>
      <c r="M165" s="44">
        <v>263</v>
      </c>
      <c r="N165" s="65">
        <v>400</v>
      </c>
      <c r="O165" s="44"/>
      <c r="P165" s="65">
        <v>689</v>
      </c>
      <c r="Q165" s="44"/>
      <c r="R165" s="65">
        <v>789</v>
      </c>
      <c r="S165" s="44"/>
      <c r="T165" s="65">
        <v>810</v>
      </c>
      <c r="U165" s="44">
        <v>203</v>
      </c>
      <c r="V165" s="65">
        <v>568</v>
      </c>
      <c r="W165" s="44">
        <v>118</v>
      </c>
    </row>
    <row r="166" spans="1:23" ht="12.75">
      <c r="A166" s="10"/>
      <c r="B166" s="10" t="s">
        <v>22</v>
      </c>
      <c r="D166" s="65">
        <v>0</v>
      </c>
      <c r="E166" s="44"/>
      <c r="F166" s="65">
        <v>0</v>
      </c>
      <c r="G166" s="44"/>
      <c r="H166" s="65">
        <v>22</v>
      </c>
      <c r="I166" s="44"/>
      <c r="J166" s="65">
        <v>26</v>
      </c>
      <c r="K166" s="44"/>
      <c r="L166" s="65">
        <v>36</v>
      </c>
      <c r="M166" s="44"/>
      <c r="N166" s="65">
        <v>43</v>
      </c>
      <c r="O166" s="44"/>
      <c r="P166" s="65"/>
      <c r="Q166" s="44"/>
      <c r="R166" s="65"/>
      <c r="S166" s="44"/>
      <c r="T166" s="65"/>
      <c r="U166" s="44"/>
      <c r="V166" s="65"/>
      <c r="W166" s="44"/>
    </row>
    <row r="167" spans="1:23" ht="12.75">
      <c r="A167" s="10"/>
      <c r="B167" s="10" t="s">
        <v>23</v>
      </c>
      <c r="D167" s="65">
        <f>ROUND(98*1000/1936.27,0)</f>
        <v>51</v>
      </c>
      <c r="E167" s="44"/>
      <c r="F167" s="65">
        <f>ROUND((98000/1936.27),0)</f>
        <v>51</v>
      </c>
      <c r="G167" s="44"/>
      <c r="H167" s="65">
        <v>97</v>
      </c>
      <c r="I167" s="44"/>
      <c r="J167" s="65">
        <v>66</v>
      </c>
      <c r="K167" s="44"/>
      <c r="L167" s="65">
        <v>76</v>
      </c>
      <c r="M167" s="44"/>
      <c r="N167" s="65">
        <v>85</v>
      </c>
      <c r="O167" s="44"/>
      <c r="P167" s="65">
        <v>92</v>
      </c>
      <c r="Q167" s="44"/>
      <c r="R167" s="65">
        <v>92</v>
      </c>
      <c r="S167" s="44"/>
      <c r="T167" s="65">
        <v>92</v>
      </c>
      <c r="U167" s="44"/>
      <c r="V167" s="65">
        <v>104</v>
      </c>
      <c r="W167" s="44"/>
    </row>
    <row r="168" spans="1:23" ht="12.75">
      <c r="A168" s="10"/>
      <c r="B168" s="10" t="s">
        <v>87</v>
      </c>
      <c r="D168" s="65">
        <f>ROUND((1644-98)*1000/1936.27,0)</f>
        <v>798</v>
      </c>
      <c r="E168" s="44"/>
      <c r="F168" s="65">
        <f>ROUND(((1934000-98000)/1936.27),0)</f>
        <v>948</v>
      </c>
      <c r="G168" s="44"/>
      <c r="H168" s="65">
        <v>1085</v>
      </c>
      <c r="I168" s="44"/>
      <c r="J168" s="65">
        <v>1128</v>
      </c>
      <c r="K168" s="44"/>
      <c r="L168" s="65">
        <v>1324</v>
      </c>
      <c r="M168" s="44"/>
      <c r="N168" s="65">
        <v>1397</v>
      </c>
      <c r="O168" s="44"/>
      <c r="P168" s="65">
        <v>1334</v>
      </c>
      <c r="Q168" s="44"/>
      <c r="R168" s="65">
        <v>1375</v>
      </c>
      <c r="S168" s="44"/>
      <c r="T168" s="65">
        <v>1456</v>
      </c>
      <c r="U168" s="44"/>
      <c r="V168" s="65">
        <v>1514</v>
      </c>
      <c r="W168" s="44"/>
    </row>
    <row r="169" spans="1:23" ht="12.75">
      <c r="A169" s="10"/>
      <c r="B169" s="10" t="s">
        <v>88</v>
      </c>
      <c r="D169" s="65">
        <v>179</v>
      </c>
      <c r="E169" s="65">
        <v>0</v>
      </c>
      <c r="F169" s="65">
        <v>211</v>
      </c>
      <c r="G169" s="65">
        <v>0</v>
      </c>
      <c r="H169" s="65">
        <v>511</v>
      </c>
      <c r="I169" s="65">
        <v>0</v>
      </c>
      <c r="J169" s="65">
        <v>561</v>
      </c>
      <c r="K169" s="44">
        <v>4</v>
      </c>
      <c r="L169" s="65">
        <v>515</v>
      </c>
      <c r="M169" s="65">
        <v>2</v>
      </c>
      <c r="N169" s="65">
        <v>488</v>
      </c>
      <c r="O169" s="65">
        <v>4</v>
      </c>
      <c r="P169" s="65">
        <v>481</v>
      </c>
      <c r="Q169" s="65"/>
      <c r="R169" s="65">
        <v>477</v>
      </c>
      <c r="S169" s="65">
        <v>3</v>
      </c>
      <c r="T169" s="65">
        <v>501</v>
      </c>
      <c r="U169" s="65"/>
      <c r="V169" s="65">
        <v>418</v>
      </c>
      <c r="W169" s="65"/>
    </row>
    <row r="170" spans="1:35" s="2" customFormat="1" ht="12.75">
      <c r="A170" s="90" t="s">
        <v>25</v>
      </c>
      <c r="B170" s="91"/>
      <c r="C170" s="91"/>
      <c r="D170" s="55">
        <f>SUM(D171:D178)</f>
        <v>2656</v>
      </c>
      <c r="E170" s="55">
        <f aca="true" t="shared" si="32" ref="E170:U170">SUM(E171:E178)</f>
        <v>0</v>
      </c>
      <c r="F170" s="55">
        <f t="shared" si="32"/>
        <v>2762</v>
      </c>
      <c r="G170" s="55">
        <f t="shared" si="32"/>
        <v>0</v>
      </c>
      <c r="H170" s="55">
        <f t="shared" si="32"/>
        <v>2844</v>
      </c>
      <c r="I170" s="55">
        <f t="shared" si="32"/>
        <v>0</v>
      </c>
      <c r="J170" s="55">
        <f t="shared" si="32"/>
        <v>3113</v>
      </c>
      <c r="K170" s="55">
        <f t="shared" si="32"/>
        <v>71</v>
      </c>
      <c r="L170" s="55">
        <f t="shared" si="32"/>
        <v>3176</v>
      </c>
      <c r="M170" s="55">
        <f t="shared" si="32"/>
        <v>0</v>
      </c>
      <c r="N170" s="55">
        <f t="shared" si="32"/>
        <v>3204</v>
      </c>
      <c r="O170" s="55">
        <f t="shared" si="32"/>
        <v>110</v>
      </c>
      <c r="P170" s="55">
        <f t="shared" si="32"/>
        <v>3223</v>
      </c>
      <c r="Q170" s="55">
        <f t="shared" si="32"/>
        <v>0</v>
      </c>
      <c r="R170" s="55">
        <f t="shared" si="32"/>
        <v>3291</v>
      </c>
      <c r="S170" s="55">
        <f t="shared" si="32"/>
        <v>9</v>
      </c>
      <c r="T170" s="55">
        <f t="shared" si="32"/>
        <v>3670</v>
      </c>
      <c r="U170" s="55">
        <f t="shared" si="32"/>
        <v>51</v>
      </c>
      <c r="V170" s="55">
        <f>SUM(V171:V178)</f>
        <v>3171</v>
      </c>
      <c r="W170" s="55">
        <f>SUM(W171:W178)</f>
        <v>269</v>
      </c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23" ht="12.75">
      <c r="A171" s="10"/>
      <c r="B171" s="10" t="s">
        <v>20</v>
      </c>
      <c r="D171" s="65">
        <f>ROUND(472*1000/1936.27,0)</f>
        <v>244</v>
      </c>
      <c r="E171" s="44"/>
      <c r="F171" s="65">
        <f>ROUND((472000/1936.27),0)</f>
        <v>244</v>
      </c>
      <c r="G171" s="44"/>
      <c r="H171" s="65">
        <v>170</v>
      </c>
      <c r="I171" s="44"/>
      <c r="J171" s="65">
        <v>178</v>
      </c>
      <c r="K171" s="44"/>
      <c r="L171" s="65">
        <v>156</v>
      </c>
      <c r="M171" s="44"/>
      <c r="N171" s="65">
        <v>112</v>
      </c>
      <c r="O171" s="44"/>
      <c r="P171" s="65">
        <v>136</v>
      </c>
      <c r="Q171" s="44"/>
      <c r="R171" s="65">
        <v>100</v>
      </c>
      <c r="S171" s="44"/>
      <c r="T171" s="65">
        <v>79</v>
      </c>
      <c r="U171" s="44"/>
      <c r="V171" s="65">
        <v>52</v>
      </c>
      <c r="W171" s="44"/>
    </row>
    <row r="172" spans="1:23" ht="12.75">
      <c r="A172" s="10"/>
      <c r="B172" s="10" t="s">
        <v>21</v>
      </c>
      <c r="D172" s="65">
        <f>ROUND(3781*1000/1936.27,0)+1</f>
        <v>1954</v>
      </c>
      <c r="E172" s="44"/>
      <c r="F172" s="65">
        <f>ROUND((3882000/1936.27),0)</f>
        <v>2005</v>
      </c>
      <c r="G172" s="44"/>
      <c r="H172" s="65">
        <v>2041</v>
      </c>
      <c r="I172" s="44"/>
      <c r="J172" s="65">
        <v>1975</v>
      </c>
      <c r="K172" s="44"/>
      <c r="L172" s="65">
        <v>2090</v>
      </c>
      <c r="M172" s="44"/>
      <c r="N172" s="65">
        <v>2118</v>
      </c>
      <c r="O172" s="44"/>
      <c r="P172" s="65">
        <v>2162</v>
      </c>
      <c r="Q172" s="44"/>
      <c r="R172" s="65">
        <v>2123</v>
      </c>
      <c r="S172" s="44">
        <v>9</v>
      </c>
      <c r="T172" s="65">
        <v>2115</v>
      </c>
      <c r="U172" s="44">
        <v>5</v>
      </c>
      <c r="V172" s="65">
        <v>1916</v>
      </c>
      <c r="W172" s="44">
        <v>211</v>
      </c>
    </row>
    <row r="173" spans="1:23" ht="12.75">
      <c r="A173" s="10"/>
      <c r="B173" s="10" t="s">
        <v>170</v>
      </c>
      <c r="D173" s="65"/>
      <c r="E173" s="44"/>
      <c r="F173" s="65"/>
      <c r="G173" s="44"/>
      <c r="H173" s="65"/>
      <c r="I173" s="44"/>
      <c r="J173" s="65"/>
      <c r="K173" s="44"/>
      <c r="L173" s="65"/>
      <c r="M173" s="44"/>
      <c r="N173" s="65"/>
      <c r="O173" s="44"/>
      <c r="P173" s="65"/>
      <c r="Q173" s="44"/>
      <c r="R173" s="65"/>
      <c r="S173" s="44"/>
      <c r="T173" s="65"/>
      <c r="U173" s="44"/>
      <c r="V173" s="65">
        <v>5</v>
      </c>
      <c r="W173" s="44"/>
    </row>
    <row r="174" spans="1:23" ht="12.75">
      <c r="A174" s="10"/>
      <c r="B174" s="10" t="s">
        <v>169</v>
      </c>
      <c r="D174" s="65"/>
      <c r="E174" s="44"/>
      <c r="F174" s="65"/>
      <c r="G174" s="44"/>
      <c r="H174" s="65"/>
      <c r="I174" s="44"/>
      <c r="J174" s="65">
        <v>346</v>
      </c>
      <c r="K174" s="44">
        <v>71</v>
      </c>
      <c r="L174" s="65">
        <v>324</v>
      </c>
      <c r="M174" s="44"/>
      <c r="N174" s="65">
        <v>375</v>
      </c>
      <c r="O174" s="44">
        <v>110</v>
      </c>
      <c r="P174" s="65">
        <v>327</v>
      </c>
      <c r="Q174" s="44"/>
      <c r="R174" s="65">
        <v>416</v>
      </c>
      <c r="S174" s="44"/>
      <c r="T174" s="65">
        <v>765</v>
      </c>
      <c r="U174" s="44">
        <v>46</v>
      </c>
      <c r="V174" s="65">
        <v>446</v>
      </c>
      <c r="W174" s="44">
        <v>58</v>
      </c>
    </row>
    <row r="175" spans="1:23" ht="12.75">
      <c r="A175" s="10"/>
      <c r="B175" s="10" t="s">
        <v>22</v>
      </c>
      <c r="D175" s="65">
        <v>0</v>
      </c>
      <c r="E175" s="44"/>
      <c r="F175" s="65">
        <v>0</v>
      </c>
      <c r="G175" s="44"/>
      <c r="H175" s="65">
        <v>26</v>
      </c>
      <c r="I175" s="44"/>
      <c r="J175" s="65">
        <v>26</v>
      </c>
      <c r="K175" s="44"/>
      <c r="L175" s="65">
        <v>27</v>
      </c>
      <c r="M175" s="44"/>
      <c r="N175" s="65">
        <v>2</v>
      </c>
      <c r="O175" s="44"/>
      <c r="P175" s="65"/>
      <c r="Q175" s="44"/>
      <c r="R175" s="65"/>
      <c r="S175" s="44"/>
      <c r="T175" s="65"/>
      <c r="U175" s="44"/>
      <c r="V175" s="65"/>
      <c r="W175" s="44"/>
    </row>
    <row r="176" spans="1:23" ht="12.75">
      <c r="A176" s="10"/>
      <c r="B176" s="10" t="s">
        <v>23</v>
      </c>
      <c r="D176" s="65">
        <f>ROUND(82*1000/1936.27,0)</f>
        <v>42</v>
      </c>
      <c r="E176" s="44"/>
      <c r="F176" s="65">
        <f>ROUND((98000/1936.27),0)</f>
        <v>51</v>
      </c>
      <c r="G176" s="44"/>
      <c r="H176" s="65">
        <v>50</v>
      </c>
      <c r="I176" s="44"/>
      <c r="J176" s="65">
        <v>60</v>
      </c>
      <c r="K176" s="44"/>
      <c r="L176" s="65">
        <v>76</v>
      </c>
      <c r="M176" s="44"/>
      <c r="N176" s="65">
        <v>85</v>
      </c>
      <c r="O176" s="44"/>
      <c r="P176" s="65">
        <v>92</v>
      </c>
      <c r="Q176" s="44"/>
      <c r="R176" s="65">
        <v>92</v>
      </c>
      <c r="S176" s="44"/>
      <c r="T176" s="65">
        <v>92</v>
      </c>
      <c r="U176" s="44"/>
      <c r="V176" s="65">
        <v>80</v>
      </c>
      <c r="W176" s="44"/>
    </row>
    <row r="177" spans="1:23" ht="12.75">
      <c r="A177" s="10"/>
      <c r="B177" s="10" t="s">
        <v>87</v>
      </c>
      <c r="D177" s="65">
        <f>ROUND((605-82)*1000/1936.27,0)</f>
        <v>270</v>
      </c>
      <c r="E177" s="44"/>
      <c r="F177" s="65">
        <f>ROUND(((752000-98000)/1936.27),0)</f>
        <v>338</v>
      </c>
      <c r="G177" s="44"/>
      <c r="H177" s="65">
        <v>387</v>
      </c>
      <c r="I177" s="44"/>
      <c r="J177" s="65">
        <v>417</v>
      </c>
      <c r="K177" s="44"/>
      <c r="L177" s="65">
        <v>437</v>
      </c>
      <c r="M177" s="44"/>
      <c r="N177" s="65">
        <v>446</v>
      </c>
      <c r="O177" s="44"/>
      <c r="P177" s="65">
        <v>438</v>
      </c>
      <c r="Q177" s="44"/>
      <c r="R177" s="65">
        <v>492</v>
      </c>
      <c r="S177" s="44"/>
      <c r="T177" s="65">
        <v>561</v>
      </c>
      <c r="U177" s="44"/>
      <c r="V177" s="65">
        <v>609</v>
      </c>
      <c r="W177" s="44"/>
    </row>
    <row r="178" spans="1:23" ht="12.75">
      <c r="A178" s="10"/>
      <c r="B178" s="10" t="s">
        <v>88</v>
      </c>
      <c r="D178" s="65">
        <v>146</v>
      </c>
      <c r="E178" s="65">
        <v>0</v>
      </c>
      <c r="F178" s="65">
        <v>124</v>
      </c>
      <c r="G178" s="65">
        <v>0</v>
      </c>
      <c r="H178" s="65">
        <v>170</v>
      </c>
      <c r="I178" s="65"/>
      <c r="J178" s="65">
        <v>111</v>
      </c>
      <c r="K178" s="65"/>
      <c r="L178" s="65">
        <v>66</v>
      </c>
      <c r="M178" s="65">
        <v>0</v>
      </c>
      <c r="N178" s="65">
        <v>66</v>
      </c>
      <c r="O178" s="65"/>
      <c r="P178" s="65">
        <v>68</v>
      </c>
      <c r="Q178" s="65"/>
      <c r="R178" s="65">
        <v>68</v>
      </c>
      <c r="S178" s="65"/>
      <c r="T178" s="65">
        <v>58</v>
      </c>
      <c r="U178" s="65"/>
      <c r="V178" s="65">
        <v>63</v>
      </c>
      <c r="W178" s="65"/>
    </row>
    <row r="179" spans="1:35" s="2" customFormat="1" ht="12.75">
      <c r="A179" s="90" t="s">
        <v>26</v>
      </c>
      <c r="B179" s="91"/>
      <c r="C179" s="91"/>
      <c r="D179" s="55">
        <f>SUM(D180:D186)</f>
        <v>2190</v>
      </c>
      <c r="E179" s="55">
        <f>SUM(E180:E186)</f>
        <v>15</v>
      </c>
      <c r="F179" s="55">
        <f>SUM(F180:F186)-1</f>
        <v>2364</v>
      </c>
      <c r="G179" s="55">
        <f aca="true" t="shared" si="33" ref="G179:U179">SUM(G180:G186)</f>
        <v>0</v>
      </c>
      <c r="H179" s="55">
        <f t="shared" si="33"/>
        <v>2568</v>
      </c>
      <c r="I179" s="55">
        <f t="shared" si="33"/>
        <v>26</v>
      </c>
      <c r="J179" s="55">
        <f t="shared" si="33"/>
        <v>2801</v>
      </c>
      <c r="K179" s="55">
        <f t="shared" si="33"/>
        <v>10</v>
      </c>
      <c r="L179" s="55">
        <f t="shared" si="33"/>
        <v>2940</v>
      </c>
      <c r="M179" s="55">
        <f t="shared" si="33"/>
        <v>0</v>
      </c>
      <c r="N179" s="55">
        <f t="shared" si="33"/>
        <v>3185</v>
      </c>
      <c r="O179" s="55">
        <f t="shared" si="33"/>
        <v>90</v>
      </c>
      <c r="P179" s="55">
        <f t="shared" si="33"/>
        <v>3192</v>
      </c>
      <c r="Q179" s="55">
        <f t="shared" si="33"/>
        <v>70</v>
      </c>
      <c r="R179" s="55">
        <f t="shared" si="33"/>
        <v>3176</v>
      </c>
      <c r="S179" s="55">
        <f t="shared" si="33"/>
        <v>0</v>
      </c>
      <c r="T179" s="55">
        <f t="shared" si="33"/>
        <v>3081</v>
      </c>
      <c r="U179" s="55">
        <f t="shared" si="33"/>
        <v>0</v>
      </c>
      <c r="V179" s="55">
        <f>SUM(V180:V186)</f>
        <v>3025</v>
      </c>
      <c r="W179" s="55">
        <f>SUM(W180:W186)</f>
        <v>211</v>
      </c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23" ht="12.75">
      <c r="A180" s="10"/>
      <c r="B180" s="10" t="s">
        <v>20</v>
      </c>
      <c r="D180" s="65">
        <f>ROUND(206*1000/1936.27,0)-2</f>
        <v>104</v>
      </c>
      <c r="E180" s="65"/>
      <c r="F180" s="65">
        <f>ROUND((197000/1936.27),0)</f>
        <v>102</v>
      </c>
      <c r="G180" s="65"/>
      <c r="H180" s="65">
        <v>159</v>
      </c>
      <c r="I180" s="65"/>
      <c r="J180" s="65">
        <v>115</v>
      </c>
      <c r="K180" s="65"/>
      <c r="L180" s="65">
        <v>144</v>
      </c>
      <c r="M180" s="65"/>
      <c r="N180" s="65">
        <v>126</v>
      </c>
      <c r="O180" s="65"/>
      <c r="P180" s="65">
        <v>174</v>
      </c>
      <c r="Q180" s="65"/>
      <c r="R180" s="65">
        <v>112</v>
      </c>
      <c r="S180" s="65"/>
      <c r="T180" s="65">
        <v>86</v>
      </c>
      <c r="U180" s="65"/>
      <c r="V180" s="65">
        <v>64</v>
      </c>
      <c r="W180" s="65"/>
    </row>
    <row r="181" spans="1:23" ht="12.75">
      <c r="A181" s="10"/>
      <c r="B181" s="10" t="s">
        <v>21</v>
      </c>
      <c r="D181" s="65">
        <f>ROUND(2741*1000/1936.27,0)+1</f>
        <v>1417</v>
      </c>
      <c r="E181" s="44">
        <f>ROUND(30000/1936.27,0)</f>
        <v>15</v>
      </c>
      <c r="F181" s="65">
        <f>ROUND((2955000/1936.27),0)</f>
        <v>1526</v>
      </c>
      <c r="G181" s="44"/>
      <c r="H181" s="65">
        <v>1542</v>
      </c>
      <c r="I181" s="44">
        <v>26</v>
      </c>
      <c r="J181" s="65">
        <v>1718</v>
      </c>
      <c r="K181" s="44">
        <v>10</v>
      </c>
      <c r="L181" s="65">
        <v>1805</v>
      </c>
      <c r="M181" s="44"/>
      <c r="N181" s="65">
        <v>2019</v>
      </c>
      <c r="O181" s="44">
        <v>90</v>
      </c>
      <c r="P181" s="65">
        <v>1932</v>
      </c>
      <c r="Q181" s="44">
        <v>70</v>
      </c>
      <c r="R181" s="65">
        <v>1992</v>
      </c>
      <c r="S181" s="44"/>
      <c r="T181" s="65">
        <v>1912</v>
      </c>
      <c r="U181" s="44"/>
      <c r="V181" s="65">
        <v>1855</v>
      </c>
      <c r="W181" s="44">
        <v>211</v>
      </c>
    </row>
    <row r="182" spans="1:23" ht="12.75">
      <c r="A182" s="10"/>
      <c r="B182" s="10" t="s">
        <v>170</v>
      </c>
      <c r="D182" s="65"/>
      <c r="E182" s="44"/>
      <c r="F182" s="65"/>
      <c r="G182" s="44"/>
      <c r="H182" s="65"/>
      <c r="I182" s="44"/>
      <c r="J182" s="65"/>
      <c r="K182" s="44"/>
      <c r="L182" s="65"/>
      <c r="M182" s="44"/>
      <c r="N182" s="65"/>
      <c r="O182" s="44"/>
      <c r="P182" s="65"/>
      <c r="Q182" s="44"/>
      <c r="R182" s="65"/>
      <c r="S182" s="44"/>
      <c r="T182" s="65"/>
      <c r="U182" s="44"/>
      <c r="V182" s="65">
        <v>16</v>
      </c>
      <c r="W182" s="44"/>
    </row>
    <row r="183" spans="1:23" ht="12.75">
      <c r="A183" s="10"/>
      <c r="B183" s="10" t="s">
        <v>22</v>
      </c>
      <c r="D183" s="65">
        <v>0</v>
      </c>
      <c r="E183" s="44"/>
      <c r="F183" s="65">
        <v>0</v>
      </c>
      <c r="G183" s="44"/>
      <c r="H183" s="65">
        <v>26</v>
      </c>
      <c r="I183" s="44"/>
      <c r="J183" s="65">
        <v>30</v>
      </c>
      <c r="K183" s="44"/>
      <c r="L183" s="65">
        <v>40</v>
      </c>
      <c r="M183" s="44"/>
      <c r="N183" s="65">
        <v>29</v>
      </c>
      <c r="O183" s="44"/>
      <c r="P183" s="65"/>
      <c r="Q183" s="44"/>
      <c r="R183" s="65"/>
      <c r="S183" s="44"/>
      <c r="T183" s="65"/>
      <c r="U183" s="44"/>
      <c r="V183" s="65"/>
      <c r="W183" s="44"/>
    </row>
    <row r="184" spans="1:23" ht="12.75">
      <c r="A184" s="10"/>
      <c r="B184" s="10" t="s">
        <v>23</v>
      </c>
      <c r="D184" s="65">
        <f>ROUND(56*1000/1936.27,0)</f>
        <v>29</v>
      </c>
      <c r="E184" s="44"/>
      <c r="F184" s="65">
        <f>ROUND((56000/1936.27),0)</f>
        <v>29</v>
      </c>
      <c r="G184" s="44"/>
      <c r="H184" s="65">
        <v>29</v>
      </c>
      <c r="I184" s="44"/>
      <c r="J184" s="65">
        <v>35</v>
      </c>
      <c r="K184" s="44"/>
      <c r="L184" s="65">
        <v>44</v>
      </c>
      <c r="M184" s="44"/>
      <c r="N184" s="65">
        <v>49</v>
      </c>
      <c r="O184" s="44"/>
      <c r="P184" s="65">
        <v>53</v>
      </c>
      <c r="Q184" s="44"/>
      <c r="R184" s="65">
        <v>53</v>
      </c>
      <c r="S184" s="44"/>
      <c r="T184" s="65">
        <v>53</v>
      </c>
      <c r="U184" s="44"/>
      <c r="V184" s="65">
        <v>53</v>
      </c>
      <c r="W184" s="44"/>
    </row>
    <row r="185" spans="1:23" ht="12.75">
      <c r="A185" s="10"/>
      <c r="B185" s="10" t="s">
        <v>87</v>
      </c>
      <c r="D185" s="65">
        <f>ROUND((693-56)*1000/1936.27,0)</f>
        <v>329</v>
      </c>
      <c r="E185" s="44"/>
      <c r="F185" s="65">
        <f>ROUND((760000/1936.27),0)</f>
        <v>393</v>
      </c>
      <c r="G185" s="44"/>
      <c r="H185" s="65">
        <v>441</v>
      </c>
      <c r="I185" s="44"/>
      <c r="J185" s="65">
        <v>474</v>
      </c>
      <c r="K185" s="44"/>
      <c r="L185" s="65">
        <v>506</v>
      </c>
      <c r="M185" s="44"/>
      <c r="N185" s="65">
        <v>566</v>
      </c>
      <c r="O185" s="44"/>
      <c r="P185" s="65">
        <v>619</v>
      </c>
      <c r="Q185" s="44"/>
      <c r="R185" s="65">
        <v>637</v>
      </c>
      <c r="S185" s="44"/>
      <c r="T185" s="65">
        <v>663</v>
      </c>
      <c r="U185" s="44"/>
      <c r="V185" s="65">
        <v>691</v>
      </c>
      <c r="W185" s="44"/>
    </row>
    <row r="186" spans="1:23" ht="12.75">
      <c r="A186" s="10"/>
      <c r="B186" s="10" t="s">
        <v>88</v>
      </c>
      <c r="D186" s="65">
        <v>311</v>
      </c>
      <c r="E186" s="65">
        <v>0</v>
      </c>
      <c r="F186" s="65">
        <v>315</v>
      </c>
      <c r="G186" s="65">
        <v>0</v>
      </c>
      <c r="H186" s="65">
        <v>371</v>
      </c>
      <c r="I186" s="65">
        <v>0</v>
      </c>
      <c r="J186" s="65">
        <v>429</v>
      </c>
      <c r="K186" s="65">
        <v>0</v>
      </c>
      <c r="L186" s="65">
        <v>401</v>
      </c>
      <c r="M186" s="65">
        <v>0</v>
      </c>
      <c r="N186" s="65">
        <v>396</v>
      </c>
      <c r="O186" s="65"/>
      <c r="P186" s="65">
        <v>414</v>
      </c>
      <c r="Q186" s="65"/>
      <c r="R186" s="65">
        <v>382</v>
      </c>
      <c r="S186" s="65"/>
      <c r="T186" s="65">
        <v>367</v>
      </c>
      <c r="U186" s="65"/>
      <c r="V186" s="65">
        <v>346</v>
      </c>
      <c r="W186" s="65"/>
    </row>
    <row r="187" spans="1:35" s="2" customFormat="1" ht="12.75">
      <c r="A187" s="90" t="s">
        <v>27</v>
      </c>
      <c r="B187" s="91"/>
      <c r="C187" s="91"/>
      <c r="D187" s="55">
        <f aca="true" t="shared" si="34" ref="D187:U187">SUM(D188:D193)</f>
        <v>2768</v>
      </c>
      <c r="E187" s="55">
        <f t="shared" si="34"/>
        <v>480</v>
      </c>
      <c r="F187" s="55">
        <f t="shared" si="34"/>
        <v>2609</v>
      </c>
      <c r="G187" s="55">
        <f t="shared" si="34"/>
        <v>0</v>
      </c>
      <c r="H187" s="55">
        <f t="shared" si="34"/>
        <v>2694</v>
      </c>
      <c r="I187" s="55">
        <f t="shared" si="34"/>
        <v>0</v>
      </c>
      <c r="J187" s="55">
        <f t="shared" si="34"/>
        <v>2972</v>
      </c>
      <c r="K187" s="55">
        <f t="shared" si="34"/>
        <v>4</v>
      </c>
      <c r="L187" s="55">
        <f t="shared" si="34"/>
        <v>2985</v>
      </c>
      <c r="M187" s="55">
        <f t="shared" si="34"/>
        <v>5</v>
      </c>
      <c r="N187" s="55">
        <f t="shared" si="34"/>
        <v>3174</v>
      </c>
      <c r="O187" s="55">
        <f t="shared" si="34"/>
        <v>2</v>
      </c>
      <c r="P187" s="55">
        <f t="shared" si="34"/>
        <v>3160</v>
      </c>
      <c r="Q187" s="55">
        <f t="shared" si="34"/>
        <v>1</v>
      </c>
      <c r="R187" s="55">
        <f t="shared" si="34"/>
        <v>3094</v>
      </c>
      <c r="S187" s="55">
        <f t="shared" si="34"/>
        <v>64</v>
      </c>
      <c r="T187" s="55">
        <f t="shared" si="34"/>
        <v>3204</v>
      </c>
      <c r="U187" s="55">
        <f t="shared" si="34"/>
        <v>128</v>
      </c>
      <c r="V187" s="55">
        <f>SUM(V188:V193)</f>
        <v>3017</v>
      </c>
      <c r="W187" s="55">
        <f>SUM(W188:W193)</f>
        <v>65</v>
      </c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23" ht="12.75">
      <c r="A188" s="10"/>
      <c r="B188" s="10" t="s">
        <v>20</v>
      </c>
      <c r="D188" s="65">
        <f>ROUND(289*1000/1936.27,0)</f>
        <v>149</v>
      </c>
      <c r="E188" s="65"/>
      <c r="F188" s="65">
        <f>ROUND((281000/1936.27),0)</f>
        <v>145</v>
      </c>
      <c r="G188" s="65"/>
      <c r="H188" s="65">
        <v>89</v>
      </c>
      <c r="I188" s="65"/>
      <c r="J188" s="65">
        <v>70</v>
      </c>
      <c r="K188" s="65"/>
      <c r="L188" s="65">
        <v>138</v>
      </c>
      <c r="M188" s="65"/>
      <c r="N188" s="65">
        <v>155</v>
      </c>
      <c r="O188" s="65"/>
      <c r="P188" s="65">
        <v>224</v>
      </c>
      <c r="Q188" s="65"/>
      <c r="R188" s="65">
        <v>148</v>
      </c>
      <c r="S188" s="65"/>
      <c r="T188" s="65">
        <v>102</v>
      </c>
      <c r="U188" s="65"/>
      <c r="V188" s="65">
        <v>47</v>
      </c>
      <c r="W188" s="65"/>
    </row>
    <row r="189" spans="1:23" ht="12.75">
      <c r="A189" s="10"/>
      <c r="B189" s="10" t="s">
        <v>21</v>
      </c>
      <c r="D189" s="65">
        <f>ROUND(3239*1000/1936.27,0)</f>
        <v>1673</v>
      </c>
      <c r="E189" s="44">
        <f>ROUND(87000/1936.27,0)</f>
        <v>45</v>
      </c>
      <c r="F189" s="65">
        <f>ROUND((3597000/1936.27),0)</f>
        <v>1858</v>
      </c>
      <c r="G189" s="44"/>
      <c r="H189" s="65">
        <v>1753</v>
      </c>
      <c r="I189" s="44"/>
      <c r="J189" s="65">
        <v>2070</v>
      </c>
      <c r="K189" s="44"/>
      <c r="L189" s="65">
        <v>1922</v>
      </c>
      <c r="M189" s="44"/>
      <c r="N189" s="65">
        <v>2060</v>
      </c>
      <c r="O189" s="44"/>
      <c r="P189" s="65">
        <v>2090</v>
      </c>
      <c r="Q189" s="44"/>
      <c r="R189" s="65">
        <v>2123</v>
      </c>
      <c r="S189" s="44">
        <v>64</v>
      </c>
      <c r="T189" s="65">
        <v>2174</v>
      </c>
      <c r="U189" s="44">
        <v>108</v>
      </c>
      <c r="V189" s="65">
        <v>1942</v>
      </c>
      <c r="W189" s="44">
        <v>65</v>
      </c>
    </row>
    <row r="190" spans="1:23" ht="12.75">
      <c r="A190" s="10"/>
      <c r="B190" s="10" t="s">
        <v>170</v>
      </c>
      <c r="D190" s="65"/>
      <c r="E190" s="44"/>
      <c r="F190" s="65"/>
      <c r="G190" s="44"/>
      <c r="H190" s="65"/>
      <c r="I190" s="44"/>
      <c r="J190" s="65"/>
      <c r="K190" s="44"/>
      <c r="L190" s="65"/>
      <c r="M190" s="44"/>
      <c r="N190" s="65"/>
      <c r="O190" s="44"/>
      <c r="P190" s="65"/>
      <c r="Q190" s="44"/>
      <c r="R190" s="65"/>
      <c r="S190" s="44"/>
      <c r="T190" s="65"/>
      <c r="U190" s="44"/>
      <c r="V190" s="65">
        <v>18</v>
      </c>
      <c r="W190" s="44"/>
    </row>
    <row r="191" spans="1:23" ht="12.75">
      <c r="A191" s="10"/>
      <c r="B191" s="10" t="s">
        <v>22</v>
      </c>
      <c r="D191" s="65">
        <v>0</v>
      </c>
      <c r="E191" s="44"/>
      <c r="F191" s="65">
        <v>0</v>
      </c>
      <c r="G191" s="44"/>
      <c r="H191" s="65">
        <v>24</v>
      </c>
      <c r="I191" s="44"/>
      <c r="J191" s="65">
        <v>39</v>
      </c>
      <c r="K191" s="44"/>
      <c r="L191" s="65">
        <v>41</v>
      </c>
      <c r="M191" s="44"/>
      <c r="N191" s="65">
        <v>32</v>
      </c>
      <c r="O191" s="44"/>
      <c r="P191" s="65"/>
      <c r="Q191" s="44"/>
      <c r="R191" s="65"/>
      <c r="S191" s="44"/>
      <c r="T191" s="65"/>
      <c r="U191" s="44"/>
      <c r="V191" s="65"/>
      <c r="W191" s="44"/>
    </row>
    <row r="192" spans="1:23" ht="14.25" customHeight="1">
      <c r="A192" s="10"/>
      <c r="B192" s="10" t="s">
        <v>87</v>
      </c>
      <c r="D192" s="65">
        <f>ROUND(926*1000/1936.27,0)</f>
        <v>478</v>
      </c>
      <c r="E192" s="44"/>
      <c r="F192" s="65">
        <f>ROUND((1139000/1936.27),0)</f>
        <v>588</v>
      </c>
      <c r="G192" s="44"/>
      <c r="H192" s="65">
        <v>634</v>
      </c>
      <c r="I192" s="44"/>
      <c r="J192" s="65">
        <v>622</v>
      </c>
      <c r="K192" s="44"/>
      <c r="L192" s="65">
        <v>741</v>
      </c>
      <c r="M192" s="44"/>
      <c r="N192" s="65">
        <v>828</v>
      </c>
      <c r="O192" s="44"/>
      <c r="P192" s="65">
        <v>771</v>
      </c>
      <c r="Q192" s="44"/>
      <c r="R192" s="65">
        <v>748</v>
      </c>
      <c r="S192" s="44"/>
      <c r="T192" s="65">
        <v>815</v>
      </c>
      <c r="U192" s="44">
        <v>15</v>
      </c>
      <c r="V192" s="65">
        <v>919</v>
      </c>
      <c r="W192" s="44"/>
    </row>
    <row r="193" spans="1:32" ht="12.75">
      <c r="A193" s="10"/>
      <c r="B193" s="10" t="s">
        <v>88</v>
      </c>
      <c r="D193" s="65">
        <v>468</v>
      </c>
      <c r="E193" s="65">
        <v>435</v>
      </c>
      <c r="F193" s="65">
        <v>18</v>
      </c>
      <c r="G193" s="65">
        <v>0</v>
      </c>
      <c r="H193" s="65">
        <v>194</v>
      </c>
      <c r="I193" s="65">
        <v>0</v>
      </c>
      <c r="J193" s="65">
        <v>171</v>
      </c>
      <c r="K193" s="65">
        <v>4</v>
      </c>
      <c r="L193" s="65">
        <v>143</v>
      </c>
      <c r="M193" s="65">
        <v>5</v>
      </c>
      <c r="N193" s="65">
        <v>99</v>
      </c>
      <c r="O193" s="65">
        <v>2</v>
      </c>
      <c r="P193" s="65">
        <v>75</v>
      </c>
      <c r="Q193" s="65">
        <v>1</v>
      </c>
      <c r="R193" s="65">
        <v>75</v>
      </c>
      <c r="S193" s="65"/>
      <c r="T193" s="65">
        <v>113</v>
      </c>
      <c r="U193" s="65">
        <v>5</v>
      </c>
      <c r="V193" s="65">
        <v>91</v>
      </c>
      <c r="W193" s="65"/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0</v>
      </c>
      <c r="AD193" s="65">
        <v>0</v>
      </c>
      <c r="AE193" s="65">
        <v>0</v>
      </c>
      <c r="AF193" s="65">
        <v>0</v>
      </c>
    </row>
    <row r="194" spans="1:35" s="2" customFormat="1" ht="12.75">
      <c r="A194" s="90" t="s">
        <v>28</v>
      </c>
      <c r="B194" s="91"/>
      <c r="C194" s="91"/>
      <c r="D194" s="55">
        <f aca="true" t="shared" si="35" ref="D194:U194">SUM(D195:D201)</f>
        <v>3287</v>
      </c>
      <c r="E194" s="55">
        <f t="shared" si="35"/>
        <v>0</v>
      </c>
      <c r="F194" s="55">
        <f t="shared" si="35"/>
        <v>3312</v>
      </c>
      <c r="G194" s="55">
        <f t="shared" si="35"/>
        <v>0</v>
      </c>
      <c r="H194" s="55">
        <f t="shared" si="35"/>
        <v>3424</v>
      </c>
      <c r="I194" s="55">
        <f t="shared" si="35"/>
        <v>0</v>
      </c>
      <c r="J194" s="55">
        <f t="shared" si="35"/>
        <v>3530</v>
      </c>
      <c r="K194" s="55">
        <f t="shared" si="35"/>
        <v>0</v>
      </c>
      <c r="L194" s="55">
        <f t="shared" si="35"/>
        <v>3386</v>
      </c>
      <c r="M194" s="55">
        <f t="shared" si="35"/>
        <v>0</v>
      </c>
      <c r="N194" s="55">
        <f t="shared" si="35"/>
        <v>3492</v>
      </c>
      <c r="O194" s="55">
        <f t="shared" si="35"/>
        <v>0</v>
      </c>
      <c r="P194" s="55">
        <f t="shared" si="35"/>
        <v>3394</v>
      </c>
      <c r="Q194" s="55">
        <f t="shared" si="35"/>
        <v>12</v>
      </c>
      <c r="R194" s="55">
        <f t="shared" si="35"/>
        <v>3523</v>
      </c>
      <c r="S194" s="55">
        <f t="shared" si="35"/>
        <v>41</v>
      </c>
      <c r="T194" s="55">
        <f t="shared" si="35"/>
        <v>3835</v>
      </c>
      <c r="U194" s="55">
        <f t="shared" si="35"/>
        <v>130</v>
      </c>
      <c r="V194" s="55">
        <f>SUM(V195:V201)</f>
        <v>3325</v>
      </c>
      <c r="W194" s="55">
        <f>SUM(W195:W201)</f>
        <v>0</v>
      </c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23" ht="12.75">
      <c r="A195" s="10"/>
      <c r="B195" s="10" t="s">
        <v>20</v>
      </c>
      <c r="D195" s="65">
        <f>ROUND(407*1000/1936.27,0)+2</f>
        <v>212</v>
      </c>
      <c r="E195" s="65"/>
      <c r="F195" s="65">
        <f>ROUND((502000/1936.27),0)</f>
        <v>259</v>
      </c>
      <c r="G195" s="65"/>
      <c r="H195" s="65">
        <v>206</v>
      </c>
      <c r="I195" s="65"/>
      <c r="J195" s="65">
        <v>158</v>
      </c>
      <c r="K195" s="65"/>
      <c r="L195" s="65">
        <v>156</v>
      </c>
      <c r="M195" s="65"/>
      <c r="N195" s="65">
        <v>184</v>
      </c>
      <c r="O195" s="65"/>
      <c r="P195" s="65">
        <v>137</v>
      </c>
      <c r="Q195" s="65"/>
      <c r="R195" s="65">
        <v>147</v>
      </c>
      <c r="S195" s="65"/>
      <c r="T195" s="65">
        <v>103</v>
      </c>
      <c r="U195" s="65"/>
      <c r="V195" s="65">
        <v>73</v>
      </c>
      <c r="W195" s="65"/>
    </row>
    <row r="196" spans="1:23" ht="12.75">
      <c r="A196" s="10"/>
      <c r="B196" s="10" t="s">
        <v>21</v>
      </c>
      <c r="D196" s="65">
        <f>ROUND(4506*1000/1936.27,0)+1</f>
        <v>2328</v>
      </c>
      <c r="E196" s="44"/>
      <c r="F196" s="65">
        <f>ROUND((4314000/1936.27),0)</f>
        <v>2228</v>
      </c>
      <c r="G196" s="44"/>
      <c r="H196" s="65">
        <v>2309</v>
      </c>
      <c r="I196" s="44"/>
      <c r="J196" s="65">
        <v>2417</v>
      </c>
      <c r="K196" s="44"/>
      <c r="L196" s="65">
        <v>2305</v>
      </c>
      <c r="M196" s="44"/>
      <c r="N196" s="65">
        <v>2281</v>
      </c>
      <c r="O196" s="44"/>
      <c r="P196" s="65">
        <v>2093</v>
      </c>
      <c r="Q196" s="44"/>
      <c r="R196" s="65">
        <v>2089</v>
      </c>
      <c r="S196" s="44">
        <v>41</v>
      </c>
      <c r="T196" s="65">
        <v>2246</v>
      </c>
      <c r="U196" s="44">
        <v>130</v>
      </c>
      <c r="V196" s="65">
        <v>1797</v>
      </c>
      <c r="W196" s="44"/>
    </row>
    <row r="197" spans="1:23" ht="12.75">
      <c r="A197" s="10"/>
      <c r="B197" s="10" t="s">
        <v>170</v>
      </c>
      <c r="D197" s="65"/>
      <c r="E197" s="44"/>
      <c r="F197" s="65"/>
      <c r="G197" s="44"/>
      <c r="H197" s="65"/>
      <c r="I197" s="44"/>
      <c r="J197" s="65"/>
      <c r="K197" s="44"/>
      <c r="L197" s="65"/>
      <c r="M197" s="44"/>
      <c r="N197" s="65"/>
      <c r="O197" s="44"/>
      <c r="P197" s="65"/>
      <c r="Q197" s="44"/>
      <c r="R197" s="65"/>
      <c r="S197" s="44"/>
      <c r="T197" s="65"/>
      <c r="U197" s="44"/>
      <c r="V197" s="65">
        <v>12</v>
      </c>
      <c r="W197" s="44"/>
    </row>
    <row r="198" spans="1:23" ht="12.75">
      <c r="A198" s="10"/>
      <c r="B198" s="10" t="s">
        <v>22</v>
      </c>
      <c r="D198" s="65">
        <v>0</v>
      </c>
      <c r="E198" s="44"/>
      <c r="F198" s="65">
        <v>0</v>
      </c>
      <c r="G198" s="44"/>
      <c r="H198" s="65">
        <v>46</v>
      </c>
      <c r="I198" s="44"/>
      <c r="J198" s="65">
        <v>56</v>
      </c>
      <c r="K198" s="44"/>
      <c r="L198" s="65">
        <v>47</v>
      </c>
      <c r="M198" s="44"/>
      <c r="N198" s="65">
        <v>50</v>
      </c>
      <c r="O198" s="44"/>
      <c r="P198" s="65"/>
      <c r="Q198" s="44"/>
      <c r="R198" s="65"/>
      <c r="S198" s="44"/>
      <c r="T198" s="65"/>
      <c r="U198" s="44"/>
      <c r="V198" s="65"/>
      <c r="W198" s="44"/>
    </row>
    <row r="199" spans="1:23" ht="12.75">
      <c r="A199" s="10"/>
      <c r="B199" s="10" t="s">
        <v>23</v>
      </c>
      <c r="D199" s="65">
        <f>ROUND(262*1000/1936.27,0)</f>
        <v>135</v>
      </c>
      <c r="E199" s="44"/>
      <c r="F199" s="65">
        <f>ROUND((262000/1936.27),0)</f>
        <v>135</v>
      </c>
      <c r="G199" s="44"/>
      <c r="H199" s="65">
        <v>135</v>
      </c>
      <c r="I199" s="44"/>
      <c r="J199" s="65">
        <v>169</v>
      </c>
      <c r="K199" s="44"/>
      <c r="L199" s="65">
        <v>214</v>
      </c>
      <c r="M199" s="44"/>
      <c r="N199" s="65">
        <v>238</v>
      </c>
      <c r="O199" s="44"/>
      <c r="P199" s="65">
        <v>258</v>
      </c>
      <c r="Q199" s="44"/>
      <c r="R199" s="65">
        <v>248</v>
      </c>
      <c r="S199" s="44"/>
      <c r="T199" s="65">
        <v>260</v>
      </c>
      <c r="U199" s="44"/>
      <c r="V199" s="65">
        <v>254</v>
      </c>
      <c r="W199" s="44"/>
    </row>
    <row r="200" spans="1:23" ht="12.75">
      <c r="A200" s="10"/>
      <c r="B200" s="10" t="s">
        <v>87</v>
      </c>
      <c r="D200" s="65">
        <f>ROUND((1405-262)*1000/1936.27,0)</f>
        <v>590</v>
      </c>
      <c r="E200" s="44"/>
      <c r="F200" s="65">
        <f>ROUND((1295000/1936.27),0)</f>
        <v>669</v>
      </c>
      <c r="G200" s="44"/>
      <c r="H200" s="65">
        <v>656</v>
      </c>
      <c r="I200" s="44"/>
      <c r="J200" s="65">
        <v>650</v>
      </c>
      <c r="K200" s="44"/>
      <c r="L200" s="65">
        <v>584</v>
      </c>
      <c r="M200" s="44"/>
      <c r="N200" s="65">
        <v>662</v>
      </c>
      <c r="O200" s="44"/>
      <c r="P200" s="65">
        <v>835</v>
      </c>
      <c r="Q200" s="44"/>
      <c r="R200" s="65">
        <v>977</v>
      </c>
      <c r="S200" s="44"/>
      <c r="T200" s="65">
        <v>1163</v>
      </c>
      <c r="U200" s="44"/>
      <c r="V200" s="65">
        <v>1129</v>
      </c>
      <c r="W200" s="44"/>
    </row>
    <row r="201" spans="1:23" ht="12.75">
      <c r="A201" s="10"/>
      <c r="B201" s="10" t="s">
        <v>88</v>
      </c>
      <c r="D201" s="65">
        <v>22</v>
      </c>
      <c r="E201" s="65">
        <v>0</v>
      </c>
      <c r="F201" s="65">
        <v>21</v>
      </c>
      <c r="G201" s="65">
        <v>0</v>
      </c>
      <c r="H201" s="65">
        <v>72</v>
      </c>
      <c r="I201" s="65">
        <v>0</v>
      </c>
      <c r="J201" s="65">
        <v>80</v>
      </c>
      <c r="K201" s="65">
        <v>0</v>
      </c>
      <c r="L201" s="65">
        <v>80</v>
      </c>
      <c r="M201" s="65">
        <v>0</v>
      </c>
      <c r="N201" s="65">
        <v>77</v>
      </c>
      <c r="O201" s="65"/>
      <c r="P201" s="65">
        <v>71</v>
      </c>
      <c r="Q201" s="65">
        <v>12</v>
      </c>
      <c r="R201" s="65">
        <v>62</v>
      </c>
      <c r="S201" s="65"/>
      <c r="T201" s="65">
        <v>63</v>
      </c>
      <c r="U201" s="65"/>
      <c r="V201" s="65">
        <v>60</v>
      </c>
      <c r="W201" s="65"/>
    </row>
    <row r="202" spans="1:35" s="2" customFormat="1" ht="12.75">
      <c r="A202" s="90" t="s">
        <v>29</v>
      </c>
      <c r="B202" s="91"/>
      <c r="C202" s="91"/>
      <c r="D202" s="55">
        <f aca="true" t="shared" si="36" ref="D202:U202">SUM(D203:D209)</f>
        <v>3212</v>
      </c>
      <c r="E202" s="55">
        <f t="shared" si="36"/>
        <v>42</v>
      </c>
      <c r="F202" s="55">
        <f t="shared" si="36"/>
        <v>3484</v>
      </c>
      <c r="G202" s="55">
        <f t="shared" si="36"/>
        <v>0</v>
      </c>
      <c r="H202" s="55">
        <f t="shared" si="36"/>
        <v>3564</v>
      </c>
      <c r="I202" s="55">
        <f t="shared" si="36"/>
        <v>0</v>
      </c>
      <c r="J202" s="55">
        <f t="shared" si="36"/>
        <v>4497</v>
      </c>
      <c r="K202" s="55">
        <f t="shared" si="36"/>
        <v>0</v>
      </c>
      <c r="L202" s="55">
        <f t="shared" si="36"/>
        <v>4538</v>
      </c>
      <c r="M202" s="55">
        <f t="shared" si="36"/>
        <v>0</v>
      </c>
      <c r="N202" s="55">
        <f t="shared" si="36"/>
        <v>4813</v>
      </c>
      <c r="O202" s="55">
        <f t="shared" si="36"/>
        <v>2</v>
      </c>
      <c r="P202" s="55">
        <f t="shared" si="36"/>
        <v>4731</v>
      </c>
      <c r="Q202" s="55">
        <f t="shared" si="36"/>
        <v>35</v>
      </c>
      <c r="R202" s="55">
        <f t="shared" si="36"/>
        <v>5292</v>
      </c>
      <c r="S202" s="55">
        <f t="shared" si="36"/>
        <v>376</v>
      </c>
      <c r="T202" s="55">
        <f t="shared" si="36"/>
        <v>5231</v>
      </c>
      <c r="U202" s="55">
        <f t="shared" si="36"/>
        <v>162</v>
      </c>
      <c r="V202" s="55">
        <f>SUM(V203:V209)</f>
        <v>5060</v>
      </c>
      <c r="W202" s="55">
        <f>SUM(W203:W209)</f>
        <v>404</v>
      </c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23" ht="12.75">
      <c r="A203" s="10"/>
      <c r="B203" s="10" t="s">
        <v>20</v>
      </c>
      <c r="D203" s="65">
        <f>ROUND(305*1000/1936.27,0)</f>
        <v>158</v>
      </c>
      <c r="E203" s="65"/>
      <c r="F203" s="65">
        <f>ROUND((307000/1936.27),0)</f>
        <v>159</v>
      </c>
      <c r="G203" s="65"/>
      <c r="H203" s="65">
        <v>192</v>
      </c>
      <c r="I203" s="65"/>
      <c r="J203" s="65">
        <v>198</v>
      </c>
      <c r="K203" s="65"/>
      <c r="L203" s="65">
        <v>187</v>
      </c>
      <c r="M203" s="65"/>
      <c r="N203" s="65">
        <v>184</v>
      </c>
      <c r="O203" s="65">
        <v>2</v>
      </c>
      <c r="P203" s="65">
        <v>153</v>
      </c>
      <c r="Q203" s="65"/>
      <c r="R203" s="65">
        <v>109</v>
      </c>
      <c r="S203" s="65"/>
      <c r="T203" s="65">
        <v>109</v>
      </c>
      <c r="U203" s="65"/>
      <c r="V203" s="65">
        <v>112</v>
      </c>
      <c r="W203" s="65"/>
    </row>
    <row r="204" spans="1:23" ht="12.75">
      <c r="A204" s="10"/>
      <c r="B204" s="10" t="s">
        <v>21</v>
      </c>
      <c r="D204" s="65">
        <f>ROUND(4748*1000/1936.27,0)+1</f>
        <v>2453</v>
      </c>
      <c r="E204" s="44">
        <f>ROUND(81600/1936.27,0)</f>
        <v>42</v>
      </c>
      <c r="F204" s="65">
        <f>ROUND((4982000/1936.27),0)</f>
        <v>2573</v>
      </c>
      <c r="G204" s="44"/>
      <c r="H204" s="65">
        <v>2528</v>
      </c>
      <c r="I204" s="44"/>
      <c r="J204" s="65">
        <v>2798</v>
      </c>
      <c r="K204" s="44"/>
      <c r="L204" s="65">
        <v>2787</v>
      </c>
      <c r="M204" s="44"/>
      <c r="N204" s="65">
        <v>3043</v>
      </c>
      <c r="O204" s="44"/>
      <c r="P204" s="65">
        <v>2956</v>
      </c>
      <c r="Q204" s="44">
        <v>5</v>
      </c>
      <c r="R204" s="65">
        <v>3205</v>
      </c>
      <c r="S204" s="44">
        <v>292</v>
      </c>
      <c r="T204" s="65">
        <v>2851</v>
      </c>
      <c r="U204" s="44">
        <v>20</v>
      </c>
      <c r="V204" s="65">
        <v>2855</v>
      </c>
      <c r="W204" s="44">
        <v>208</v>
      </c>
    </row>
    <row r="205" spans="1:23" ht="12.75">
      <c r="A205" s="10"/>
      <c r="B205" s="10" t="s">
        <v>169</v>
      </c>
      <c r="D205" s="65"/>
      <c r="E205" s="44"/>
      <c r="F205" s="65"/>
      <c r="G205" s="44"/>
      <c r="H205" s="65"/>
      <c r="I205" s="44"/>
      <c r="J205" s="65">
        <v>551</v>
      </c>
      <c r="K205" s="44"/>
      <c r="L205" s="65">
        <v>548</v>
      </c>
      <c r="M205" s="44"/>
      <c r="N205" s="65">
        <v>563</v>
      </c>
      <c r="O205" s="44"/>
      <c r="P205" s="65">
        <v>542</v>
      </c>
      <c r="Q205" s="44"/>
      <c r="R205" s="65">
        <v>796</v>
      </c>
      <c r="S205" s="44">
        <v>84</v>
      </c>
      <c r="T205" s="65">
        <v>1023</v>
      </c>
      <c r="U205" s="44">
        <v>136</v>
      </c>
      <c r="V205" s="65">
        <v>902</v>
      </c>
      <c r="W205" s="44">
        <v>175</v>
      </c>
    </row>
    <row r="206" spans="1:23" ht="12.75">
      <c r="A206" s="10"/>
      <c r="B206" s="10" t="s">
        <v>22</v>
      </c>
      <c r="D206" s="65">
        <v>0</v>
      </c>
      <c r="E206" s="44"/>
      <c r="F206" s="65">
        <v>0</v>
      </c>
      <c r="G206" s="44"/>
      <c r="H206" s="65">
        <v>59</v>
      </c>
      <c r="I206" s="44"/>
      <c r="J206" s="65">
        <v>46</v>
      </c>
      <c r="K206" s="44"/>
      <c r="L206" s="65">
        <v>78</v>
      </c>
      <c r="M206" s="44"/>
      <c r="N206" s="65">
        <v>63</v>
      </c>
      <c r="O206" s="44"/>
      <c r="P206" s="65"/>
      <c r="Q206" s="44"/>
      <c r="R206" s="65"/>
      <c r="S206" s="44"/>
      <c r="T206" s="65"/>
      <c r="U206" s="44"/>
      <c r="V206" s="65"/>
      <c r="W206" s="44"/>
    </row>
    <row r="207" spans="1:23" ht="12.75">
      <c r="A207" s="10"/>
      <c r="B207" s="10" t="s">
        <v>23</v>
      </c>
      <c r="D207" s="65">
        <f>ROUND(113*1000/1936.27,0)</f>
        <v>58</v>
      </c>
      <c r="E207" s="44"/>
      <c r="F207" s="65">
        <f>ROUND((98000/1936.27),0)</f>
        <v>51</v>
      </c>
      <c r="G207" s="44"/>
      <c r="H207" s="65">
        <v>108</v>
      </c>
      <c r="I207" s="44"/>
      <c r="J207" s="65">
        <v>83</v>
      </c>
      <c r="K207" s="44"/>
      <c r="L207" s="65">
        <v>123</v>
      </c>
      <c r="M207" s="44"/>
      <c r="N207" s="65">
        <v>127</v>
      </c>
      <c r="O207" s="44"/>
      <c r="P207" s="65">
        <v>104</v>
      </c>
      <c r="Q207" s="44"/>
      <c r="R207" s="65">
        <v>104</v>
      </c>
      <c r="S207" s="44"/>
      <c r="T207" s="65">
        <v>104</v>
      </c>
      <c r="U207" s="44"/>
      <c r="V207" s="65">
        <v>104</v>
      </c>
      <c r="W207" s="44"/>
    </row>
    <row r="208" spans="1:23" ht="12.75">
      <c r="A208" s="10"/>
      <c r="B208" s="10" t="s">
        <v>87</v>
      </c>
      <c r="D208" s="65">
        <f>ROUND((975-113)*1000/1936.27,0)</f>
        <v>445</v>
      </c>
      <c r="E208" s="44"/>
      <c r="F208" s="65">
        <f>ROUND((1143000/1936.27),0)</f>
        <v>590</v>
      </c>
      <c r="G208" s="44"/>
      <c r="H208" s="65">
        <v>583</v>
      </c>
      <c r="I208" s="44"/>
      <c r="J208" s="65">
        <v>718</v>
      </c>
      <c r="K208" s="44"/>
      <c r="L208" s="65">
        <v>730</v>
      </c>
      <c r="M208" s="44"/>
      <c r="N208" s="65">
        <v>757</v>
      </c>
      <c r="O208" s="44"/>
      <c r="P208" s="65">
        <v>902</v>
      </c>
      <c r="Q208" s="44">
        <v>30</v>
      </c>
      <c r="R208" s="65">
        <v>1007</v>
      </c>
      <c r="S208" s="44"/>
      <c r="T208" s="65">
        <v>1073</v>
      </c>
      <c r="U208" s="44">
        <v>6</v>
      </c>
      <c r="V208" s="65">
        <v>1016</v>
      </c>
      <c r="W208" s="44">
        <v>21</v>
      </c>
    </row>
    <row r="209" spans="1:23" ht="12.75">
      <c r="A209" s="16"/>
      <c r="B209" s="16" t="s">
        <v>88</v>
      </c>
      <c r="D209" s="64">
        <v>98</v>
      </c>
      <c r="E209" s="64">
        <v>0</v>
      </c>
      <c r="F209" s="64">
        <v>111</v>
      </c>
      <c r="G209" s="64">
        <v>0</v>
      </c>
      <c r="H209" s="64">
        <v>94</v>
      </c>
      <c r="I209" s="64">
        <v>0</v>
      </c>
      <c r="J209" s="64">
        <v>103</v>
      </c>
      <c r="K209" s="64"/>
      <c r="L209" s="64">
        <v>85</v>
      </c>
      <c r="M209" s="64">
        <v>0</v>
      </c>
      <c r="N209" s="64">
        <v>76</v>
      </c>
      <c r="O209" s="64"/>
      <c r="P209" s="64">
        <v>74</v>
      </c>
      <c r="Q209" s="64"/>
      <c r="R209" s="64">
        <v>71</v>
      </c>
      <c r="S209" s="64"/>
      <c r="T209" s="64">
        <v>71</v>
      </c>
      <c r="U209" s="64"/>
      <c r="V209" s="64">
        <v>71</v>
      </c>
      <c r="W209" s="64"/>
    </row>
    <row r="210" spans="1:35" s="2" customFormat="1" ht="12.75">
      <c r="A210" s="90" t="s">
        <v>30</v>
      </c>
      <c r="B210" s="91"/>
      <c r="C210" s="91"/>
      <c r="D210" s="55">
        <f>SUM(D211:D217)</f>
        <v>3371.5</v>
      </c>
      <c r="E210" s="55">
        <f>SUM(E211:E217)</f>
        <v>0</v>
      </c>
      <c r="F210" s="55">
        <f>SUM(F211:F217)-1</f>
        <v>3499</v>
      </c>
      <c r="G210" s="55">
        <f aca="true" t="shared" si="37" ref="G210:U210">SUM(G211:G217)</f>
        <v>0</v>
      </c>
      <c r="H210" s="55">
        <f t="shared" si="37"/>
        <v>3534</v>
      </c>
      <c r="I210" s="55">
        <f t="shared" si="37"/>
        <v>0</v>
      </c>
      <c r="J210" s="55">
        <f t="shared" si="37"/>
        <v>3683</v>
      </c>
      <c r="K210" s="55">
        <f t="shared" si="37"/>
        <v>0</v>
      </c>
      <c r="L210" s="55">
        <f t="shared" si="37"/>
        <v>3773</v>
      </c>
      <c r="M210" s="55">
        <f t="shared" si="37"/>
        <v>0</v>
      </c>
      <c r="N210" s="55">
        <f t="shared" si="37"/>
        <v>3779</v>
      </c>
      <c r="O210" s="55">
        <f t="shared" si="37"/>
        <v>0</v>
      </c>
      <c r="P210" s="55">
        <f t="shared" si="37"/>
        <v>3845</v>
      </c>
      <c r="Q210" s="55">
        <f t="shared" si="37"/>
        <v>18</v>
      </c>
      <c r="R210" s="55">
        <f t="shared" si="37"/>
        <v>3812</v>
      </c>
      <c r="S210" s="55">
        <f t="shared" si="37"/>
        <v>13</v>
      </c>
      <c r="T210" s="55">
        <f t="shared" si="37"/>
        <v>3823</v>
      </c>
      <c r="U210" s="55">
        <f t="shared" si="37"/>
        <v>0</v>
      </c>
      <c r="V210" s="55">
        <f>SUM(V211:V217)</f>
        <v>3589</v>
      </c>
      <c r="W210" s="55">
        <f>SUM(W211:W217)</f>
        <v>0</v>
      </c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23" ht="12.75">
      <c r="A211" s="10"/>
      <c r="B211" s="10" t="s">
        <v>20</v>
      </c>
      <c r="D211" s="65">
        <f>ROUND(397*1000/1936.27,0)</f>
        <v>205</v>
      </c>
      <c r="E211" s="65"/>
      <c r="F211" s="65">
        <f>ROUND((448000/1936.27),0)</f>
        <v>231</v>
      </c>
      <c r="G211" s="65"/>
      <c r="H211" s="65">
        <v>197</v>
      </c>
      <c r="I211" s="65"/>
      <c r="J211" s="65">
        <v>211</v>
      </c>
      <c r="K211" s="65"/>
      <c r="L211" s="65">
        <v>172</v>
      </c>
      <c r="M211" s="65"/>
      <c r="N211" s="65">
        <v>189</v>
      </c>
      <c r="O211" s="65"/>
      <c r="P211" s="65">
        <v>253</v>
      </c>
      <c r="Q211" s="65">
        <v>18</v>
      </c>
      <c r="R211" s="65">
        <v>230</v>
      </c>
      <c r="S211" s="65"/>
      <c r="T211" s="65">
        <v>194</v>
      </c>
      <c r="U211" s="65"/>
      <c r="V211" s="65">
        <v>133</v>
      </c>
      <c r="W211" s="65"/>
    </row>
    <row r="212" spans="1:23" ht="12.75">
      <c r="A212" s="10"/>
      <c r="B212" s="10" t="s">
        <v>21</v>
      </c>
      <c r="D212" s="65">
        <f>ROUND(4632*1000/1936.27,0)+0.5</f>
        <v>2392.5</v>
      </c>
      <c r="E212" s="44"/>
      <c r="F212" s="65">
        <f>ROUND((4482000/1936.27),0)</f>
        <v>2315</v>
      </c>
      <c r="G212" s="44"/>
      <c r="H212" s="65">
        <v>2265</v>
      </c>
      <c r="I212" s="44"/>
      <c r="J212" s="65">
        <v>2499</v>
      </c>
      <c r="K212" s="44"/>
      <c r="L212" s="65">
        <v>2503</v>
      </c>
      <c r="M212" s="44"/>
      <c r="N212" s="65">
        <v>2492</v>
      </c>
      <c r="O212" s="44"/>
      <c r="P212" s="65">
        <v>2550</v>
      </c>
      <c r="Q212" s="44"/>
      <c r="R212" s="65">
        <v>2503</v>
      </c>
      <c r="S212" s="44">
        <v>12</v>
      </c>
      <c r="T212" s="65">
        <v>2431</v>
      </c>
      <c r="U212" s="44"/>
      <c r="V212" s="65">
        <v>2242</v>
      </c>
      <c r="W212" s="44"/>
    </row>
    <row r="213" spans="1:23" ht="12.75">
      <c r="A213" s="10"/>
      <c r="B213" s="10" t="s">
        <v>170</v>
      </c>
      <c r="D213" s="65"/>
      <c r="E213" s="44"/>
      <c r="F213" s="65"/>
      <c r="G213" s="44"/>
      <c r="H213" s="65"/>
      <c r="I213" s="44"/>
      <c r="J213" s="65"/>
      <c r="K213" s="44"/>
      <c r="L213" s="65"/>
      <c r="M213" s="44"/>
      <c r="N213" s="65"/>
      <c r="O213" s="44"/>
      <c r="P213" s="65"/>
      <c r="Q213" s="44"/>
      <c r="R213" s="65"/>
      <c r="S213" s="44"/>
      <c r="T213" s="65"/>
      <c r="U213" s="44"/>
      <c r="V213" s="65">
        <v>7</v>
      </c>
      <c r="W213" s="44"/>
    </row>
    <row r="214" spans="1:23" ht="12.75">
      <c r="A214" s="10"/>
      <c r="B214" s="10" t="s">
        <v>22</v>
      </c>
      <c r="D214" s="65">
        <v>0</v>
      </c>
      <c r="E214" s="44"/>
      <c r="F214" s="65">
        <v>0</v>
      </c>
      <c r="G214" s="44"/>
      <c r="H214" s="65">
        <v>32</v>
      </c>
      <c r="I214" s="44"/>
      <c r="J214" s="65">
        <v>40</v>
      </c>
      <c r="K214" s="44"/>
      <c r="L214" s="65">
        <v>43</v>
      </c>
      <c r="M214" s="44"/>
      <c r="N214" s="65">
        <v>48</v>
      </c>
      <c r="O214" s="44"/>
      <c r="P214" s="65"/>
      <c r="Q214" s="44"/>
      <c r="R214" s="65"/>
      <c r="S214" s="44"/>
      <c r="T214" s="65"/>
      <c r="U214" s="44"/>
      <c r="V214" s="65"/>
      <c r="W214" s="44"/>
    </row>
    <row r="215" spans="1:23" ht="12.75">
      <c r="A215" s="10"/>
      <c r="B215" s="10" t="s">
        <v>23</v>
      </c>
      <c r="D215" s="65">
        <v>0</v>
      </c>
      <c r="E215" s="44"/>
      <c r="F215" s="65">
        <f>ROUND((56000/1936.27),0)</f>
        <v>29</v>
      </c>
      <c r="G215" s="44"/>
      <c r="H215" s="65">
        <v>29</v>
      </c>
      <c r="I215" s="44"/>
      <c r="J215" s="65">
        <v>35</v>
      </c>
      <c r="K215" s="44"/>
      <c r="L215" s="65">
        <v>44</v>
      </c>
      <c r="M215" s="44"/>
      <c r="N215" s="65">
        <v>60</v>
      </c>
      <c r="O215" s="44"/>
      <c r="P215" s="65">
        <v>65</v>
      </c>
      <c r="Q215" s="44"/>
      <c r="R215" s="65">
        <v>65</v>
      </c>
      <c r="S215" s="44"/>
      <c r="T215" s="65">
        <v>77</v>
      </c>
      <c r="U215" s="44"/>
      <c r="V215" s="65">
        <v>65</v>
      </c>
      <c r="W215" s="44"/>
    </row>
    <row r="216" spans="1:23" ht="12.75">
      <c r="A216" s="10"/>
      <c r="B216" s="10" t="s">
        <v>87</v>
      </c>
      <c r="D216" s="65">
        <f>ROUND(1301*1000/1936.27,0)</f>
        <v>672</v>
      </c>
      <c r="E216" s="44"/>
      <c r="F216" s="65">
        <f>ROUND((1587000/1936.27),0)</f>
        <v>820</v>
      </c>
      <c r="G216" s="44"/>
      <c r="H216" s="65">
        <v>849</v>
      </c>
      <c r="I216" s="44"/>
      <c r="J216" s="65">
        <v>898</v>
      </c>
      <c r="K216" s="44"/>
      <c r="L216" s="65">
        <v>984</v>
      </c>
      <c r="M216" s="44"/>
      <c r="N216" s="65">
        <v>938</v>
      </c>
      <c r="O216" s="44"/>
      <c r="P216" s="65">
        <v>921</v>
      </c>
      <c r="Q216" s="44"/>
      <c r="R216" s="65">
        <v>938</v>
      </c>
      <c r="S216" s="44"/>
      <c r="T216" s="65">
        <v>1034</v>
      </c>
      <c r="U216" s="44"/>
      <c r="V216" s="65">
        <v>1076</v>
      </c>
      <c r="W216" s="44"/>
    </row>
    <row r="217" spans="1:23" ht="12.75">
      <c r="A217" s="10"/>
      <c r="B217" s="10" t="s">
        <v>88</v>
      </c>
      <c r="D217" s="65">
        <v>102</v>
      </c>
      <c r="E217" s="65">
        <v>0</v>
      </c>
      <c r="F217" s="65">
        <v>105</v>
      </c>
      <c r="G217" s="65">
        <v>0</v>
      </c>
      <c r="H217" s="65">
        <v>162</v>
      </c>
      <c r="I217" s="65">
        <v>0</v>
      </c>
      <c r="J217" s="65"/>
      <c r="K217" s="65">
        <v>0</v>
      </c>
      <c r="L217" s="65">
        <v>27</v>
      </c>
      <c r="M217" s="65">
        <v>0</v>
      </c>
      <c r="N217" s="65">
        <v>52</v>
      </c>
      <c r="O217" s="65"/>
      <c r="P217" s="65">
        <v>56</v>
      </c>
      <c r="Q217" s="65"/>
      <c r="R217" s="65">
        <v>76</v>
      </c>
      <c r="S217" s="65">
        <v>1</v>
      </c>
      <c r="T217" s="65">
        <v>87</v>
      </c>
      <c r="U217" s="65"/>
      <c r="V217" s="65">
        <v>66</v>
      </c>
      <c r="W217" s="65"/>
    </row>
    <row r="218" spans="1:35" s="2" customFormat="1" ht="12.75">
      <c r="A218" s="90" t="s">
        <v>31</v>
      </c>
      <c r="B218" s="91"/>
      <c r="C218" s="91"/>
      <c r="D218" s="55">
        <f>SUM(D219:D225)</f>
        <v>3968</v>
      </c>
      <c r="E218" s="55">
        <f aca="true" t="shared" si="38" ref="E218:U218">SUM(E219:E225)</f>
        <v>15</v>
      </c>
      <c r="F218" s="55">
        <f t="shared" si="38"/>
        <v>4162</v>
      </c>
      <c r="G218" s="55">
        <f t="shared" si="38"/>
        <v>15.493706972684596</v>
      </c>
      <c r="H218" s="55">
        <f t="shared" si="38"/>
        <v>4559</v>
      </c>
      <c r="I218" s="55">
        <f t="shared" si="38"/>
        <v>5</v>
      </c>
      <c r="J218" s="55">
        <f t="shared" si="38"/>
        <v>4761</v>
      </c>
      <c r="K218" s="55">
        <f t="shared" si="38"/>
        <v>0</v>
      </c>
      <c r="L218" s="55">
        <f t="shared" si="38"/>
        <v>4837</v>
      </c>
      <c r="M218" s="55">
        <f t="shared" si="38"/>
        <v>15</v>
      </c>
      <c r="N218" s="55">
        <f t="shared" si="38"/>
        <v>4854</v>
      </c>
      <c r="O218" s="55">
        <f t="shared" si="38"/>
        <v>0</v>
      </c>
      <c r="P218" s="55">
        <f t="shared" si="38"/>
        <v>4804</v>
      </c>
      <c r="Q218" s="55">
        <f t="shared" si="38"/>
        <v>6</v>
      </c>
      <c r="R218" s="55">
        <f t="shared" si="38"/>
        <v>5085</v>
      </c>
      <c r="S218" s="55">
        <f t="shared" si="38"/>
        <v>226</v>
      </c>
      <c r="T218" s="55">
        <f t="shared" si="38"/>
        <v>5152</v>
      </c>
      <c r="U218" s="55">
        <f t="shared" si="38"/>
        <v>165</v>
      </c>
      <c r="V218" s="55">
        <f>SUM(V219:V225)</f>
        <v>5203</v>
      </c>
      <c r="W218" s="55">
        <f>SUM(W219:W225)</f>
        <v>342</v>
      </c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23" ht="12.75">
      <c r="A219" s="15"/>
      <c r="B219" s="10" t="s">
        <v>20</v>
      </c>
      <c r="D219" s="65">
        <f>ROUND(674*1000/1936.27,0)+1</f>
        <v>349</v>
      </c>
      <c r="E219" s="65"/>
      <c r="F219" s="65">
        <f>ROUND((598000/1936.27),0)</f>
        <v>309</v>
      </c>
      <c r="G219" s="65"/>
      <c r="H219" s="65">
        <v>289</v>
      </c>
      <c r="I219" s="65"/>
      <c r="J219" s="65">
        <v>199</v>
      </c>
      <c r="K219" s="65"/>
      <c r="L219" s="65">
        <v>263</v>
      </c>
      <c r="M219" s="65"/>
      <c r="N219" s="65">
        <v>275</v>
      </c>
      <c r="O219" s="65"/>
      <c r="P219" s="65">
        <v>335</v>
      </c>
      <c r="Q219" s="65"/>
      <c r="R219" s="65">
        <v>222</v>
      </c>
      <c r="S219" s="65"/>
      <c r="T219" s="65">
        <v>170</v>
      </c>
      <c r="U219" s="65"/>
      <c r="V219" s="65">
        <v>97</v>
      </c>
      <c r="W219" s="65"/>
    </row>
    <row r="220" spans="1:23" ht="12.75">
      <c r="A220" s="15"/>
      <c r="B220" s="10" t="s">
        <v>21</v>
      </c>
      <c r="D220" s="65">
        <f>ROUND(5196*1000/1936.27,0)</f>
        <v>2684</v>
      </c>
      <c r="E220" s="46"/>
      <c r="F220" s="65">
        <f>ROUND((5430000/1936.27),0)</f>
        <v>2804</v>
      </c>
      <c r="G220" s="46">
        <f>30/1.93627</f>
        <v>15.493706972684596</v>
      </c>
      <c r="H220" s="65">
        <v>2883</v>
      </c>
      <c r="I220" s="46"/>
      <c r="J220" s="65">
        <v>2919</v>
      </c>
      <c r="K220" s="46"/>
      <c r="L220" s="65">
        <v>2929</v>
      </c>
      <c r="M220" s="46"/>
      <c r="N220" s="65">
        <v>2719</v>
      </c>
      <c r="O220" s="46"/>
      <c r="P220" s="65">
        <v>2692</v>
      </c>
      <c r="Q220" s="46">
        <v>6</v>
      </c>
      <c r="R220" s="65">
        <v>2993</v>
      </c>
      <c r="S220" s="46">
        <v>112</v>
      </c>
      <c r="T220" s="65">
        <v>3103</v>
      </c>
      <c r="U220" s="46">
        <v>75</v>
      </c>
      <c r="V220" s="65">
        <v>3026</v>
      </c>
      <c r="W220" s="46">
        <v>309</v>
      </c>
    </row>
    <row r="221" spans="1:23" ht="12.75">
      <c r="A221" s="15"/>
      <c r="B221" s="10" t="s">
        <v>169</v>
      </c>
      <c r="D221" s="65"/>
      <c r="E221" s="46"/>
      <c r="F221" s="65"/>
      <c r="G221" s="46"/>
      <c r="H221" s="65"/>
      <c r="I221" s="46"/>
      <c r="J221" s="65">
        <v>353</v>
      </c>
      <c r="K221" s="46"/>
      <c r="L221" s="65">
        <v>304</v>
      </c>
      <c r="M221" s="46"/>
      <c r="N221" s="65">
        <v>297</v>
      </c>
      <c r="O221" s="46"/>
      <c r="P221" s="65">
        <v>291</v>
      </c>
      <c r="Q221" s="46"/>
      <c r="R221" s="65">
        <v>300</v>
      </c>
      <c r="S221" s="46">
        <v>114</v>
      </c>
      <c r="T221" s="65">
        <v>283</v>
      </c>
      <c r="U221" s="46">
        <v>90</v>
      </c>
      <c r="V221" s="65">
        <v>588</v>
      </c>
      <c r="W221" s="46">
        <v>33</v>
      </c>
    </row>
    <row r="222" spans="1:23" ht="12.75">
      <c r="A222" s="15"/>
      <c r="B222" s="10" t="s">
        <v>22</v>
      </c>
      <c r="D222" s="65">
        <v>0</v>
      </c>
      <c r="E222" s="46"/>
      <c r="F222" s="65">
        <v>0</v>
      </c>
      <c r="G222" s="46"/>
      <c r="H222" s="65">
        <v>58</v>
      </c>
      <c r="I222" s="46"/>
      <c r="J222" s="65">
        <v>79</v>
      </c>
      <c r="K222" s="46"/>
      <c r="L222" s="65">
        <v>50</v>
      </c>
      <c r="M222" s="46"/>
      <c r="N222" s="65">
        <v>91</v>
      </c>
      <c r="O222" s="46"/>
      <c r="P222" s="65"/>
      <c r="Q222" s="46"/>
      <c r="R222" s="65"/>
      <c r="S222" s="46"/>
      <c r="T222" s="65"/>
      <c r="U222" s="46"/>
      <c r="V222" s="65"/>
      <c r="W222" s="46"/>
    </row>
    <row r="223" spans="1:23" ht="12.75">
      <c r="A223" s="15"/>
      <c r="B223" s="10" t="s">
        <v>23</v>
      </c>
      <c r="D223" s="65">
        <f>ROUND(110*1000/1936.27,0)</f>
        <v>57</v>
      </c>
      <c r="E223" s="46"/>
      <c r="F223" s="65">
        <f>ROUND((139000/1936.27),0)</f>
        <v>72</v>
      </c>
      <c r="G223" s="46"/>
      <c r="H223" s="65">
        <v>72</v>
      </c>
      <c r="I223" s="46"/>
      <c r="J223" s="65">
        <v>85</v>
      </c>
      <c r="K223" s="46"/>
      <c r="L223" s="65">
        <v>118</v>
      </c>
      <c r="M223" s="46"/>
      <c r="N223" s="65">
        <v>131</v>
      </c>
      <c r="O223" s="46"/>
      <c r="P223" s="65">
        <v>154</v>
      </c>
      <c r="Q223" s="46"/>
      <c r="R223" s="65">
        <v>166</v>
      </c>
      <c r="S223" s="46"/>
      <c r="T223" s="65">
        <v>178</v>
      </c>
      <c r="U223" s="46"/>
      <c r="V223" s="65">
        <v>178</v>
      </c>
      <c r="W223" s="46"/>
    </row>
    <row r="224" spans="1:23" ht="12.75">
      <c r="A224" s="15"/>
      <c r="B224" s="10" t="s">
        <v>87</v>
      </c>
      <c r="D224" s="65">
        <f>ROUND((1487-110)*1000/1936.27,0)</f>
        <v>711</v>
      </c>
      <c r="E224" s="46"/>
      <c r="F224" s="65">
        <f>ROUND((1589000/1936.27),0)</f>
        <v>821</v>
      </c>
      <c r="G224" s="46"/>
      <c r="H224" s="65">
        <v>924</v>
      </c>
      <c r="I224" s="46"/>
      <c r="J224" s="65">
        <v>853</v>
      </c>
      <c r="K224" s="46"/>
      <c r="L224" s="65">
        <v>949</v>
      </c>
      <c r="M224" s="46"/>
      <c r="N224" s="65">
        <v>1077</v>
      </c>
      <c r="O224" s="46"/>
      <c r="P224" s="65">
        <v>1056</v>
      </c>
      <c r="Q224" s="46"/>
      <c r="R224" s="65">
        <v>1133</v>
      </c>
      <c r="S224" s="46"/>
      <c r="T224" s="65">
        <v>1170</v>
      </c>
      <c r="U224" s="46"/>
      <c r="V224" s="65">
        <v>1092</v>
      </c>
      <c r="W224" s="46"/>
    </row>
    <row r="225" spans="1:23" ht="12.75">
      <c r="A225" s="15"/>
      <c r="B225" s="10" t="s">
        <v>88</v>
      </c>
      <c r="D225" s="64">
        <v>167</v>
      </c>
      <c r="E225" s="64">
        <v>15</v>
      </c>
      <c r="F225" s="64">
        <v>156</v>
      </c>
      <c r="G225" s="64">
        <v>0</v>
      </c>
      <c r="H225" s="64">
        <v>333</v>
      </c>
      <c r="I225" s="64">
        <v>5</v>
      </c>
      <c r="J225" s="64">
        <v>273</v>
      </c>
      <c r="K225" s="64"/>
      <c r="L225" s="64">
        <v>224</v>
      </c>
      <c r="M225" s="64">
        <v>15</v>
      </c>
      <c r="N225" s="64">
        <v>264</v>
      </c>
      <c r="O225" s="64"/>
      <c r="P225" s="64">
        <v>276</v>
      </c>
      <c r="Q225" s="64"/>
      <c r="R225" s="64">
        <v>271</v>
      </c>
      <c r="S225" s="64"/>
      <c r="T225" s="64">
        <v>248</v>
      </c>
      <c r="U225" s="64"/>
      <c r="V225" s="64">
        <v>222</v>
      </c>
      <c r="W225" s="64"/>
    </row>
    <row r="226" spans="1:23" ht="15.75">
      <c r="A226" s="94" t="s">
        <v>32</v>
      </c>
      <c r="B226" s="95"/>
      <c r="C226" s="95"/>
      <c r="D226" s="66">
        <f>+D140+D134+D118+D114+D107+D98+D86+D68+D31+D9</f>
        <v>128265</v>
      </c>
      <c r="E226" s="66">
        <f aca="true" t="shared" si="39" ref="E226:W226">+E140+E134+E118+E114+E107+E98+E86+E68+E31+E9</f>
        <v>19397</v>
      </c>
      <c r="F226" s="66">
        <f t="shared" si="39"/>
        <v>127825</v>
      </c>
      <c r="G226" s="66">
        <f t="shared" si="39"/>
        <v>15916.172217717569</v>
      </c>
      <c r="H226" s="66">
        <f t="shared" si="39"/>
        <v>138404</v>
      </c>
      <c r="I226" s="66">
        <f t="shared" si="39"/>
        <v>21935</v>
      </c>
      <c r="J226" s="66">
        <f t="shared" si="39"/>
        <v>144124</v>
      </c>
      <c r="K226" s="66">
        <f t="shared" si="39"/>
        <v>23234</v>
      </c>
      <c r="L226" s="66">
        <f t="shared" si="39"/>
        <v>151822</v>
      </c>
      <c r="M226" s="66">
        <f t="shared" si="39"/>
        <v>24838</v>
      </c>
      <c r="N226" s="66">
        <f t="shared" si="39"/>
        <v>154094</v>
      </c>
      <c r="O226" s="66">
        <f t="shared" si="39"/>
        <v>28122</v>
      </c>
      <c r="P226" s="66">
        <f t="shared" si="39"/>
        <v>135717</v>
      </c>
      <c r="Q226" s="66">
        <f t="shared" si="39"/>
        <v>17471</v>
      </c>
      <c r="R226" s="66">
        <f t="shared" si="39"/>
        <v>150965</v>
      </c>
      <c r="S226" s="66">
        <f t="shared" si="39"/>
        <v>25758</v>
      </c>
      <c r="T226" s="66">
        <f t="shared" si="39"/>
        <v>157499</v>
      </c>
      <c r="U226" s="66">
        <f t="shared" si="39"/>
        <v>32689</v>
      </c>
      <c r="V226" s="66">
        <f t="shared" si="39"/>
        <v>149631</v>
      </c>
      <c r="W226" s="66">
        <f t="shared" si="39"/>
        <v>32167</v>
      </c>
    </row>
    <row r="227" ht="6" customHeight="1">
      <c r="A227" s="21"/>
    </row>
    <row r="228" spans="1:19" ht="12.75">
      <c r="A228" s="17" t="s">
        <v>56</v>
      </c>
      <c r="N228" s="27"/>
      <c r="O228" s="27"/>
      <c r="P228" s="27"/>
      <c r="Q228" s="27"/>
      <c r="R228" s="27"/>
      <c r="S228" s="27"/>
    </row>
    <row r="229" ht="12.75">
      <c r="A229" s="17" t="s">
        <v>89</v>
      </c>
    </row>
    <row r="230" ht="3" customHeight="1"/>
    <row r="231" ht="12.75">
      <c r="A231" s="28" t="s">
        <v>115</v>
      </c>
    </row>
    <row r="232" ht="12.75">
      <c r="A232" s="21"/>
    </row>
    <row r="233" spans="1:23" ht="12.75">
      <c r="A233" s="21"/>
      <c r="L233" s="52"/>
      <c r="M233" s="52"/>
      <c r="O233" s="52"/>
      <c r="Q233" s="52"/>
      <c r="S233" s="52"/>
      <c r="T233" s="52"/>
      <c r="U233" s="52"/>
      <c r="V233" s="52"/>
      <c r="W233" s="52"/>
    </row>
    <row r="234" ht="12.75">
      <c r="A234" s="17"/>
    </row>
    <row r="235" ht="12.75">
      <c r="A235" s="17"/>
    </row>
    <row r="236" spans="1:35" s="1" customFormat="1" ht="12.75">
      <c r="A236" s="17"/>
      <c r="B236" s="3"/>
      <c r="C236" s="3"/>
      <c r="D236" s="52"/>
      <c r="E236" s="52"/>
      <c r="F236" s="52"/>
      <c r="G236" s="52"/>
      <c r="H236" s="52"/>
      <c r="I236" s="52"/>
      <c r="J236" s="52"/>
      <c r="K236" s="52"/>
      <c r="L236" s="67"/>
      <c r="M236" s="67"/>
      <c r="N236" s="52"/>
      <c r="O236" s="67"/>
      <c r="P236" s="52"/>
      <c r="Q236" s="67"/>
      <c r="R236" s="52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8" ht="12.75">
      <c r="A258" s="17"/>
    </row>
    <row r="412" ht="12.75">
      <c r="E412" s="52">
        <f>133000</f>
        <v>133000</v>
      </c>
    </row>
    <row r="414" ht="12.75">
      <c r="E414" s="52">
        <v>1936.27</v>
      </c>
    </row>
    <row r="415" ht="12.75">
      <c r="E415" s="52">
        <f>+E412/E414</f>
        <v>68.6887675789017</v>
      </c>
    </row>
    <row r="445" ht="12.75">
      <c r="D445" s="52" t="s">
        <v>33</v>
      </c>
    </row>
  </sheetData>
  <hyperlinks>
    <hyperlink ref="A78:C78" location="ISTRUZIONE!D1" display="ISTRUZIONE!D1"/>
    <hyperlink ref="A78" location="ISTRUZIONE!E1" display="ISTRUZIONE!E1"/>
    <hyperlink ref="C78" location="ISTRUZIONE!V1" display="ISTRUZIONE!V1"/>
    <hyperlink ref="A53:C53" location="'Lavori pubblici'!A1" display="'Lavori pubblici'!A1"/>
    <hyperlink ref="A40:C40" location="'Ambiente e verde'!A1" display="'Ambiente e verde'!A1"/>
    <hyperlink ref="A123:C123" location="PERSONALE!R1" display="PERSONALE!R1"/>
    <hyperlink ref="A114:C114" location="'P&amp;C'!S1" display="'P&amp;C'!S1"/>
    <hyperlink ref="A119:C119" location="'SISTEMI INFO'!S1" display="'SISTEMI INFO'!S1"/>
    <hyperlink ref="A98:C98" location="ECONOMIA!T1" display="ECONOMIA!T1"/>
    <hyperlink ref="A86:C86" location="CULTURA!R1" display="CULTURA!R1"/>
    <hyperlink ref="A44:C44" location="MOBILITA!T1" display="MOBILITA!T1"/>
    <hyperlink ref="A36:C36" location="'Programmi urbanistici'!A1" display="'Programmi urbanistici'!A1"/>
    <hyperlink ref="A72:C72" location="'SERVIZI SOCIALI'!T1" display="'SERVIZI SOCIALI'!T1"/>
    <hyperlink ref="A13:C13" location="GABINETTO!S1" display="GABINETTO!S1"/>
    <hyperlink ref="A29:C29" location="SEGR.GEN!t1" display="SEGR.GEN!t1"/>
    <hyperlink ref="A19:C19" location="PM!S1" display="PM!S1"/>
    <hyperlink ref="A30:C30" location="'STAFF CONS'!S1" display="'STAFF CONS'!S1"/>
    <hyperlink ref="A25:C25" location="LEGALE!S1" display="LEGALE!S1"/>
    <hyperlink ref="A130:C130" location="Comunicazione!A1" display="Comunicazione!A1"/>
    <hyperlink ref="A140" location="QUARTIERI!A1" display="QUARTIERI!A1"/>
    <hyperlink ref="A134:C134" location="'AFFARI IST'!S1" display="'AFFARI IST'!S1"/>
    <hyperlink ref="A110:C110" location="ACQUISTI!S1" display="ACQUISTI!S1"/>
    <hyperlink ref="A10:C10" location="'DIREZIONE GEN'!S1" display="'DIREZIONE GEN'!S1"/>
    <hyperlink ref="A226:C226" location="TOTALE!T1" display="TOTALE!T1"/>
    <hyperlink ref="A108:C108" location="RAGIONERIA!A1" display="RAGIONERIA!A1"/>
    <hyperlink ref="A109:C109" location="ENTRATE!A1" display="ENTRATE!A1"/>
    <hyperlink ref="A67:C67" location="PATRIMONIO!A1" display="PATRIMONIO!A1"/>
    <hyperlink ref="A85:C85" location="'Interventi per casa'!A1" display="'Interventi per casa'!A1"/>
    <hyperlink ref="A10" location="'SEG GEN'!A1" display="'SEG GEN'!A1"/>
    <hyperlink ref="A13" location="Gabinetto!A1" display="Gabinetto!A1"/>
    <hyperlink ref="A30" location="'Consulenza giu'!A1" display="'Consulenza giu'!A1"/>
    <hyperlink ref="A25" location="Avvocatura!A1" display="Avvocatura!A1"/>
    <hyperlink ref="A29" location="'Segreteria Generale'!A1" display="'Segreteria Generale'!A1"/>
    <hyperlink ref="A134" location="'Affari ist'!A1" display="'Affari ist'!A1"/>
    <hyperlink ref="A108" location="Finanze!A1" display="Finanze!A1"/>
    <hyperlink ref="A110" location="Gare!A1" display="Gare!A1"/>
    <hyperlink ref="A123" location="'Personale '!A1" display="'Personale '!A1"/>
    <hyperlink ref="A114" location="'Dip Programmazione'!A1" display="'Dip Programmazione'!A1"/>
    <hyperlink ref="A119" location="'Sistemi info'!A1" display="'Sistemi info'!A1"/>
    <hyperlink ref="A53" location="LLPP!A1" display="LLPP!A1"/>
    <hyperlink ref="A72" location="'Sociale e salute'!A1" display="'Sociale e salute'!A1"/>
    <hyperlink ref="A86" location="Cultura!A1" display="Cultura!A1"/>
    <hyperlink ref="A98" location="'Vivibilità urbana'!A1" display="'Vivibilità urbana'!A1"/>
    <hyperlink ref="A36" location="Urbanistica!A1" display="Urbanistica!A1"/>
    <hyperlink ref="A44" location="Mobilità!A1" display="Mobilità!A1"/>
    <hyperlink ref="A85" location="Casa!A1" display="Casa!A1"/>
    <hyperlink ref="A40" location="'Ambiente '!A1" display="'Ambiente '!A1"/>
    <hyperlink ref="A130" location="'Comunicazione '!A1" display="'Comunicazione '!A1"/>
    <hyperlink ref="A19" location="PM!A1" display="PM!A1"/>
    <hyperlink ref="A226" location="'TOTALE CS'!A1" display="'TOTALE CS'!A1"/>
    <hyperlink ref="A9" location="'Staff politico isti'!A1" display="'Staff politico isti'!A1"/>
    <hyperlink ref="A31" location="'Dip Qualità città'!A1" display="'Dip Qualità città'!A1"/>
    <hyperlink ref="A141" location="'Coord Quartieri'!A1" display="'Coord Quartieri'!A1"/>
    <hyperlink ref="A153" location="Q.Borgo!A1" display="Q.Borgo!A1"/>
    <hyperlink ref="A161" location="Q.Navile!A1" display="Q.Navile!A1"/>
    <hyperlink ref="A170" location="Q.Porto!A1" display="Q.Porto!A1"/>
    <hyperlink ref="A179" location="Q.Reno!A1" display="Q.Reno!A1"/>
    <hyperlink ref="A187" location="Q.SDonato!A1" display="Q.SDonato!A1"/>
    <hyperlink ref="A194" location="Q.SStefano!A1" display="Q.SStefano!A1"/>
    <hyperlink ref="A202" location="Q.SVitale!A1" display="Q.SVitale!A1"/>
    <hyperlink ref="A210" location="Q.Saragozza!A1" display="Q.Saragozza!A1"/>
    <hyperlink ref="A218" location="Q.Savena!A1" display="Q.Savena!A1"/>
    <hyperlink ref="A32" location="'Dir Dip Qualità città '!A1" display="'Dir Dip Qualità città '!A1"/>
    <hyperlink ref="A68" location="'Dip servizi famiglie'!A1" display="'Dip servizi famiglie'!A1"/>
    <hyperlink ref="A69" location="'Dir Dip servizi famiglie'!A1" display="'Dir Dip servizi famiglie'!A1"/>
    <hyperlink ref="A107" location="'Dip bilancio'!A1" display="'Dip bilancio'!A1"/>
    <hyperlink ref="A118" location="'Dip Organizzazione'!A1" display="'Dip Organizzazione'!A1"/>
    <hyperlink ref="A26" location="Mark_ter!A1" display="Mark_ter!A1"/>
  </hyperlinks>
  <printOptions/>
  <pageMargins left="0.18" right="0.18" top="0.21" bottom="0.13" header="0.14" footer="0.12"/>
  <pageSetup horizontalDpi="600" verticalDpi="600" orientation="landscape" paperSize="9" scale="60" r:id="rId1"/>
  <rowBreaks count="1" manualBreakCount="1">
    <brk id="5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7" width="7.140625" style="0" bestFit="1" customWidth="1"/>
    <col min="8" max="9" width="7.7109375" style="0" bestFit="1" customWidth="1"/>
    <col min="10" max="10" width="7.140625" style="0" bestFit="1" customWidth="1"/>
    <col min="11" max="11" width="7.140625" style="0" customWidth="1"/>
  </cols>
  <sheetData>
    <row r="1" ht="12.75">
      <c r="A1" s="119" t="s">
        <v>126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'!D30</f>
        <v>361</v>
      </c>
      <c r="C3" s="34">
        <f>+'Cons spec netti '!E30</f>
        <v>339</v>
      </c>
      <c r="D3" s="34">
        <f>+'Cons spec netti '!F30</f>
        <v>265</v>
      </c>
      <c r="E3" s="34">
        <f>+'Cons spec netti '!G30</f>
        <v>250</v>
      </c>
      <c r="F3" s="34">
        <f>+'Cons spec netti '!H30</f>
        <v>359</v>
      </c>
      <c r="G3" s="34">
        <f>+'Cons spec netti '!I30</f>
        <v>378</v>
      </c>
      <c r="H3" s="34">
        <f>+'Cons spec netti '!J30</f>
        <v>310</v>
      </c>
      <c r="I3" s="34">
        <f>+'Cons spec netti '!K30</f>
        <v>296</v>
      </c>
      <c r="J3" s="34">
        <f>+'Cons spec netti '!L30</f>
        <v>263</v>
      </c>
      <c r="K3" s="34">
        <f>+'Cons spec netti '!M30</f>
        <v>261</v>
      </c>
    </row>
    <row r="4" spans="1:11" ht="15" customHeight="1">
      <c r="A4" s="41" t="s">
        <v>38</v>
      </c>
      <c r="B4" s="34">
        <f>+'Cons spec tot e finalizzati'!E30</f>
        <v>0</v>
      </c>
      <c r="C4" s="27">
        <f>+'Cons spec tot e finalizzati'!G30</f>
        <v>0</v>
      </c>
      <c r="D4" s="36">
        <f>+'Cons spec tot e finalizzati'!I30</f>
        <v>0</v>
      </c>
      <c r="E4" s="36">
        <f>+'Cons spec tot e finalizzati'!K30</f>
        <v>0</v>
      </c>
      <c r="F4" s="36">
        <f>+'Cons spec tot e finalizzati'!M30</f>
        <v>0</v>
      </c>
      <c r="G4" s="36">
        <f>+'Cons spec tot e finalizzati'!O30</f>
        <v>0</v>
      </c>
      <c r="H4" s="36">
        <f>+'Cons spec tot e finalizzati'!Q30</f>
        <v>0</v>
      </c>
      <c r="I4" s="36">
        <f>+'Cons spec tot e finalizzati'!S30</f>
        <v>0</v>
      </c>
      <c r="J4" s="36">
        <f>+'Cons spec tot e finalizzati'!U30</f>
        <v>0</v>
      </c>
      <c r="K4" s="36">
        <f>+'Cons spec tot e finalizzati'!W30</f>
        <v>0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J6">+B3/$B$3*100</f>
        <v>100</v>
      </c>
      <c r="C6" s="109">
        <f t="shared" si="0"/>
        <v>93.90581717451524</v>
      </c>
      <c r="D6" s="109">
        <f t="shared" si="0"/>
        <v>73.40720221606648</v>
      </c>
      <c r="E6" s="109">
        <f t="shared" si="0"/>
        <v>69.25207756232687</v>
      </c>
      <c r="F6" s="109">
        <f t="shared" si="0"/>
        <v>99.44598337950139</v>
      </c>
      <c r="G6" s="109">
        <f t="shared" si="0"/>
        <v>104.70914127423822</v>
      </c>
      <c r="H6" s="109">
        <f t="shared" si="0"/>
        <v>85.87257617728532</v>
      </c>
      <c r="I6" s="109">
        <f t="shared" si="0"/>
        <v>81.99445983379502</v>
      </c>
      <c r="J6" s="109">
        <f t="shared" si="0"/>
        <v>72.85318559556787</v>
      </c>
      <c r="K6" s="109">
        <f>+K3/$B$3*100</f>
        <v>72.29916897506925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127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'!D31</f>
        <v>28030.5</v>
      </c>
      <c r="C3" s="34">
        <f>+'Cons spec netti '!E31</f>
        <v>26701.754688137502</v>
      </c>
      <c r="D3" s="34">
        <f>+'Cons spec netti '!F31</f>
        <v>29252</v>
      </c>
      <c r="E3" s="34">
        <f>+'Cons spec netti '!G31</f>
        <v>28059</v>
      </c>
      <c r="F3" s="34">
        <f>+'Cons spec netti '!H31</f>
        <v>27558</v>
      </c>
      <c r="G3" s="34">
        <f>+'Cons spec netti '!I31</f>
        <v>30230</v>
      </c>
      <c r="H3" s="34">
        <f>+'Cons spec netti '!J31</f>
        <v>26643</v>
      </c>
      <c r="I3" s="34">
        <f>+'Cons spec netti '!K31</f>
        <v>28444</v>
      </c>
      <c r="J3" s="34">
        <f>+'Cons spec netti '!L31</f>
        <v>27249</v>
      </c>
      <c r="K3" s="34">
        <f>+'Cons spec netti '!M31</f>
        <v>27397</v>
      </c>
    </row>
    <row r="4" spans="1:11" ht="15" customHeight="1">
      <c r="A4" s="41" t="s">
        <v>38</v>
      </c>
      <c r="B4" s="34">
        <f>+'Cons spec tot e finalizzati'!E31</f>
        <v>2715</v>
      </c>
      <c r="C4" s="27">
        <f>+'Cons spec tot e finalizzati'!G31</f>
        <v>2377.2453118624985</v>
      </c>
      <c r="D4" s="36">
        <f>+'Cons spec tot e finalizzati'!I31</f>
        <v>3997</v>
      </c>
      <c r="E4" s="36">
        <f>+'Cons spec tot e finalizzati'!K31</f>
        <v>4232</v>
      </c>
      <c r="F4" s="36">
        <f>+'Cons spec tot e finalizzati'!M31</f>
        <v>1988</v>
      </c>
      <c r="G4" s="36">
        <f>+'Cons spec tot e finalizzati'!O31</f>
        <v>1933</v>
      </c>
      <c r="H4" s="36">
        <f>+'Cons spec tot e finalizzati'!Q31</f>
        <v>3108</v>
      </c>
      <c r="I4" s="36">
        <f>+'Cons spec tot e finalizzati'!S31</f>
        <v>6808</v>
      </c>
      <c r="J4" s="36">
        <f>+'Cons spec tot e finalizzati'!U31</f>
        <v>9067</v>
      </c>
      <c r="K4" s="36">
        <f>+'Cons spec tot e finalizzati'!W31</f>
        <v>9920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K6">+B3/$B$3*100</f>
        <v>100</v>
      </c>
      <c r="C6" s="109">
        <f t="shared" si="0"/>
        <v>95.2596446304472</v>
      </c>
      <c r="D6" s="109">
        <f t="shared" si="0"/>
        <v>104.35775316173455</v>
      </c>
      <c r="E6" s="109">
        <f t="shared" si="0"/>
        <v>100.10167496120297</v>
      </c>
      <c r="F6" s="109">
        <f t="shared" si="0"/>
        <v>98.31433616952961</v>
      </c>
      <c r="G6" s="109">
        <f t="shared" si="0"/>
        <v>107.84680972512083</v>
      </c>
      <c r="H6" s="109">
        <f t="shared" si="0"/>
        <v>95.05003478353936</v>
      </c>
      <c r="I6" s="109">
        <f t="shared" si="0"/>
        <v>101.47517882306774</v>
      </c>
      <c r="J6" s="109">
        <f t="shared" si="0"/>
        <v>97.21196553753947</v>
      </c>
      <c r="K6" s="109">
        <f t="shared" si="0"/>
        <v>97.73996182729526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128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'!D32</f>
        <v>380</v>
      </c>
      <c r="C3" s="34">
        <f>+'Cons spec netti '!E32</f>
        <v>331</v>
      </c>
      <c r="D3" s="34">
        <f>+'Cons spec netti '!F32</f>
        <v>335</v>
      </c>
      <c r="E3" s="34">
        <f>+'Cons spec netti '!G32</f>
        <v>346</v>
      </c>
      <c r="F3" s="34">
        <f>+'Cons spec netti '!H32</f>
        <v>249</v>
      </c>
      <c r="G3" s="34">
        <f>+'Cons spec netti '!I32</f>
        <v>329</v>
      </c>
      <c r="H3" s="34">
        <f>+'Cons spec netti '!J32</f>
        <v>43</v>
      </c>
      <c r="I3" s="34">
        <f>+'Cons spec netti '!K32</f>
        <v>36</v>
      </c>
      <c r="J3" s="34">
        <f>+'Cons spec netti '!L32</f>
        <v>69</v>
      </c>
      <c r="K3" s="34">
        <f>+'Cons spec netti '!M32</f>
        <v>39</v>
      </c>
    </row>
    <row r="4" spans="1:11" ht="15" customHeight="1">
      <c r="A4" s="41" t="s">
        <v>38</v>
      </c>
      <c r="B4" s="34">
        <f>+'Cons spec tot e finalizzati'!E32</f>
        <v>0</v>
      </c>
      <c r="C4" s="34">
        <f>+'Cons spec tot e finalizzati'!G32</f>
        <v>0</v>
      </c>
      <c r="D4" s="36">
        <f>+'Cons spec tot e finalizzati'!I32</f>
        <v>0</v>
      </c>
      <c r="E4" s="36">
        <f>+'Cons spec tot e finalizzati'!K32</f>
        <v>0</v>
      </c>
      <c r="F4" s="36">
        <f>+'Cons spec tot e finalizzati'!M32</f>
        <v>0</v>
      </c>
      <c r="G4" s="36">
        <f>+'Cons spec tot e finalizzati'!O32</f>
        <v>50</v>
      </c>
      <c r="H4" s="36">
        <f>+'Cons spec tot e finalizzati'!Q32</f>
        <v>145</v>
      </c>
      <c r="I4" s="36">
        <f>+'Cons spec tot e finalizzati'!S32</f>
        <v>0</v>
      </c>
      <c r="J4" s="36">
        <f>+'Cons spec tot e finalizzati'!U32</f>
        <v>0</v>
      </c>
      <c r="K4" s="36">
        <f>+'Cons spec tot e finalizzati'!W32</f>
        <v>0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K6">+B3/$B$3*100</f>
        <v>100</v>
      </c>
      <c r="C6" s="109">
        <f t="shared" si="0"/>
        <v>87.10526315789474</v>
      </c>
      <c r="D6" s="109">
        <f t="shared" si="0"/>
        <v>88.1578947368421</v>
      </c>
      <c r="E6" s="109">
        <f t="shared" si="0"/>
        <v>91.05263157894737</v>
      </c>
      <c r="F6" s="109">
        <f t="shared" si="0"/>
        <v>65.52631578947368</v>
      </c>
      <c r="G6" s="109">
        <f t="shared" si="0"/>
        <v>86.57894736842105</v>
      </c>
      <c r="H6" s="109">
        <f t="shared" si="0"/>
        <v>11.31578947368421</v>
      </c>
      <c r="I6" s="109">
        <f t="shared" si="0"/>
        <v>9.473684210526317</v>
      </c>
      <c r="J6" s="109">
        <f t="shared" si="0"/>
        <v>18.157894736842106</v>
      </c>
      <c r="K6" s="109">
        <f t="shared" si="0"/>
        <v>10.263157894736842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32" display="'Cons spec tot e finalizzati'!A32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131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'!D36</f>
        <v>1268</v>
      </c>
      <c r="C3" s="34">
        <f>+'Cons spec netti '!E36</f>
        <v>1018</v>
      </c>
      <c r="D3" s="34">
        <f>+'Cons spec netti '!F36</f>
        <v>1441</v>
      </c>
      <c r="E3" s="34">
        <f>+'Cons spec netti '!G36</f>
        <v>937</v>
      </c>
      <c r="F3" s="34">
        <f>+'Cons spec netti '!H36</f>
        <v>592</v>
      </c>
      <c r="G3" s="34">
        <f>+'Cons spec netti '!I36</f>
        <v>980</v>
      </c>
      <c r="H3" s="34">
        <f>+'Cons spec netti '!J36</f>
        <v>351</v>
      </c>
      <c r="I3" s="34">
        <f>+'Cons spec netti '!K36</f>
        <v>422</v>
      </c>
      <c r="J3" s="34">
        <f>+'Cons spec netti '!L36</f>
        <v>183</v>
      </c>
      <c r="K3" s="34">
        <f>+'Cons spec netti '!M36</f>
        <v>2365</v>
      </c>
    </row>
    <row r="4" spans="1:11" ht="15" customHeight="1">
      <c r="A4" s="41" t="s">
        <v>38</v>
      </c>
      <c r="B4" s="34">
        <f>+'Cons spec tot e finalizzati'!E36</f>
        <v>52</v>
      </c>
      <c r="C4" s="34">
        <f>+'Cons spec tot e finalizzati'!G36</f>
        <v>0</v>
      </c>
      <c r="D4" s="36">
        <f>+'Cons spec tot e finalizzati'!I36</f>
        <v>11</v>
      </c>
      <c r="E4" s="36">
        <f>+'Cons spec tot e finalizzati'!K36</f>
        <v>136</v>
      </c>
      <c r="F4" s="36">
        <f>+'Cons spec tot e finalizzati'!M36</f>
        <v>393</v>
      </c>
      <c r="G4" s="36">
        <f>+'Cons spec tot e finalizzati'!O36</f>
        <v>450</v>
      </c>
      <c r="H4" s="36">
        <f>+'Cons spec tot e finalizzati'!Q36</f>
        <v>1442</v>
      </c>
      <c r="I4" s="36">
        <f>+'Cons spec tot e finalizzati'!S36</f>
        <v>1301</v>
      </c>
      <c r="J4" s="36">
        <f>+'Cons spec tot e finalizzati'!U36</f>
        <v>1224</v>
      </c>
      <c r="K4" s="36">
        <f>+'Cons spec tot e finalizzati'!W36</f>
        <v>661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80.28391167192429</v>
      </c>
      <c r="D6" s="109">
        <f t="shared" si="0"/>
        <v>113.64353312302839</v>
      </c>
      <c r="E6" s="109">
        <f t="shared" si="0"/>
        <v>73.89589905362776</v>
      </c>
      <c r="F6" s="109">
        <f t="shared" si="0"/>
        <v>46.68769716088328</v>
      </c>
      <c r="G6" s="109">
        <f t="shared" si="0"/>
        <v>77.28706624605678</v>
      </c>
      <c r="H6" s="109">
        <f t="shared" si="0"/>
        <v>27.681388012618296</v>
      </c>
      <c r="I6" s="109">
        <f t="shared" si="0"/>
        <v>33.2807570977918</v>
      </c>
      <c r="J6" s="109">
        <f t="shared" si="0"/>
        <v>14.43217665615142</v>
      </c>
      <c r="K6" s="109">
        <f>+K3/$B$3*100</f>
        <v>186.5141955835962</v>
      </c>
    </row>
    <row r="7" spans="1:11" ht="12.75">
      <c r="A7" t="s">
        <v>36</v>
      </c>
      <c r="B7" s="35">
        <f>+'Dir Dip Qualità città '!B7</f>
        <v>100</v>
      </c>
      <c r="C7" s="35">
        <f>+'Dir Dip Qualità città '!C7</f>
        <v>102.7</v>
      </c>
      <c r="D7" s="35">
        <f>+'Dir Dip Qualità città '!D7</f>
        <v>105.1</v>
      </c>
      <c r="E7" s="35">
        <f>+'Dir Dip Qualità città '!E7</f>
        <v>107.2</v>
      </c>
      <c r="F7" s="35">
        <f>+'Dir Dip Qualità città '!F7</f>
        <v>108.9</v>
      </c>
      <c r="G7" s="35">
        <f>+'Dir Dip Qualità città '!G7</f>
        <v>110.4</v>
      </c>
      <c r="H7" s="35">
        <f>+'Dir Dip Qualità città '!H7</f>
        <v>112.7</v>
      </c>
      <c r="I7" s="35">
        <f>+'Dir Dip Qualità città '!I7</f>
        <v>114.7</v>
      </c>
      <c r="J7" s="35">
        <f>+'Dir Dip Qualità città '!J7</f>
        <v>118.2</v>
      </c>
      <c r="K7" s="35">
        <f>+'Dir Dip Qualità città 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36" display="'Cons spec tot e finalizzati'!A36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133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'!D40</f>
        <v>7659</v>
      </c>
      <c r="C3" s="34">
        <f>+'Cons spec netti '!E40</f>
        <v>7338</v>
      </c>
      <c r="D3" s="34">
        <f>+'Cons spec netti '!F40</f>
        <v>8700</v>
      </c>
      <c r="E3" s="34">
        <f>+'Cons spec netti '!G40</f>
        <v>9180</v>
      </c>
      <c r="F3" s="34">
        <f>+'Cons spec netti '!H40</f>
        <v>9386</v>
      </c>
      <c r="G3" s="34">
        <f>+'Cons spec netti '!I40</f>
        <v>9318</v>
      </c>
      <c r="H3" s="34">
        <f>+'Cons spec netti '!J40</f>
        <v>8574</v>
      </c>
      <c r="I3" s="34">
        <f>+'Cons spec netti '!K40</f>
        <v>8954</v>
      </c>
      <c r="J3" s="34">
        <f>+'Cons spec netti '!L40</f>
        <v>8898</v>
      </c>
      <c r="K3" s="34">
        <f>+'Cons spec netti '!M40</f>
        <v>8188</v>
      </c>
    </row>
    <row r="4" spans="1:11" ht="15" customHeight="1">
      <c r="A4" s="41" t="s">
        <v>38</v>
      </c>
      <c r="B4" s="34">
        <f>+'Cons spec tot e finalizzati'!E40</f>
        <v>1917</v>
      </c>
      <c r="C4" s="34">
        <f>+'Cons spec tot e finalizzati'!G40</f>
        <v>314</v>
      </c>
      <c r="D4" s="36">
        <f>+'Cons spec tot e finalizzati'!I40</f>
        <v>214</v>
      </c>
      <c r="E4" s="36">
        <f>+'Cons spec tot e finalizzati'!K40</f>
        <v>548</v>
      </c>
      <c r="F4" s="36">
        <f>+'Cons spec tot e finalizzati'!M40</f>
        <v>334</v>
      </c>
      <c r="G4" s="36">
        <f>+'Cons spec tot e finalizzati'!O40</f>
        <v>653</v>
      </c>
      <c r="H4" s="36">
        <f>+'Cons spec tot e finalizzati'!Q40</f>
        <v>703</v>
      </c>
      <c r="I4" s="36">
        <f>+'Cons spec tot e finalizzati'!S40</f>
        <v>905</v>
      </c>
      <c r="J4" s="36">
        <f>+'Cons spec tot e finalizzati'!U40</f>
        <v>730</v>
      </c>
      <c r="K4" s="36">
        <f>+'Cons spec tot e finalizzati'!W40</f>
        <v>850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95.80885233059146</v>
      </c>
      <c r="D6" s="109">
        <f t="shared" si="0"/>
        <v>113.59185272228751</v>
      </c>
      <c r="E6" s="109">
        <f t="shared" si="0"/>
        <v>119.85898942420681</v>
      </c>
      <c r="F6" s="109">
        <f t="shared" si="0"/>
        <v>122.54863559211387</v>
      </c>
      <c r="G6" s="109">
        <f t="shared" si="0"/>
        <v>121.66079122600861</v>
      </c>
      <c r="H6" s="109">
        <f t="shared" si="0"/>
        <v>111.94672933803369</v>
      </c>
      <c r="I6" s="109">
        <f t="shared" si="0"/>
        <v>116.90821256038649</v>
      </c>
      <c r="J6" s="109">
        <f t="shared" si="0"/>
        <v>116.17704661182921</v>
      </c>
      <c r="K6" s="109">
        <f>+K3/$B$3*100</f>
        <v>106.90690690690691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40" display="'Cons spec tot e finalizzati'!A4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3" width="6.7109375" style="0" bestFit="1" customWidth="1"/>
    <col min="4" max="10" width="7.7109375" style="0" bestFit="1" customWidth="1"/>
    <col min="11" max="11" width="7.7109375" style="0" customWidth="1"/>
  </cols>
  <sheetData>
    <row r="1" ht="12.75">
      <c r="A1" s="119" t="s">
        <v>171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'!D44</f>
        <v>2720.5</v>
      </c>
      <c r="C3" s="34">
        <f>+'Cons spec netti '!E44</f>
        <v>2095</v>
      </c>
      <c r="D3" s="34">
        <f>+'Cons spec netti '!F44</f>
        <v>3629</v>
      </c>
      <c r="E3" s="34">
        <f>+'Cons spec netti '!G44</f>
        <v>2231</v>
      </c>
      <c r="F3" s="34">
        <f>+'Cons spec netti '!H44</f>
        <v>1745</v>
      </c>
      <c r="G3" s="34">
        <f>+'Cons spec netti '!I44</f>
        <v>2805</v>
      </c>
      <c r="H3" s="34">
        <f>+'Cons spec netti '!J44</f>
        <v>2584</v>
      </c>
      <c r="I3" s="34">
        <f>+'Cons spec netti '!K44</f>
        <v>2894</v>
      </c>
      <c r="J3" s="34">
        <f>+'Cons spec netti '!L44</f>
        <v>3063</v>
      </c>
      <c r="K3" s="34">
        <f>+'Cons spec netti '!M44</f>
        <v>2401</v>
      </c>
    </row>
    <row r="4" spans="1:11" ht="15" customHeight="1">
      <c r="A4" s="41" t="s">
        <v>38</v>
      </c>
      <c r="B4" s="34">
        <f>+'Cons spec tot e finalizzati'!E44</f>
        <v>580</v>
      </c>
      <c r="C4" s="34">
        <f>+'Cons spec tot e finalizzati'!G44</f>
        <v>0</v>
      </c>
      <c r="D4" s="36">
        <f>+'Cons spec tot e finalizzati'!I44</f>
        <v>137</v>
      </c>
      <c r="E4" s="36">
        <f>+'Cons spec tot e finalizzati'!K44</f>
        <v>1285</v>
      </c>
      <c r="F4" s="36">
        <f>+'Cons spec tot e finalizzati'!M44</f>
        <v>951</v>
      </c>
      <c r="G4" s="36">
        <f>+'Cons spec tot e finalizzati'!O44</f>
        <v>40</v>
      </c>
      <c r="H4" s="36">
        <f>+'Cons spec tot e finalizzati'!Q44</f>
        <v>139</v>
      </c>
      <c r="I4" s="36">
        <f>+'Cons spec tot e finalizzati'!S44</f>
        <v>4361</v>
      </c>
      <c r="J4" s="36">
        <f>+'Cons spec tot e finalizzati'!U44</f>
        <v>6706</v>
      </c>
      <c r="K4" s="36">
        <f>+'Cons spec tot e finalizzati'!W44</f>
        <v>8025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77.00790295901488</v>
      </c>
      <c r="D6" s="109">
        <f t="shared" si="0"/>
        <v>133.39459658151077</v>
      </c>
      <c r="E6" s="109">
        <f t="shared" si="0"/>
        <v>82.00698401029223</v>
      </c>
      <c r="F6" s="109">
        <f t="shared" si="0"/>
        <v>64.14262084175702</v>
      </c>
      <c r="G6" s="109">
        <f t="shared" si="0"/>
        <v>103.1060466825951</v>
      </c>
      <c r="H6" s="109">
        <f t="shared" si="0"/>
        <v>94.98253997426943</v>
      </c>
      <c r="I6" s="109">
        <f t="shared" si="0"/>
        <v>106.37750413526925</v>
      </c>
      <c r="J6" s="109">
        <f t="shared" si="0"/>
        <v>112.58959750045948</v>
      </c>
      <c r="K6" s="109">
        <f>+K3/$B$3*100</f>
        <v>88.2558353243889</v>
      </c>
    </row>
    <row r="7" spans="1:11" ht="12.75">
      <c r="A7" t="s">
        <v>36</v>
      </c>
      <c r="B7" s="35">
        <f>+Urbanistica!B7</f>
        <v>100</v>
      </c>
      <c r="C7" s="35">
        <f>+Urbanistica!C7</f>
        <v>102.7</v>
      </c>
      <c r="D7" s="35">
        <f>+Urbanistica!D7</f>
        <v>105.1</v>
      </c>
      <c r="E7" s="35">
        <f>+Urbanistica!E7</f>
        <v>107.2</v>
      </c>
      <c r="F7" s="35">
        <f>+Urbanistica!F7</f>
        <v>108.9</v>
      </c>
      <c r="G7" s="35">
        <f>+Urbanistica!G7</f>
        <v>110.4</v>
      </c>
      <c r="H7" s="35">
        <f>+Urbanistica!H7</f>
        <v>112.7</v>
      </c>
      <c r="I7" s="35">
        <f>+Urbanistica!I7</f>
        <v>114.7</v>
      </c>
      <c r="J7" s="35">
        <f>+Urbanistica!J7</f>
        <v>118.2</v>
      </c>
      <c r="K7" s="35">
        <f>+Urbanistica!K7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44" display="'Cons spec tot e finalizzati'!A4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85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'!D53</f>
        <v>15831</v>
      </c>
      <c r="C3" s="34">
        <f>+'Cons spec netti '!E53</f>
        <v>15788.754688137502</v>
      </c>
      <c r="D3" s="34">
        <f>+'Cons spec netti '!F53</f>
        <v>14958</v>
      </c>
      <c r="E3" s="34">
        <f>+'Cons spec netti '!G53</f>
        <v>15125</v>
      </c>
      <c r="F3" s="34">
        <f>+'Cons spec netti '!H53</f>
        <v>15322</v>
      </c>
      <c r="G3" s="34">
        <f>+'Cons spec netti '!I53</f>
        <v>16613</v>
      </c>
      <c r="H3" s="34">
        <f>+'Cons spec netti '!J53</f>
        <v>14965</v>
      </c>
      <c r="I3" s="34">
        <f>+'Cons spec netti '!K53</f>
        <v>16009</v>
      </c>
      <c r="J3" s="34">
        <f>+'Cons spec netti '!L53</f>
        <v>15019</v>
      </c>
      <c r="K3" s="34">
        <f>+'Cons spec netti '!M53</f>
        <v>14396</v>
      </c>
    </row>
    <row r="4" spans="1:11" ht="15" customHeight="1">
      <c r="A4" s="41" t="s">
        <v>38</v>
      </c>
      <c r="B4" s="34">
        <f>+'Cons spec tot e finalizzati'!E53</f>
        <v>166</v>
      </c>
      <c r="C4" s="34">
        <f>+'Cons spec tot e finalizzati'!G53</f>
        <v>2063.2453118624985</v>
      </c>
      <c r="D4" s="36">
        <f>+'Cons spec tot e finalizzati'!I53</f>
        <v>3635</v>
      </c>
      <c r="E4" s="36">
        <f>+'Cons spec tot e finalizzati'!K53</f>
        <v>2263</v>
      </c>
      <c r="F4" s="36">
        <f>+'Cons spec tot e finalizzati'!M53</f>
        <v>310</v>
      </c>
      <c r="G4" s="36">
        <f>+'Cons spec tot e finalizzati'!O53</f>
        <v>740</v>
      </c>
      <c r="H4" s="36">
        <f>+'Cons spec tot e finalizzati'!Q53</f>
        <v>679</v>
      </c>
      <c r="I4" s="36">
        <f>+'Cons spec tot e finalizzati'!S53</f>
        <v>241</v>
      </c>
      <c r="J4" s="36">
        <f>+'Cons spec tot e finalizzati'!U53</f>
        <v>407</v>
      </c>
      <c r="K4" s="36">
        <f>+'Cons spec tot e finalizzati'!W53</f>
        <v>384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99.73314817849473</v>
      </c>
      <c r="D6" s="109">
        <f t="shared" si="0"/>
        <v>94.48550312677658</v>
      </c>
      <c r="E6" s="109">
        <f t="shared" si="0"/>
        <v>95.54039542669446</v>
      </c>
      <c r="F6" s="109">
        <f t="shared" si="0"/>
        <v>96.78478933737603</v>
      </c>
      <c r="G6" s="109">
        <f t="shared" si="0"/>
        <v>104.93967532057356</v>
      </c>
      <c r="H6" s="109">
        <f t="shared" si="0"/>
        <v>94.5297201692881</v>
      </c>
      <c r="I6" s="109">
        <f t="shared" si="0"/>
        <v>101.12437622386456</v>
      </c>
      <c r="J6" s="109">
        <f t="shared" si="0"/>
        <v>94.87082306866274</v>
      </c>
      <c r="K6" s="109">
        <f>+K3/$B$3*100</f>
        <v>90.93550628513675</v>
      </c>
    </row>
    <row r="7" spans="1:11" ht="12.75">
      <c r="A7" t="s">
        <v>36</v>
      </c>
      <c r="B7" s="35">
        <f>+'Sistemi info'!B7</f>
        <v>100</v>
      </c>
      <c r="C7" s="35">
        <f>+'Sistemi info'!C7</f>
        <v>102.7</v>
      </c>
      <c r="D7" s="35">
        <f>+'Sistemi info'!D7</f>
        <v>105.1</v>
      </c>
      <c r="E7" s="35">
        <f>+'Sistemi info'!E7</f>
        <v>107.2</v>
      </c>
      <c r="F7" s="35">
        <f>+'Sistemi info'!F7</f>
        <v>108.9</v>
      </c>
      <c r="G7" s="35">
        <f>+'Sistemi info'!G7</f>
        <v>110.4</v>
      </c>
      <c r="H7" s="35">
        <f>+'Sistemi info'!H7</f>
        <v>112.7</v>
      </c>
      <c r="I7" s="35">
        <f>+'Sistemi info'!I7</f>
        <v>114.7</v>
      </c>
      <c r="J7" s="35">
        <f>+'Sistemi info'!J7</f>
        <v>118.2</v>
      </c>
      <c r="K7" s="35">
        <f>+'Sistemi info'!K7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53" display="'Cons spec tot e finalizzati'!A5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19" t="s">
        <v>84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'!D67</f>
        <v>172</v>
      </c>
      <c r="C3" s="34">
        <f>+'Cons spec netti '!E67</f>
        <v>131</v>
      </c>
      <c r="D3" s="34">
        <f>+'Cons spec netti '!F67</f>
        <v>189</v>
      </c>
      <c r="E3" s="34">
        <f>+'Cons spec netti '!G67</f>
        <v>240</v>
      </c>
      <c r="F3" s="34">
        <f>+'Cons spec netti '!H67</f>
        <v>264</v>
      </c>
      <c r="G3" s="34">
        <f>+'Cons spec netti '!I67</f>
        <v>185</v>
      </c>
      <c r="H3" s="34">
        <f>+'Cons spec netti '!J67</f>
        <v>126</v>
      </c>
      <c r="I3" s="34">
        <f>+'Cons spec netti '!K67</f>
        <v>129</v>
      </c>
      <c r="J3" s="34">
        <f>+'Cons spec netti '!L67</f>
        <v>17</v>
      </c>
      <c r="K3" s="34">
        <f>+'Cons spec netti '!M67</f>
        <v>8</v>
      </c>
    </row>
    <row r="4" spans="1:11" ht="15" customHeight="1">
      <c r="A4" s="41" t="s">
        <v>38</v>
      </c>
      <c r="B4" s="36">
        <f>+'Cons spec tot e finalizzati'!E67</f>
        <v>0</v>
      </c>
      <c r="C4" s="36">
        <f>+'Cons spec tot e finalizzati'!G67</f>
        <v>0</v>
      </c>
      <c r="D4" s="36">
        <f>+'Cons spec tot e finalizzati'!I67</f>
        <v>0</v>
      </c>
      <c r="E4" s="36">
        <f>+'Cons spec tot e finalizzati'!K67</f>
        <v>0</v>
      </c>
      <c r="F4" s="36">
        <f>+'Cons spec tot e finalizzati'!M67</f>
        <v>0</v>
      </c>
      <c r="G4" s="36">
        <f>+'Cons spec tot e finalizzati'!O67</f>
        <v>0</v>
      </c>
      <c r="H4" s="36">
        <f>+'Cons spec tot e finalizzati'!Q67</f>
        <v>0</v>
      </c>
      <c r="I4" s="36">
        <f>+'Cons spec tot e finalizzati'!S67</f>
        <v>0</v>
      </c>
      <c r="J4" s="36">
        <f>+'Cons spec tot e finalizzati'!U67</f>
        <v>0</v>
      </c>
      <c r="K4" s="36">
        <f>+'Cons spec tot e finalizzati'!W67</f>
        <v>0</v>
      </c>
    </row>
    <row r="6" spans="1:11" ht="12.75">
      <c r="A6" t="s">
        <v>39</v>
      </c>
      <c r="B6" s="109">
        <f>+B7</f>
        <v>100</v>
      </c>
      <c r="C6" s="109">
        <f aca="true" t="shared" si="0" ref="C6:J6">+C3/$B$3*100</f>
        <v>76.16279069767442</v>
      </c>
      <c r="D6" s="109">
        <f t="shared" si="0"/>
        <v>109.88372093023256</v>
      </c>
      <c r="E6" s="109">
        <f t="shared" si="0"/>
        <v>139.53488372093022</v>
      </c>
      <c r="F6" s="109">
        <f t="shared" si="0"/>
        <v>153.48837209302326</v>
      </c>
      <c r="G6" s="109">
        <f t="shared" si="0"/>
        <v>107.55813953488371</v>
      </c>
      <c r="H6" s="109">
        <f t="shared" si="0"/>
        <v>73.25581395348837</v>
      </c>
      <c r="I6" s="109">
        <f t="shared" si="0"/>
        <v>75</v>
      </c>
      <c r="J6" s="109">
        <f t="shared" si="0"/>
        <v>9.883720930232558</v>
      </c>
      <c r="K6" s="109">
        <f>+K3/$B$3*100</f>
        <v>4.651162790697675</v>
      </c>
    </row>
    <row r="7" spans="1:11" ht="12.75">
      <c r="A7" t="s">
        <v>36</v>
      </c>
      <c r="B7" s="35">
        <f>+Entrate!B7</f>
        <v>100</v>
      </c>
      <c r="C7" s="35">
        <f>+Entrate!C7</f>
        <v>102.7</v>
      </c>
      <c r="D7" s="35">
        <f>+Entrate!D7</f>
        <v>105.1</v>
      </c>
      <c r="E7" s="35">
        <f>+Entrate!E7</f>
        <v>107.2</v>
      </c>
      <c r="F7" s="35">
        <f>+Entrate!F7</f>
        <v>108.9</v>
      </c>
      <c r="G7" s="35">
        <f>+Entrate!G7</f>
        <v>110.4</v>
      </c>
      <c r="H7" s="35">
        <f>+Entrate!H7</f>
        <v>112.7</v>
      </c>
      <c r="I7" s="35">
        <f>+Entrate!I7</f>
        <v>114.7</v>
      </c>
      <c r="J7" s="35">
        <f>+Entrate!J7</f>
        <v>118.2</v>
      </c>
      <c r="K7" s="35">
        <f>+Entrate!K7</f>
        <v>118.6</v>
      </c>
    </row>
    <row r="29" ht="12.75">
      <c r="A29" s="117" t="s">
        <v>102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92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142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'!D68</f>
        <v>6553</v>
      </c>
      <c r="C3" s="34">
        <f>+'Cons spec netti '!E68</f>
        <v>8492</v>
      </c>
      <c r="D3" s="34">
        <f>+'Cons spec netti '!F68</f>
        <v>7335</v>
      </c>
      <c r="E3" s="34">
        <f>+'Cons spec netti '!G68</f>
        <v>5062</v>
      </c>
      <c r="F3" s="34">
        <f>+'Cons spec netti '!H68</f>
        <v>3517</v>
      </c>
      <c r="G3" s="34">
        <f>+'Cons spec netti '!I68</f>
        <v>3056</v>
      </c>
      <c r="H3" s="34">
        <f>+'Cons spec netti '!J68</f>
        <v>1337</v>
      </c>
      <c r="I3" s="34">
        <f>+'Cons spec netti '!K68</f>
        <v>1806</v>
      </c>
      <c r="J3" s="34">
        <f>+'Cons spec netti '!L68</f>
        <v>2036</v>
      </c>
      <c r="K3" s="34">
        <f>+'Cons spec netti '!M68</f>
        <v>1889</v>
      </c>
    </row>
    <row r="4" spans="1:11" ht="15" customHeight="1">
      <c r="A4" s="41" t="s">
        <v>38</v>
      </c>
      <c r="B4" s="34">
        <f>+'Cons spec tot e finalizzati'!E68</f>
        <v>6460</v>
      </c>
      <c r="C4" s="34">
        <f>+'Cons spec tot e finalizzati'!G68</f>
        <v>5289</v>
      </c>
      <c r="D4" s="36">
        <f>+'Cons spec tot e finalizzati'!I68</f>
        <v>7839</v>
      </c>
      <c r="E4" s="36">
        <f>+'Cons spec tot e finalizzati'!K68</f>
        <v>5601</v>
      </c>
      <c r="F4" s="36">
        <f>+'Cons spec tot e finalizzati'!M68</f>
        <v>8139</v>
      </c>
      <c r="G4" s="36">
        <f>+'Cons spec tot e finalizzati'!O68</f>
        <v>7838</v>
      </c>
      <c r="H4" s="36">
        <f>+'Cons spec tot e finalizzati'!Q68</f>
        <v>6005</v>
      </c>
      <c r="I4" s="36">
        <f>+'Cons spec tot e finalizzati'!S68</f>
        <v>8385</v>
      </c>
      <c r="J4" s="36">
        <f>+'Cons spec tot e finalizzati'!U68</f>
        <v>7518</v>
      </c>
      <c r="K4" s="36">
        <f>+'Cons spec tot e finalizzati'!W68</f>
        <v>6641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K6">+B3/$B$3*100</f>
        <v>100</v>
      </c>
      <c r="C6" s="109">
        <f t="shared" si="0"/>
        <v>129.5895009919121</v>
      </c>
      <c r="D6" s="109">
        <f t="shared" si="0"/>
        <v>111.93346558828017</v>
      </c>
      <c r="E6" s="109">
        <f t="shared" si="0"/>
        <v>77.24706241416145</v>
      </c>
      <c r="F6" s="109">
        <f t="shared" si="0"/>
        <v>53.67007477491226</v>
      </c>
      <c r="G6" s="109">
        <f t="shared" si="0"/>
        <v>46.635128948573175</v>
      </c>
      <c r="H6" s="109">
        <f t="shared" si="0"/>
        <v>20.402868915000763</v>
      </c>
      <c r="I6" s="109">
        <f t="shared" si="0"/>
        <v>27.559896230734015</v>
      </c>
      <c r="J6" s="109">
        <f t="shared" si="0"/>
        <v>31.06973905081642</v>
      </c>
      <c r="K6" s="109">
        <f t="shared" si="0"/>
        <v>28.826491683198537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68" display="'Cons spec tot e finalizzati'!A6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9" t="s">
        <v>143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'!D69</f>
        <v>0</v>
      </c>
      <c r="C3" s="34">
        <f>+'Cons spec netti '!E69</f>
        <v>0</v>
      </c>
      <c r="D3" s="34">
        <f>+'Cons spec netti '!F69</f>
        <v>0</v>
      </c>
      <c r="E3" s="34">
        <f>+'Cons spec netti '!G69</f>
        <v>82</v>
      </c>
      <c r="F3" s="34">
        <f>+'Cons spec netti '!H69</f>
        <v>119</v>
      </c>
      <c r="G3" s="34">
        <f>+'Cons spec netti '!I69</f>
        <v>115</v>
      </c>
      <c r="H3" s="34">
        <f>+'Cons spec netti '!J69</f>
        <v>37</v>
      </c>
      <c r="I3" s="34">
        <f>+'Cons spec netti '!K69</f>
        <v>24</v>
      </c>
      <c r="J3" s="34">
        <f>+'Cons spec netti '!L69</f>
        <v>111</v>
      </c>
      <c r="K3" s="34">
        <f>+'Cons spec netti '!M69</f>
        <v>100</v>
      </c>
    </row>
    <row r="4" spans="1:11" ht="15" customHeight="1">
      <c r="A4" s="41" t="s">
        <v>38</v>
      </c>
      <c r="B4" s="34">
        <f>+'Cons spec tot e finalizzati'!E69</f>
        <v>0</v>
      </c>
      <c r="C4" s="34">
        <f>+'Cons spec tot e finalizzati'!G69</f>
        <v>0</v>
      </c>
      <c r="D4" s="34">
        <f>+'Cons spec tot e finalizzati'!I69</f>
        <v>0</v>
      </c>
      <c r="E4" s="34">
        <f>+'Cons spec tot e finalizzati'!K69</f>
        <v>67</v>
      </c>
      <c r="F4" s="34">
        <f>+'Cons spec tot e finalizzati'!M69</f>
        <v>224</v>
      </c>
      <c r="G4" s="34">
        <f>+'Cons spec tot e finalizzati'!O69</f>
        <v>55</v>
      </c>
      <c r="H4" s="34">
        <f>+'Cons spec tot e finalizzati'!Q69</f>
        <v>200</v>
      </c>
      <c r="I4" s="34">
        <f>+'Cons spec tot e finalizzati'!S69</f>
        <v>454</v>
      </c>
      <c r="J4" s="34">
        <f>+'Cons spec tot e finalizzati'!U69</f>
        <v>472</v>
      </c>
      <c r="K4" s="34">
        <f>+'Cons spec tot e finalizzati'!W69</f>
        <v>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39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108">
        <v>100</v>
      </c>
      <c r="I6" s="108">
        <v>100</v>
      </c>
      <c r="J6" s="108">
        <v>100</v>
      </c>
      <c r="K6" s="108">
        <v>100</v>
      </c>
    </row>
    <row r="7" spans="1:11" ht="12.75">
      <c r="A7" t="s">
        <v>36</v>
      </c>
      <c r="B7" s="35">
        <f>+'Sociale e salute'!B7</f>
        <v>100</v>
      </c>
      <c r="C7" s="35">
        <f>+'Sociale e salute'!C7</f>
        <v>102.7</v>
      </c>
      <c r="D7" s="35">
        <f>+'Sociale e salute'!D7</f>
        <v>105.1</v>
      </c>
      <c r="E7" s="35">
        <f>+'Sociale e salute'!E7</f>
        <v>107.2</v>
      </c>
      <c r="F7" s="35">
        <f>+'Sociale e salute'!F7</f>
        <v>108.9</v>
      </c>
      <c r="G7" s="35">
        <f>+'Sociale e salute'!G7</f>
        <v>110.4</v>
      </c>
      <c r="H7" s="35">
        <f>+'Sociale e salute'!H7</f>
        <v>112.7</v>
      </c>
      <c r="I7" s="35">
        <f>+'Sociale e salute'!I7</f>
        <v>114.7</v>
      </c>
      <c r="J7" s="35">
        <f>+'Sociale e salute'!J7</f>
        <v>118.2</v>
      </c>
      <c r="K7" s="35">
        <f>+'Sociale e salute'!K7</f>
        <v>118.6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7" t="s">
        <v>102</v>
      </c>
    </row>
  </sheetData>
  <hyperlinks>
    <hyperlink ref="A29" location="'Cons spec tot e finalizzati'!A69" display="'Cons spec tot e finalizzati'!A6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I430"/>
  <sheetViews>
    <sheetView workbookViewId="0" topLeftCell="A1">
      <pane ySplit="8" topLeftCell="BM9" activePane="bottomLeft" state="frozen"/>
      <selection pane="topLeft" activeCell="A1" sqref="A1"/>
      <selection pane="bottomLeft" activeCell="A218" sqref="A218"/>
    </sheetView>
  </sheetViews>
  <sheetFormatPr defaultColWidth="9.140625" defaultRowHeight="12.75"/>
  <cols>
    <col min="1" max="1" width="3.7109375" style="3" customWidth="1"/>
    <col min="2" max="2" width="5.00390625" style="3" customWidth="1"/>
    <col min="3" max="3" width="44.140625" style="3" customWidth="1"/>
    <col min="4" max="7" width="11.00390625" style="52" customWidth="1"/>
    <col min="8" max="8" width="11.00390625" style="67" customWidth="1"/>
    <col min="9" max="11" width="11.00390625" style="52" customWidth="1"/>
    <col min="12" max="12" width="11.00390625" style="34" bestFit="1" customWidth="1"/>
    <col min="13" max="13" width="11.00390625" style="34" customWidth="1"/>
    <col min="15" max="32" width="9.140625" style="138" customWidth="1"/>
  </cols>
  <sheetData>
    <row r="1" spans="1:32" s="2" customFormat="1" ht="20.25">
      <c r="A1" s="40" t="s">
        <v>105</v>
      </c>
      <c r="B1" s="3"/>
      <c r="C1" s="3"/>
      <c r="D1" s="52"/>
      <c r="E1" s="52"/>
      <c r="F1" s="52"/>
      <c r="G1" s="52"/>
      <c r="H1" s="67"/>
      <c r="I1" s="52"/>
      <c r="J1" s="52"/>
      <c r="K1" s="52"/>
      <c r="L1" s="105"/>
      <c r="M1" s="105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s="2" customFormat="1" ht="6" customHeight="1">
      <c r="A2" s="3"/>
      <c r="B2" s="3"/>
      <c r="C2" s="3"/>
      <c r="D2" s="52"/>
      <c r="E2" s="70"/>
      <c r="F2" s="70"/>
      <c r="G2" s="70"/>
      <c r="H2" s="67"/>
      <c r="I2" s="52"/>
      <c r="J2" s="52"/>
      <c r="K2" s="52"/>
      <c r="L2" s="105"/>
      <c r="M2" s="105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" customFormat="1" ht="15.75" hidden="1">
      <c r="A3" s="5"/>
      <c r="B3" s="5"/>
      <c r="C3" s="5"/>
      <c r="D3" s="52"/>
      <c r="E3" s="70"/>
      <c r="F3" s="72"/>
      <c r="G3" s="72"/>
      <c r="H3" s="74"/>
      <c r="I3" s="53"/>
      <c r="J3" s="53"/>
      <c r="K3" s="53"/>
      <c r="L3" s="105"/>
      <c r="M3" s="10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" customFormat="1" ht="6" customHeight="1">
      <c r="A4" s="5"/>
      <c r="B4" s="5"/>
      <c r="C4" s="5"/>
      <c r="D4" s="52"/>
      <c r="E4" s="52"/>
      <c r="F4" s="52"/>
      <c r="G4" s="52"/>
      <c r="H4" s="67"/>
      <c r="I4" s="52"/>
      <c r="J4" s="52"/>
      <c r="K4" s="52"/>
      <c r="L4" s="105"/>
      <c r="M4" s="10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" customFormat="1" ht="12.75">
      <c r="A5" s="42"/>
      <c r="B5" s="7"/>
      <c r="C5" s="7"/>
      <c r="D5" s="52"/>
      <c r="E5" s="52"/>
      <c r="F5" s="52"/>
      <c r="G5" s="52"/>
      <c r="H5" s="67"/>
      <c r="I5" s="52"/>
      <c r="J5" s="52"/>
      <c r="K5" s="52"/>
      <c r="L5" s="105"/>
      <c r="M5" s="10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" customFormat="1" ht="12.75">
      <c r="A6" s="8"/>
      <c r="B6" s="12"/>
      <c r="C6" s="8"/>
      <c r="D6" s="85">
        <v>2000</v>
      </c>
      <c r="E6" s="85">
        <v>2001</v>
      </c>
      <c r="F6" s="85">
        <v>2002</v>
      </c>
      <c r="G6" s="85">
        <v>2003</v>
      </c>
      <c r="H6" s="85">
        <v>2004</v>
      </c>
      <c r="I6" s="106">
        <v>2005</v>
      </c>
      <c r="J6" s="106">
        <v>2006</v>
      </c>
      <c r="K6" s="106">
        <v>2007</v>
      </c>
      <c r="L6" s="106">
        <v>2008</v>
      </c>
      <c r="M6" s="106">
        <v>2009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" customFormat="1" ht="12.75">
      <c r="A7" s="8"/>
      <c r="B7" s="8"/>
      <c r="C7" s="8"/>
      <c r="D7" s="75" t="s">
        <v>37</v>
      </c>
      <c r="E7" s="97" t="s">
        <v>37</v>
      </c>
      <c r="F7" s="97" t="s">
        <v>37</v>
      </c>
      <c r="G7" s="97" t="s">
        <v>37</v>
      </c>
      <c r="H7" s="97" t="s">
        <v>37</v>
      </c>
      <c r="I7" s="107" t="s">
        <v>37</v>
      </c>
      <c r="J7" s="107" t="s">
        <v>37</v>
      </c>
      <c r="K7" s="107" t="s">
        <v>37</v>
      </c>
      <c r="L7" s="107" t="s">
        <v>37</v>
      </c>
      <c r="M7" s="107" t="s">
        <v>37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" customFormat="1" ht="12.75">
      <c r="A8" s="8"/>
      <c r="B8" s="8"/>
      <c r="C8" s="8"/>
      <c r="D8" s="54" t="s">
        <v>34</v>
      </c>
      <c r="E8" s="54" t="s">
        <v>34</v>
      </c>
      <c r="F8" s="54" t="s">
        <v>34</v>
      </c>
      <c r="G8" s="54" t="s">
        <v>34</v>
      </c>
      <c r="H8" s="54" t="s">
        <v>34</v>
      </c>
      <c r="I8" s="54" t="s">
        <v>34</v>
      </c>
      <c r="J8" s="54" t="s">
        <v>34</v>
      </c>
      <c r="K8" s="54" t="s">
        <v>34</v>
      </c>
      <c r="L8" s="54" t="s">
        <v>34</v>
      </c>
      <c r="M8" s="54" t="s">
        <v>34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13" s="22" customFormat="1" ht="12.75">
      <c r="A9" s="113" t="s">
        <v>118</v>
      </c>
      <c r="B9" s="93"/>
      <c r="C9" s="93"/>
      <c r="D9" s="112">
        <f>+'Cons spec tot e finalizzati'!D9-'Cons spec tot e finalizzati'!E9</f>
        <v>5358</v>
      </c>
      <c r="E9" s="112">
        <f>+'Cons spec tot e finalizzati'!F9-'Cons spec tot e finalizzati'!G9</f>
        <v>6959</v>
      </c>
      <c r="F9" s="112">
        <f>+'Cons spec tot e finalizzati'!H9-'Cons spec tot e finalizzati'!I9</f>
        <v>6700</v>
      </c>
      <c r="G9" s="112">
        <f>+'Cons spec tot e finalizzati'!J9-'Cons spec tot e finalizzati'!K9</f>
        <v>8156</v>
      </c>
      <c r="H9" s="112">
        <f>+'Cons spec tot e finalizzati'!L9-'Cons spec tot e finalizzati'!M9</f>
        <v>9966</v>
      </c>
      <c r="I9" s="112">
        <f>+'Cons spec tot e finalizzati'!N9-'Cons spec tot e finalizzati'!O9</f>
        <v>9483</v>
      </c>
      <c r="J9" s="112">
        <f>+'Cons spec tot e finalizzati'!P9-'Cons spec tot e finalizzati'!Q9</f>
        <v>12405</v>
      </c>
      <c r="K9" s="112">
        <f>+'Cons spec tot e finalizzati'!R9-'Cons spec tot e finalizzati'!S9</f>
        <v>14322</v>
      </c>
      <c r="L9" s="112">
        <f>+'Cons spec tot e finalizzati'!T9-'Cons spec tot e finalizzati'!U9</f>
        <v>11095</v>
      </c>
      <c r="M9" s="112">
        <f>+'Cons spec tot e finalizzati'!V9-'Cons spec tot e finalizzati'!W9</f>
        <v>8885</v>
      </c>
    </row>
    <row r="10" spans="1:32" s="2" customFormat="1" ht="12.75">
      <c r="A10" s="111" t="s">
        <v>119</v>
      </c>
      <c r="B10" s="92"/>
      <c r="C10" s="92"/>
      <c r="D10" s="59">
        <f>+'Cons spec tot e finalizzati'!D10-'Cons spec tot e finalizzati'!E10</f>
        <v>5</v>
      </c>
      <c r="E10" s="59">
        <f>+'Cons spec tot e finalizzati'!F10-'Cons spec tot e finalizzati'!G10</f>
        <v>56</v>
      </c>
      <c r="F10" s="59">
        <f>+'Cons spec tot e finalizzati'!H10-'Cons spec tot e finalizzati'!I10</f>
        <v>168</v>
      </c>
      <c r="G10" s="59">
        <f>+'Cons spec tot e finalizzati'!J10-'Cons spec tot e finalizzati'!K10</f>
        <v>254</v>
      </c>
      <c r="H10" s="59">
        <f>+'Cons spec tot e finalizzati'!L10-'Cons spec tot e finalizzati'!M10</f>
        <v>141</v>
      </c>
      <c r="I10" s="59">
        <f>+'Cons spec tot e finalizzati'!N10-'Cons spec tot e finalizzati'!O10</f>
        <v>88</v>
      </c>
      <c r="J10" s="59">
        <f>+'Cons spec tot e finalizzati'!P10-'Cons spec tot e finalizzati'!Q10</f>
        <v>41</v>
      </c>
      <c r="K10" s="59">
        <f>+'Cons spec tot e finalizzati'!R10-'Cons spec tot e finalizzati'!S10</f>
        <v>254</v>
      </c>
      <c r="L10" s="59">
        <f>+'Cons spec tot e finalizzati'!T10-'Cons spec tot e finalizzati'!U10</f>
        <v>177</v>
      </c>
      <c r="M10" s="59">
        <f>+'Cons spec tot e finalizzati'!V10-'Cons spec tot e finalizzati'!W10</f>
        <v>122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" customFormat="1" ht="12.75">
      <c r="A11" s="9"/>
      <c r="B11" s="6" t="s">
        <v>119</v>
      </c>
      <c r="C11" s="18"/>
      <c r="D11" s="46">
        <f>+'Cons spec tot e finalizzati'!D11-'Cons spec tot e finalizzati'!E11</f>
        <v>0</v>
      </c>
      <c r="E11" s="46">
        <f>+'Cons spec tot e finalizzati'!F11-'Cons spec tot e finalizzati'!G11</f>
        <v>0</v>
      </c>
      <c r="F11" s="46">
        <f>+'Cons spec tot e finalizzati'!H11-'Cons spec tot e finalizzati'!I11</f>
        <v>0</v>
      </c>
      <c r="G11" s="46">
        <f>+'Cons spec tot e finalizzati'!J11-'Cons spec tot e finalizzati'!K11</f>
        <v>55</v>
      </c>
      <c r="H11" s="46">
        <f>+'Cons spec tot e finalizzati'!L11-'Cons spec tot e finalizzati'!M11</f>
        <v>55</v>
      </c>
      <c r="I11" s="46">
        <f>+'Cons spec tot e finalizzati'!N11-'Cons spec tot e finalizzati'!O11</f>
        <v>31</v>
      </c>
      <c r="J11" s="46">
        <f>+'Cons spec tot e finalizzati'!P11-'Cons spec tot e finalizzati'!Q11</f>
        <v>33</v>
      </c>
      <c r="K11" s="46">
        <f>+'Cons spec tot e finalizzati'!R11-'Cons spec tot e finalizzati'!S11</f>
        <v>24</v>
      </c>
      <c r="L11" s="46">
        <f>+'Cons spec tot e finalizzati'!T11-'Cons spec tot e finalizzati'!U11</f>
        <v>41</v>
      </c>
      <c r="M11" s="46">
        <f>+'Cons spec tot e finalizzati'!V11-'Cons spec tot e finalizzati'!W11</f>
        <v>43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13" s="22" customFormat="1" ht="12.75">
      <c r="A12" s="134"/>
      <c r="B12" s="16" t="s">
        <v>120</v>
      </c>
      <c r="C12" s="16"/>
      <c r="D12" s="61">
        <f>+'Cons spec tot e finalizzati'!D12-'Cons spec tot e finalizzati'!E12</f>
        <v>5</v>
      </c>
      <c r="E12" s="61">
        <f>+'Cons spec tot e finalizzati'!F12-'Cons spec tot e finalizzati'!G12</f>
        <v>56</v>
      </c>
      <c r="F12" s="61">
        <f>+'Cons spec tot e finalizzati'!H12-'Cons spec tot e finalizzati'!I12</f>
        <v>168</v>
      </c>
      <c r="G12" s="61">
        <f>+'Cons spec tot e finalizzati'!J12-'Cons spec tot e finalizzati'!K12</f>
        <v>199</v>
      </c>
      <c r="H12" s="61">
        <f>+'Cons spec tot e finalizzati'!L12-'Cons spec tot e finalizzati'!M12</f>
        <v>86</v>
      </c>
      <c r="I12" s="61">
        <f>+'Cons spec tot e finalizzati'!N12-'Cons spec tot e finalizzati'!O12</f>
        <v>57</v>
      </c>
      <c r="J12" s="61">
        <f>+'Cons spec tot e finalizzati'!P12-'Cons spec tot e finalizzati'!Q12</f>
        <v>8</v>
      </c>
      <c r="K12" s="61">
        <f>+'Cons spec tot e finalizzati'!R12-'Cons spec tot e finalizzati'!S12</f>
        <v>230</v>
      </c>
      <c r="L12" s="61">
        <f>+'Cons spec tot e finalizzati'!T12-'Cons spec tot e finalizzati'!U12</f>
        <v>136</v>
      </c>
      <c r="M12" s="61">
        <f>+'Cons spec tot e finalizzati'!V12-'Cons spec tot e finalizzati'!W12</f>
        <v>79</v>
      </c>
    </row>
    <row r="13" spans="1:32" s="2" customFormat="1" ht="12.75">
      <c r="A13" s="111" t="s">
        <v>121</v>
      </c>
      <c r="B13" s="92"/>
      <c r="C13" s="92"/>
      <c r="D13" s="59">
        <f>+'Cons spec tot e finalizzati'!D13-'Cons spec tot e finalizzati'!E13</f>
        <v>1170</v>
      </c>
      <c r="E13" s="59">
        <f>+'Cons spec tot e finalizzati'!F13-'Cons spec tot e finalizzati'!G13</f>
        <v>1747</v>
      </c>
      <c r="F13" s="59">
        <f>+'Cons spec tot e finalizzati'!H13-'Cons spec tot e finalizzati'!I13</f>
        <v>1534</v>
      </c>
      <c r="G13" s="59">
        <f>+'Cons spec tot e finalizzati'!J13-'Cons spec tot e finalizzati'!K13</f>
        <v>1500</v>
      </c>
      <c r="H13" s="59">
        <f>+'Cons spec tot e finalizzati'!L13-'Cons spec tot e finalizzati'!M13</f>
        <v>1327</v>
      </c>
      <c r="I13" s="59">
        <f>+'Cons spec tot e finalizzati'!N13-'Cons spec tot e finalizzati'!O13</f>
        <v>939</v>
      </c>
      <c r="J13" s="59">
        <f>+'Cons spec tot e finalizzati'!P13-'Cons spec tot e finalizzati'!Q13</f>
        <v>572</v>
      </c>
      <c r="K13" s="59">
        <f>+'Cons spec tot e finalizzati'!R13-'Cons spec tot e finalizzati'!S13</f>
        <v>746</v>
      </c>
      <c r="L13" s="59">
        <f>+'Cons spec tot e finalizzati'!T13-'Cons spec tot e finalizzati'!U13</f>
        <v>738</v>
      </c>
      <c r="M13" s="59">
        <f>+'Cons spec tot e finalizzati'!V13-'Cons spec tot e finalizzati'!W13</f>
        <v>620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2" customFormat="1" ht="12.75">
      <c r="A14" s="26"/>
      <c r="B14" s="20" t="s">
        <v>48</v>
      </c>
      <c r="C14" s="20"/>
      <c r="D14" s="38">
        <f>+'Cons spec tot e finalizzati'!D14-'Cons spec tot e finalizzati'!E14</f>
        <v>504</v>
      </c>
      <c r="E14" s="43">
        <f>+'Cons spec tot e finalizzati'!F14-'Cons spec tot e finalizzati'!G14</f>
        <v>817</v>
      </c>
      <c r="F14" s="38">
        <f>+'Cons spec tot e finalizzati'!H14-'Cons spec tot e finalizzati'!I14</f>
        <v>537</v>
      </c>
      <c r="G14" s="46">
        <f>+'Cons spec tot e finalizzati'!J14-'Cons spec tot e finalizzati'!K14</f>
        <v>321</v>
      </c>
      <c r="H14" s="43">
        <f>+'Cons spec tot e finalizzati'!L14-'Cons spec tot e finalizzati'!M14</f>
        <v>186</v>
      </c>
      <c r="I14" s="43">
        <f>+'Cons spec tot e finalizzati'!N14-'Cons spec tot e finalizzati'!O14</f>
        <v>25</v>
      </c>
      <c r="J14" s="43">
        <f>+'Cons spec tot e finalizzati'!P14-'Cons spec tot e finalizzati'!Q14</f>
        <v>25</v>
      </c>
      <c r="K14" s="43">
        <f>+'Cons spec tot e finalizzati'!R14-'Cons spec tot e finalizzati'!S14</f>
        <v>19</v>
      </c>
      <c r="L14" s="43">
        <f>+'Cons spec tot e finalizzati'!T14-'Cons spec tot e finalizzati'!U14</f>
        <v>13</v>
      </c>
      <c r="M14" s="43">
        <f>+'Cons spec tot e finalizzati'!V14-'Cons spec tot e finalizzati'!W14</f>
        <v>13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2" customFormat="1" ht="12.75">
      <c r="A15" s="26"/>
      <c r="B15" s="19" t="s">
        <v>54</v>
      </c>
      <c r="C15" s="21"/>
      <c r="D15" s="38">
        <f>+'Cons spec tot e finalizzati'!D15-'Cons spec tot e finalizzati'!E15</f>
        <v>278</v>
      </c>
      <c r="E15" s="38">
        <f>+'Cons spec tot e finalizzati'!F15-'Cons spec tot e finalizzati'!G15</f>
        <v>233</v>
      </c>
      <c r="F15" s="38">
        <f>+'Cons spec tot e finalizzati'!H15-'Cons spec tot e finalizzati'!I15</f>
        <v>231</v>
      </c>
      <c r="G15" s="46">
        <f>+'Cons spec tot e finalizzati'!J15-'Cons spec tot e finalizzati'!K15</f>
        <v>271</v>
      </c>
      <c r="H15" s="43">
        <f>+'Cons spec tot e finalizzati'!L15-'Cons spec tot e finalizzati'!M15</f>
        <v>234</v>
      </c>
      <c r="I15" s="43">
        <f>+'Cons spec tot e finalizzati'!N15-'Cons spec tot e finalizzati'!O15</f>
        <v>225</v>
      </c>
      <c r="J15" s="43">
        <f>+'Cons spec tot e finalizzati'!P15-'Cons spec tot e finalizzati'!Q15</f>
        <v>34</v>
      </c>
      <c r="K15" s="43">
        <f>+'Cons spec tot e finalizzati'!R15-'Cons spec tot e finalizzati'!S15</f>
        <v>565</v>
      </c>
      <c r="L15" s="43">
        <f>+'Cons spec tot e finalizzati'!T15-'Cons spec tot e finalizzati'!U15</f>
        <v>612</v>
      </c>
      <c r="M15" s="43">
        <f>+'Cons spec tot e finalizzati'!V15-'Cons spec tot e finalizzati'!W15</f>
        <v>504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13" s="22" customFormat="1" ht="12.75">
      <c r="A16" s="26"/>
      <c r="B16" s="20" t="s">
        <v>0</v>
      </c>
      <c r="C16" s="2"/>
      <c r="D16" s="60">
        <f>+'Cons spec tot e finalizzati'!D16-'Cons spec tot e finalizzati'!E16</f>
        <v>177</v>
      </c>
      <c r="E16" s="60">
        <f>+'Cons spec tot e finalizzati'!F16-'Cons spec tot e finalizzati'!G16</f>
        <v>315</v>
      </c>
      <c r="F16" s="60">
        <f>+'Cons spec tot e finalizzati'!H16-'Cons spec tot e finalizzati'!I16</f>
        <v>318</v>
      </c>
      <c r="G16" s="46">
        <f>+'Cons spec tot e finalizzati'!J16-'Cons spec tot e finalizzati'!K16</f>
        <v>271</v>
      </c>
      <c r="H16" s="46">
        <f>+'Cons spec tot e finalizzati'!L16-'Cons spec tot e finalizzati'!M16</f>
        <v>249</v>
      </c>
      <c r="I16" s="46">
        <f>+'Cons spec tot e finalizzati'!N16-'Cons spec tot e finalizzati'!O16</f>
        <v>90</v>
      </c>
      <c r="J16" s="46">
        <f>+'Cons spec tot e finalizzati'!P16-'Cons spec tot e finalizzati'!Q16</f>
        <v>88</v>
      </c>
      <c r="K16" s="46">
        <f>+'Cons spec tot e finalizzati'!R16-'Cons spec tot e finalizzati'!S16</f>
        <v>83</v>
      </c>
      <c r="L16" s="46">
        <f>+'Cons spec tot e finalizzati'!T16-'Cons spec tot e finalizzati'!U16</f>
        <v>79</v>
      </c>
      <c r="M16" s="46">
        <f>+'Cons spec tot e finalizzati'!V16-'Cons spec tot e finalizzati'!W16</f>
        <v>83</v>
      </c>
    </row>
    <row r="17" spans="1:13" s="22" customFormat="1" ht="12.75">
      <c r="A17" s="13"/>
      <c r="B17" s="10" t="s">
        <v>1</v>
      </c>
      <c r="C17" s="10"/>
      <c r="D17" s="60">
        <f>+'Cons spec tot e finalizzati'!D17-'Cons spec tot e finalizzati'!E17</f>
        <v>211</v>
      </c>
      <c r="E17" s="60">
        <f>+'Cons spec tot e finalizzati'!F17-'Cons spec tot e finalizzati'!G17</f>
        <v>382</v>
      </c>
      <c r="F17" s="60">
        <f>+'Cons spec tot e finalizzati'!H17-'Cons spec tot e finalizzati'!I17</f>
        <v>234</v>
      </c>
      <c r="G17" s="46">
        <f>+'Cons spec tot e finalizzati'!J17-'Cons spec tot e finalizzati'!K17</f>
        <v>442</v>
      </c>
      <c r="H17" s="46">
        <f>+'Cons spec tot e finalizzati'!L17-'Cons spec tot e finalizzati'!M17</f>
        <v>481</v>
      </c>
      <c r="I17" s="46">
        <f>+'Cons spec tot e finalizzati'!N17-'Cons spec tot e finalizzati'!O17</f>
        <v>599</v>
      </c>
      <c r="J17" s="46">
        <f>+'Cons spec tot e finalizzati'!P17-'Cons spec tot e finalizzati'!Q17</f>
        <v>425</v>
      </c>
      <c r="K17" s="46">
        <f>+'Cons spec tot e finalizzati'!R17-'Cons spec tot e finalizzati'!S17</f>
        <v>79</v>
      </c>
      <c r="L17" s="46">
        <f>+'Cons spec tot e finalizzati'!T17-'Cons spec tot e finalizzati'!U17</f>
        <v>34</v>
      </c>
      <c r="M17" s="46">
        <f>+'Cons spec tot e finalizzati'!V17-'Cons spec tot e finalizzati'!W17</f>
        <v>20</v>
      </c>
    </row>
    <row r="18" spans="1:13" s="22" customFormat="1" ht="12.75">
      <c r="A18" s="13"/>
      <c r="B18" s="10" t="s">
        <v>42</v>
      </c>
      <c r="C18" s="10"/>
      <c r="D18" s="60">
        <f>+'Cons spec tot e finalizzati'!D18-'Cons spec tot e finalizzati'!E18</f>
        <v>0</v>
      </c>
      <c r="E18" s="60">
        <f>+'Cons spec tot e finalizzati'!F18-'Cons spec tot e finalizzati'!G18</f>
        <v>0</v>
      </c>
      <c r="F18" s="60">
        <f>+'Cons spec tot e finalizzati'!H18-'Cons spec tot e finalizzati'!I18</f>
        <v>214</v>
      </c>
      <c r="G18" s="60">
        <f>+'Cons spec tot e finalizzati'!J18-'Cons spec tot e finalizzati'!K18</f>
        <v>195</v>
      </c>
      <c r="H18" s="60">
        <f>+'Cons spec tot e finalizzati'!L18-'Cons spec tot e finalizzati'!M18</f>
        <v>177</v>
      </c>
      <c r="I18" s="60">
        <f>+'Cons spec tot e finalizzati'!N18-'Cons spec tot e finalizzati'!O18</f>
        <v>0</v>
      </c>
      <c r="J18" s="60">
        <f>+'Cons spec tot e finalizzati'!P18-'Cons spec tot e finalizzati'!Q18</f>
        <v>0</v>
      </c>
      <c r="K18" s="60">
        <f>+'Cons spec tot e finalizzati'!R18-'Cons spec tot e finalizzati'!S18</f>
        <v>0</v>
      </c>
      <c r="L18" s="60">
        <f>+'Cons spec tot e finalizzati'!T18-'Cons spec tot e finalizzati'!U18</f>
        <v>0</v>
      </c>
      <c r="M18" s="60">
        <f>+'Cons spec tot e finalizzati'!V18-'Cons spec tot e finalizzati'!W18</f>
        <v>0</v>
      </c>
    </row>
    <row r="19" spans="1:32" s="2" customFormat="1" ht="12.75">
      <c r="A19" s="96" t="s">
        <v>122</v>
      </c>
      <c r="B19" s="91"/>
      <c r="C19" s="91"/>
      <c r="D19" s="55">
        <f>+'Cons spec tot e finalizzati'!D19-'Cons spec tot e finalizzati'!E19</f>
        <v>3345</v>
      </c>
      <c r="E19" s="55">
        <f>+'Cons spec tot e finalizzati'!F19-'Cons spec tot e finalizzati'!G19</f>
        <v>3101</v>
      </c>
      <c r="F19" s="55">
        <f>+'Cons spec tot e finalizzati'!H19-'Cons spec tot e finalizzati'!I19</f>
        <v>3006</v>
      </c>
      <c r="G19" s="55">
        <f>+'Cons spec tot e finalizzati'!J19-'Cons spec tot e finalizzati'!K19</f>
        <v>4384</v>
      </c>
      <c r="H19" s="55">
        <f>+'Cons spec tot e finalizzati'!L19-'Cons spec tot e finalizzati'!M19</f>
        <v>6668</v>
      </c>
      <c r="I19" s="55">
        <f>+'Cons spec tot e finalizzati'!N19-'Cons spec tot e finalizzati'!O19</f>
        <v>6523</v>
      </c>
      <c r="J19" s="55">
        <f>+'Cons spec tot e finalizzati'!P19-'Cons spec tot e finalizzati'!Q19</f>
        <v>10165</v>
      </c>
      <c r="K19" s="55">
        <f>+'Cons spec tot e finalizzati'!R19-'Cons spec tot e finalizzati'!S19</f>
        <v>11747</v>
      </c>
      <c r="L19" s="55">
        <f>+'Cons spec tot e finalizzati'!T19-'Cons spec tot e finalizzati'!U19</f>
        <v>9254</v>
      </c>
      <c r="M19" s="55">
        <f>+'Cons spec tot e finalizzati'!V19-'Cons spec tot e finalizzati'!W19</f>
        <v>7241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2" customFormat="1" ht="12.75">
      <c r="A20" s="26"/>
      <c r="B20" s="20" t="s">
        <v>15</v>
      </c>
      <c r="C20" s="20"/>
      <c r="D20" s="38">
        <f>+'Cons spec tot e finalizzati'!D20-'Cons spec tot e finalizzati'!E20</f>
        <v>711</v>
      </c>
      <c r="E20" s="43">
        <f>+'Cons spec tot e finalizzati'!F20-'Cons spec tot e finalizzati'!G20</f>
        <v>1413</v>
      </c>
      <c r="F20" s="38">
        <f>+'Cons spec tot e finalizzati'!H20-'Cons spec tot e finalizzati'!I20</f>
        <v>1010</v>
      </c>
      <c r="G20" s="46">
        <f>+'Cons spec tot e finalizzati'!J20-'Cons spec tot e finalizzati'!K20</f>
        <v>1281</v>
      </c>
      <c r="H20" s="43">
        <f>+'Cons spec tot e finalizzati'!L20-'Cons spec tot e finalizzati'!M20</f>
        <v>1251</v>
      </c>
      <c r="I20" s="43">
        <f>+'Cons spec tot e finalizzati'!N20-'Cons spec tot e finalizzati'!O20</f>
        <v>1313</v>
      </c>
      <c r="J20" s="43">
        <f>+'Cons spec tot e finalizzati'!P20-'Cons spec tot e finalizzati'!Q20</f>
        <v>1063</v>
      </c>
      <c r="K20" s="43">
        <f>+'Cons spec tot e finalizzati'!R20-'Cons spec tot e finalizzati'!S20</f>
        <v>1197</v>
      </c>
      <c r="L20" s="43">
        <f>+'Cons spec tot e finalizzati'!T20-'Cons spec tot e finalizzati'!U20</f>
        <v>812</v>
      </c>
      <c r="M20" s="43">
        <f>+'Cons spec tot e finalizzati'!V20-'Cons spec tot e finalizzati'!W20</f>
        <v>852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2" customFormat="1" ht="12.75">
      <c r="A21" s="26"/>
      <c r="B21" s="20" t="s">
        <v>2</v>
      </c>
      <c r="C21" s="20"/>
      <c r="D21" s="38">
        <f>+'Cons spec tot e finalizzati'!D21-'Cons spec tot e finalizzati'!E21</f>
        <v>124</v>
      </c>
      <c r="E21" s="43">
        <f>+'Cons spec tot e finalizzati'!F21-'Cons spec tot e finalizzati'!G21</f>
        <v>115</v>
      </c>
      <c r="F21" s="38">
        <f>+'Cons spec tot e finalizzati'!H21-'Cons spec tot e finalizzati'!I21</f>
        <v>92</v>
      </c>
      <c r="G21" s="46">
        <f>+'Cons spec tot e finalizzati'!J21-'Cons spec tot e finalizzati'!K21</f>
        <v>87</v>
      </c>
      <c r="H21" s="43">
        <f>+'Cons spec tot e finalizzati'!L21-'Cons spec tot e finalizzati'!M21</f>
        <v>90</v>
      </c>
      <c r="I21" s="43">
        <f>+'Cons spec tot e finalizzati'!N21-'Cons spec tot e finalizzati'!O21</f>
        <v>89</v>
      </c>
      <c r="J21" s="43">
        <f>+'Cons spec tot e finalizzati'!P21-'Cons spec tot e finalizzati'!Q21</f>
        <v>83</v>
      </c>
      <c r="K21" s="43">
        <f>+'Cons spec tot e finalizzati'!R21-'Cons spec tot e finalizzati'!S21</f>
        <v>90</v>
      </c>
      <c r="L21" s="43">
        <f>+'Cons spec tot e finalizzati'!T21-'Cons spec tot e finalizzati'!U21</f>
        <v>106</v>
      </c>
      <c r="M21" s="43">
        <f>+'Cons spec tot e finalizzati'!V21-'Cons spec tot e finalizzati'!W21</f>
        <v>79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2" customFormat="1" ht="12.75">
      <c r="A22" s="26"/>
      <c r="B22" s="20" t="s">
        <v>77</v>
      </c>
      <c r="C22" s="20"/>
      <c r="D22" s="38">
        <f>+'Cons spec tot e finalizzati'!D22-'Cons spec tot e finalizzati'!E22</f>
        <v>0</v>
      </c>
      <c r="E22" s="43">
        <f>+'Cons spec tot e finalizzati'!F22-'Cons spec tot e finalizzati'!G22</f>
        <v>0</v>
      </c>
      <c r="F22" s="38">
        <f>+'Cons spec tot e finalizzati'!H22-'Cons spec tot e finalizzati'!I22</f>
        <v>142</v>
      </c>
      <c r="G22" s="46">
        <f>+'Cons spec tot e finalizzati'!J22-'Cons spec tot e finalizzati'!K22</f>
        <v>77</v>
      </c>
      <c r="H22" s="43">
        <f>+'Cons spec tot e finalizzati'!L22-'Cons spec tot e finalizzati'!M22</f>
        <v>120</v>
      </c>
      <c r="I22" s="43">
        <f>+'Cons spec tot e finalizzati'!N22-'Cons spec tot e finalizzati'!O22</f>
        <v>130</v>
      </c>
      <c r="J22" s="43">
        <f>+'Cons spec tot e finalizzati'!P22-'Cons spec tot e finalizzati'!Q22</f>
        <v>55</v>
      </c>
      <c r="K22" s="43">
        <f>+'Cons spec tot e finalizzati'!R22-'Cons spec tot e finalizzati'!S22</f>
        <v>80</v>
      </c>
      <c r="L22" s="43">
        <f>+'Cons spec tot e finalizzati'!T22-'Cons spec tot e finalizzati'!U22</f>
        <v>60</v>
      </c>
      <c r="M22" s="43">
        <f>+'Cons spec tot e finalizzati'!V22-'Cons spec tot e finalizzati'!W22</f>
        <v>60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2" customFormat="1" ht="12.75">
      <c r="A23" s="26"/>
      <c r="B23" s="20" t="s">
        <v>78</v>
      </c>
      <c r="C23" s="20"/>
      <c r="D23" s="38">
        <f>+'Cons spec tot e finalizzati'!D23-'Cons spec tot e finalizzati'!E23</f>
        <v>1963</v>
      </c>
      <c r="E23" s="43">
        <f>+'Cons spec tot e finalizzati'!F23-'Cons spec tot e finalizzati'!G23</f>
        <v>659</v>
      </c>
      <c r="F23" s="38">
        <f>+'Cons spec tot e finalizzati'!H23-'Cons spec tot e finalizzati'!I23</f>
        <v>1085</v>
      </c>
      <c r="G23" s="46">
        <f>+'Cons spec tot e finalizzati'!J23-'Cons spec tot e finalizzati'!K23</f>
        <v>2072</v>
      </c>
      <c r="H23" s="43">
        <f>+'Cons spec tot e finalizzati'!L23-'Cons spec tot e finalizzati'!M23</f>
        <v>4200</v>
      </c>
      <c r="I23" s="43">
        <f>+'Cons spec tot e finalizzati'!N23-'Cons spec tot e finalizzati'!O23</f>
        <v>3789</v>
      </c>
      <c r="J23" s="43">
        <f>+'Cons spec tot e finalizzati'!P23-'Cons spec tot e finalizzati'!Q23</f>
        <v>7963</v>
      </c>
      <c r="K23" s="43">
        <f>+'Cons spec tot e finalizzati'!R23-'Cons spec tot e finalizzati'!S23</f>
        <v>9378</v>
      </c>
      <c r="L23" s="43">
        <f>+'Cons spec tot e finalizzati'!T23-'Cons spec tot e finalizzati'!U23</f>
        <v>7470</v>
      </c>
      <c r="M23" s="43">
        <f>+'Cons spec tot e finalizzati'!V23-'Cons spec tot e finalizzati'!W23</f>
        <v>6239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13" s="22" customFormat="1" ht="12.75">
      <c r="A24" s="13"/>
      <c r="B24" s="10" t="s">
        <v>79</v>
      </c>
      <c r="C24" s="10"/>
      <c r="D24" s="60">
        <f>+'Cons spec tot e finalizzati'!D24-'Cons spec tot e finalizzati'!E24</f>
        <v>547</v>
      </c>
      <c r="E24" s="60">
        <f>+'Cons spec tot e finalizzati'!F24-'Cons spec tot e finalizzati'!G24</f>
        <v>914</v>
      </c>
      <c r="F24" s="60">
        <f>+'Cons spec tot e finalizzati'!H24-'Cons spec tot e finalizzati'!I24</f>
        <v>677</v>
      </c>
      <c r="G24" s="60">
        <f>+'Cons spec tot e finalizzati'!J24-'Cons spec tot e finalizzati'!K24</f>
        <v>867</v>
      </c>
      <c r="H24" s="60">
        <f>+'Cons spec tot e finalizzati'!L24-'Cons spec tot e finalizzati'!M24</f>
        <v>1007</v>
      </c>
      <c r="I24" s="60">
        <f>+'Cons spec tot e finalizzati'!N24-'Cons spec tot e finalizzati'!O24</f>
        <v>1202</v>
      </c>
      <c r="J24" s="60">
        <f>+'Cons spec tot e finalizzati'!P24-'Cons spec tot e finalizzati'!Q24</f>
        <v>1001</v>
      </c>
      <c r="K24" s="60">
        <f>+'Cons spec tot e finalizzati'!R24-'Cons spec tot e finalizzati'!S24</f>
        <v>1002</v>
      </c>
      <c r="L24" s="60">
        <f>+'Cons spec tot e finalizzati'!T24-'Cons spec tot e finalizzati'!U24</f>
        <v>806</v>
      </c>
      <c r="M24" s="60">
        <f>+'Cons spec tot e finalizzati'!V24-'Cons spec tot e finalizzati'!W24</f>
        <v>11</v>
      </c>
    </row>
    <row r="25" spans="1:32" s="2" customFormat="1" ht="12.75">
      <c r="A25" s="120" t="s">
        <v>123</v>
      </c>
      <c r="B25" s="121"/>
      <c r="C25" s="122"/>
      <c r="D25" s="58">
        <f>+'Cons spec tot e finalizzati'!D25-'Cons spec tot e finalizzati'!E25</f>
        <v>227</v>
      </c>
      <c r="E25" s="58">
        <f>+'Cons spec tot e finalizzati'!F25-'Cons spec tot e finalizzati'!G25</f>
        <v>239</v>
      </c>
      <c r="F25" s="69">
        <f>+'Cons spec tot e finalizzati'!H25-'Cons spec tot e finalizzati'!I25</f>
        <v>280</v>
      </c>
      <c r="G25" s="69">
        <f>+'Cons spec tot e finalizzati'!J25-'Cons spec tot e finalizzati'!K25</f>
        <v>265</v>
      </c>
      <c r="H25" s="58">
        <f>+'Cons spec tot e finalizzati'!L25-'Cons spec tot e finalizzati'!M25</f>
        <v>215</v>
      </c>
      <c r="I25" s="58">
        <f>+'Cons spec tot e finalizzati'!N25-'Cons spec tot e finalizzati'!O25</f>
        <v>203</v>
      </c>
      <c r="J25" s="58">
        <f>+'Cons spec tot e finalizzati'!P25-'Cons spec tot e finalizzati'!Q25</f>
        <v>224</v>
      </c>
      <c r="K25" s="58">
        <f>+'Cons spec tot e finalizzati'!R25-'Cons spec tot e finalizzati'!S25</f>
        <v>298</v>
      </c>
      <c r="L25" s="58">
        <f>+'Cons spec tot e finalizzati'!T25-'Cons spec tot e finalizzati'!U25</f>
        <v>200</v>
      </c>
      <c r="M25" s="58">
        <f>+'Cons spec tot e finalizzati'!V25-'Cons spec tot e finalizzati'!W25</f>
        <v>239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" customFormat="1" ht="12.75">
      <c r="A26" s="96" t="s">
        <v>124</v>
      </c>
      <c r="B26" s="91"/>
      <c r="C26" s="91"/>
      <c r="D26" s="55">
        <f>+'Cons spec tot e finalizzati'!D26-'Cons spec tot e finalizzati'!E26</f>
        <v>0</v>
      </c>
      <c r="E26" s="55">
        <f>+'Cons spec tot e finalizzati'!F26-'Cons spec tot e finalizzati'!G26</f>
        <v>603</v>
      </c>
      <c r="F26" s="55">
        <f>+'Cons spec tot e finalizzati'!H26-'Cons spec tot e finalizzati'!I26</f>
        <v>637</v>
      </c>
      <c r="G26" s="55">
        <f>+'Cons spec tot e finalizzati'!J26-'Cons spec tot e finalizzati'!K26</f>
        <v>1212</v>
      </c>
      <c r="H26" s="55">
        <f>+'Cons spec tot e finalizzati'!L26-'Cons spec tot e finalizzati'!M26</f>
        <v>1065</v>
      </c>
      <c r="I26" s="55">
        <f>+'Cons spec tot e finalizzati'!N26-'Cons spec tot e finalizzati'!O26</f>
        <v>1094</v>
      </c>
      <c r="J26" s="55">
        <f>+'Cons spec tot e finalizzati'!P26-'Cons spec tot e finalizzati'!Q26</f>
        <v>854</v>
      </c>
      <c r="K26" s="55">
        <f>+'Cons spec tot e finalizzati'!R26-'Cons spec tot e finalizzati'!S26</f>
        <v>773</v>
      </c>
      <c r="L26" s="55">
        <f>+'Cons spec tot e finalizzati'!T26-'Cons spec tot e finalizzati'!U26</f>
        <v>274</v>
      </c>
      <c r="M26" s="55">
        <f>+'Cons spec tot e finalizzati'!V26-'Cons spec tot e finalizzati'!W26</f>
        <v>271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" customFormat="1" ht="12.75">
      <c r="A27" s="37"/>
      <c r="B27" s="10" t="s">
        <v>125</v>
      </c>
      <c r="C27" s="11"/>
      <c r="D27" s="43">
        <f>+'Cons spec tot e finalizzati'!D27-'Cons spec tot e finalizzati'!E27</f>
        <v>0</v>
      </c>
      <c r="E27" s="43">
        <f>+'Cons spec tot e finalizzati'!F27-'Cons spec tot e finalizzati'!G27</f>
        <v>0</v>
      </c>
      <c r="F27" s="43">
        <f>+'Cons spec tot e finalizzati'!H27-'Cons spec tot e finalizzati'!I27</f>
        <v>0</v>
      </c>
      <c r="G27" s="46">
        <f>+'Cons spec tot e finalizzati'!J27-'Cons spec tot e finalizzati'!K27</f>
        <v>0</v>
      </c>
      <c r="H27" s="43">
        <f>+'Cons spec tot e finalizzati'!L27-'Cons spec tot e finalizzati'!M27</f>
        <v>0</v>
      </c>
      <c r="I27" s="43">
        <f>+'Cons spec tot e finalizzati'!N27-'Cons spec tot e finalizzati'!O27</f>
        <v>0</v>
      </c>
      <c r="J27" s="43">
        <f>+'Cons spec tot e finalizzati'!P27-'Cons spec tot e finalizzati'!Q27</f>
        <v>200</v>
      </c>
      <c r="K27" s="43">
        <f>+'Cons spec tot e finalizzati'!R27-'Cons spec tot e finalizzati'!S27</f>
        <v>200</v>
      </c>
      <c r="L27" s="43">
        <f>+'Cons spec tot e finalizzati'!T27-'Cons spec tot e finalizzati'!U27</f>
        <v>200</v>
      </c>
      <c r="M27" s="43">
        <f>+'Cons spec tot e finalizzati'!V27-'Cons spec tot e finalizzati'!W27</f>
        <v>200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13" s="22" customFormat="1" ht="12.75">
      <c r="A28" s="134"/>
      <c r="B28" s="16" t="s">
        <v>93</v>
      </c>
      <c r="C28" s="16"/>
      <c r="D28" s="61">
        <f>+'Cons spec tot e finalizzati'!D28-'Cons spec tot e finalizzati'!E28</f>
        <v>0</v>
      </c>
      <c r="E28" s="61">
        <f>+'Cons spec tot e finalizzati'!F28-'Cons spec tot e finalizzati'!G28</f>
        <v>603</v>
      </c>
      <c r="F28" s="61">
        <f>+'Cons spec tot e finalizzati'!H28-'Cons spec tot e finalizzati'!I28</f>
        <v>637</v>
      </c>
      <c r="G28" s="61">
        <f>+'Cons spec tot e finalizzati'!J28-'Cons spec tot e finalizzati'!K28</f>
        <v>1212</v>
      </c>
      <c r="H28" s="61">
        <f>+'Cons spec tot e finalizzati'!L28-'Cons spec tot e finalizzati'!M28</f>
        <v>1065</v>
      </c>
      <c r="I28" s="61">
        <f>+'Cons spec tot e finalizzati'!N28-'Cons spec tot e finalizzati'!O28</f>
        <v>1094</v>
      </c>
      <c r="J28" s="61">
        <f>+'Cons spec tot e finalizzati'!P28-'Cons spec tot e finalizzati'!Q28</f>
        <v>654</v>
      </c>
      <c r="K28" s="61">
        <f>+'Cons spec tot e finalizzati'!R28-'Cons spec tot e finalizzati'!S28</f>
        <v>573</v>
      </c>
      <c r="L28" s="61">
        <f>+'Cons spec tot e finalizzati'!T28-'Cons spec tot e finalizzati'!U28</f>
        <v>74</v>
      </c>
      <c r="M28" s="61">
        <f>+'Cons spec tot e finalizzati'!V28-'Cons spec tot e finalizzati'!W28</f>
        <v>71</v>
      </c>
    </row>
    <row r="29" spans="1:32" s="2" customFormat="1" ht="12.75">
      <c r="A29" s="120" t="s">
        <v>49</v>
      </c>
      <c r="B29" s="121"/>
      <c r="C29" s="122"/>
      <c r="D29" s="58">
        <f>+'Cons spec tot e finalizzati'!D29-'Cons spec tot e finalizzati'!E29</f>
        <v>250</v>
      </c>
      <c r="E29" s="58">
        <f>+'Cons spec tot e finalizzati'!F29-'Cons spec tot e finalizzati'!G29</f>
        <v>874</v>
      </c>
      <c r="F29" s="69">
        <f>+'Cons spec tot e finalizzati'!H29-'Cons spec tot e finalizzati'!I29</f>
        <v>810</v>
      </c>
      <c r="G29" s="69">
        <f>+'Cons spec tot e finalizzati'!J29-'Cons spec tot e finalizzati'!K29</f>
        <v>291</v>
      </c>
      <c r="H29" s="58">
        <f>+'Cons spec tot e finalizzati'!L29-'Cons spec tot e finalizzati'!M29</f>
        <v>191</v>
      </c>
      <c r="I29" s="58">
        <f>+'Cons spec tot e finalizzati'!N29-'Cons spec tot e finalizzati'!O29</f>
        <v>258</v>
      </c>
      <c r="J29" s="58">
        <f>+'Cons spec tot e finalizzati'!P29-'Cons spec tot e finalizzati'!Q29</f>
        <v>239</v>
      </c>
      <c r="K29" s="58">
        <f>+'Cons spec tot e finalizzati'!R29-'Cons spec tot e finalizzati'!S29</f>
        <v>208</v>
      </c>
      <c r="L29" s="58">
        <f>+'Cons spec tot e finalizzati'!T29-'Cons spec tot e finalizzati'!U29</f>
        <v>189</v>
      </c>
      <c r="M29" s="58">
        <f>+'Cons spec tot e finalizzati'!V29-'Cons spec tot e finalizzati'!W29</f>
        <v>131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2" customFormat="1" ht="12.75">
      <c r="A30" s="120" t="s">
        <v>126</v>
      </c>
      <c r="B30" s="121"/>
      <c r="C30" s="122"/>
      <c r="D30" s="58">
        <f>+'Cons spec tot e finalizzati'!D30-'Cons spec tot e finalizzati'!E30</f>
        <v>361</v>
      </c>
      <c r="E30" s="58">
        <f>+'Cons spec tot e finalizzati'!F30-'Cons spec tot e finalizzati'!G30</f>
        <v>339</v>
      </c>
      <c r="F30" s="69">
        <f>+'Cons spec tot e finalizzati'!H30-'Cons spec tot e finalizzati'!I30</f>
        <v>265</v>
      </c>
      <c r="G30" s="69">
        <f>+'Cons spec tot e finalizzati'!J30-'Cons spec tot e finalizzati'!K30</f>
        <v>250</v>
      </c>
      <c r="H30" s="58">
        <f>+'Cons spec tot e finalizzati'!L30-'Cons spec tot e finalizzati'!M30</f>
        <v>359</v>
      </c>
      <c r="I30" s="58">
        <f>+'Cons spec tot e finalizzati'!N30-'Cons spec tot e finalizzati'!O30</f>
        <v>378</v>
      </c>
      <c r="J30" s="58">
        <f>+'Cons spec tot e finalizzati'!P30-'Cons spec tot e finalizzati'!Q30</f>
        <v>310</v>
      </c>
      <c r="K30" s="58">
        <f>+'Cons spec tot e finalizzati'!R30-'Cons spec tot e finalizzati'!S30</f>
        <v>296</v>
      </c>
      <c r="L30" s="58">
        <f>+'Cons spec tot e finalizzati'!T30-'Cons spec tot e finalizzati'!U30</f>
        <v>263</v>
      </c>
      <c r="M30" s="58">
        <f>+'Cons spec tot e finalizzati'!V30-'Cons spec tot e finalizzati'!W30</f>
        <v>261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13" s="22" customFormat="1" ht="12.75">
      <c r="A31" s="113" t="s">
        <v>127</v>
      </c>
      <c r="B31" s="93"/>
      <c r="C31" s="93"/>
      <c r="D31" s="112">
        <f>+'Cons spec tot e finalizzati'!D31-'Cons spec tot e finalizzati'!E31</f>
        <v>28030.5</v>
      </c>
      <c r="E31" s="112">
        <f>+'Cons spec tot e finalizzati'!F31-'Cons spec tot e finalizzati'!G31</f>
        <v>26701.754688137502</v>
      </c>
      <c r="F31" s="112">
        <f>+'Cons spec tot e finalizzati'!H31-'Cons spec tot e finalizzati'!I31</f>
        <v>29252</v>
      </c>
      <c r="G31" s="112">
        <f>+'Cons spec tot e finalizzati'!J31-'Cons spec tot e finalizzati'!K31</f>
        <v>28059</v>
      </c>
      <c r="H31" s="112">
        <f>+'Cons spec tot e finalizzati'!L31-'Cons spec tot e finalizzati'!M31</f>
        <v>27558</v>
      </c>
      <c r="I31" s="112">
        <f>+'Cons spec tot e finalizzati'!N31-'Cons spec tot e finalizzati'!O31</f>
        <v>30230</v>
      </c>
      <c r="J31" s="112">
        <f>+'Cons spec tot e finalizzati'!P31-'Cons spec tot e finalizzati'!Q31</f>
        <v>26643</v>
      </c>
      <c r="K31" s="112">
        <f>+'Cons spec tot e finalizzati'!R31-'Cons spec tot e finalizzati'!S31</f>
        <v>28444</v>
      </c>
      <c r="L31" s="112">
        <f>+'Cons spec tot e finalizzati'!T31-'Cons spec tot e finalizzati'!U31</f>
        <v>27249</v>
      </c>
      <c r="M31" s="112">
        <f>+'Cons spec tot e finalizzati'!V31-'Cons spec tot e finalizzati'!W31</f>
        <v>27397</v>
      </c>
    </row>
    <row r="32" spans="1:32" s="2" customFormat="1" ht="12.75">
      <c r="A32" s="96" t="s">
        <v>128</v>
      </c>
      <c r="B32" s="91"/>
      <c r="C32" s="91"/>
      <c r="D32" s="55">
        <f>+'Cons spec tot e finalizzati'!D32-'Cons spec tot e finalizzati'!E32</f>
        <v>380</v>
      </c>
      <c r="E32" s="55">
        <f>+'Cons spec tot e finalizzati'!F32-'Cons spec tot e finalizzati'!G32</f>
        <v>331</v>
      </c>
      <c r="F32" s="55">
        <f>+'Cons spec tot e finalizzati'!H32-'Cons spec tot e finalizzati'!I32</f>
        <v>335</v>
      </c>
      <c r="G32" s="55">
        <f>+'Cons spec tot e finalizzati'!J32-'Cons spec tot e finalizzati'!K32</f>
        <v>346</v>
      </c>
      <c r="H32" s="55">
        <f>+'Cons spec tot e finalizzati'!L32-'Cons spec tot e finalizzati'!M32</f>
        <v>249</v>
      </c>
      <c r="I32" s="55">
        <f>+'Cons spec tot e finalizzati'!N32-'Cons spec tot e finalizzati'!O32</f>
        <v>329</v>
      </c>
      <c r="J32" s="55">
        <f>+'Cons spec tot e finalizzati'!P32-'Cons spec tot e finalizzati'!Q32</f>
        <v>43</v>
      </c>
      <c r="K32" s="55">
        <f>+'Cons spec tot e finalizzati'!R32-'Cons spec tot e finalizzati'!S32</f>
        <v>36</v>
      </c>
      <c r="L32" s="55">
        <f>+'Cons spec tot e finalizzati'!T32-'Cons spec tot e finalizzati'!U32</f>
        <v>69</v>
      </c>
      <c r="M32" s="55">
        <f>+'Cons spec tot e finalizzati'!V32-'Cons spec tot e finalizzati'!W32</f>
        <v>39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" customFormat="1" ht="12.75">
      <c r="A33" s="37"/>
      <c r="B33" s="10" t="s">
        <v>129</v>
      </c>
      <c r="C33" s="11"/>
      <c r="D33" s="43">
        <f>+'Cons spec tot e finalizzati'!D33-'Cons spec tot e finalizzati'!E33</f>
        <v>0</v>
      </c>
      <c r="E33" s="43">
        <f>+'Cons spec tot e finalizzati'!F33-'Cons spec tot e finalizzati'!G33</f>
        <v>0</v>
      </c>
      <c r="F33" s="43">
        <f>+'Cons spec tot e finalizzati'!H33-'Cons spec tot e finalizzati'!I33</f>
        <v>0</v>
      </c>
      <c r="G33" s="46">
        <f>+'Cons spec tot e finalizzati'!J33-'Cons spec tot e finalizzati'!K33</f>
        <v>0</v>
      </c>
      <c r="H33" s="43">
        <f>+'Cons spec tot e finalizzati'!L33-'Cons spec tot e finalizzati'!M33</f>
        <v>0</v>
      </c>
      <c r="I33" s="43">
        <f>+'Cons spec tot e finalizzati'!N33-'Cons spec tot e finalizzati'!O33</f>
        <v>195</v>
      </c>
      <c r="J33" s="43">
        <f>+'Cons spec tot e finalizzati'!P33-'Cons spec tot e finalizzati'!Q33</f>
        <v>0</v>
      </c>
      <c r="K33" s="43">
        <f>+'Cons spec tot e finalizzati'!R33-'Cons spec tot e finalizzati'!S33</f>
        <v>0</v>
      </c>
      <c r="L33" s="43">
        <f>+'Cons spec tot e finalizzati'!T33-'Cons spec tot e finalizzati'!U33</f>
        <v>0</v>
      </c>
      <c r="M33" s="43">
        <f>+'Cons spec tot e finalizzati'!V33-'Cons spec tot e finalizzati'!W33</f>
        <v>24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" customFormat="1" ht="12.75">
      <c r="A34" s="37"/>
      <c r="B34" s="10" t="s">
        <v>130</v>
      </c>
      <c r="C34" s="11"/>
      <c r="D34" s="43">
        <f>+'Cons spec tot e finalizzati'!D34-'Cons spec tot e finalizzati'!E34</f>
        <v>0</v>
      </c>
      <c r="E34" s="43">
        <f>+'Cons spec tot e finalizzati'!F34-'Cons spec tot e finalizzati'!G34</f>
        <v>0</v>
      </c>
      <c r="F34" s="43">
        <f>+'Cons spec tot e finalizzati'!H34-'Cons spec tot e finalizzati'!I34</f>
        <v>0</v>
      </c>
      <c r="G34" s="46">
        <f>+'Cons spec tot e finalizzati'!J34-'Cons spec tot e finalizzati'!K34</f>
        <v>29</v>
      </c>
      <c r="H34" s="43">
        <f>+'Cons spec tot e finalizzati'!L34-'Cons spec tot e finalizzati'!M34</f>
        <v>2</v>
      </c>
      <c r="I34" s="43">
        <f>+'Cons spec tot e finalizzati'!N34-'Cons spec tot e finalizzati'!O34</f>
        <v>30</v>
      </c>
      <c r="J34" s="43">
        <f>+'Cons spec tot e finalizzati'!P34-'Cons spec tot e finalizzati'!Q34</f>
        <v>0</v>
      </c>
      <c r="K34" s="43">
        <f>+'Cons spec tot e finalizzati'!R34-'Cons spec tot e finalizzati'!S34</f>
        <v>0</v>
      </c>
      <c r="L34" s="43">
        <f>+'Cons spec tot e finalizzati'!T34-'Cons spec tot e finalizzati'!U34</f>
        <v>8</v>
      </c>
      <c r="M34" s="43">
        <f>+'Cons spec tot e finalizzati'!V34-'Cons spec tot e finalizzati'!W34</f>
        <v>0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13" s="22" customFormat="1" ht="12.75">
      <c r="A35" s="134"/>
      <c r="B35" s="16" t="s">
        <v>18</v>
      </c>
      <c r="C35" s="16"/>
      <c r="D35" s="61">
        <f>+'Cons spec tot e finalizzati'!D35-'Cons spec tot e finalizzati'!E35</f>
        <v>380</v>
      </c>
      <c r="E35" s="61">
        <f>+'Cons spec tot e finalizzati'!F35-'Cons spec tot e finalizzati'!G35</f>
        <v>331</v>
      </c>
      <c r="F35" s="61">
        <f>+'Cons spec tot e finalizzati'!H35-'Cons spec tot e finalizzati'!I35</f>
        <v>335</v>
      </c>
      <c r="G35" s="61">
        <f>+'Cons spec tot e finalizzati'!J35-'Cons spec tot e finalizzati'!K35</f>
        <v>317</v>
      </c>
      <c r="H35" s="61">
        <f>+'Cons spec tot e finalizzati'!L35-'Cons spec tot e finalizzati'!M35</f>
        <v>247</v>
      </c>
      <c r="I35" s="61">
        <f>+'Cons spec tot e finalizzati'!N35-'Cons spec tot e finalizzati'!O35</f>
        <v>104</v>
      </c>
      <c r="J35" s="61">
        <f>+'Cons spec tot e finalizzati'!P35-'Cons spec tot e finalizzati'!Q35</f>
        <v>43</v>
      </c>
      <c r="K35" s="61">
        <f>+'Cons spec tot e finalizzati'!R35-'Cons spec tot e finalizzati'!S35</f>
        <v>36</v>
      </c>
      <c r="L35" s="61">
        <f>+'Cons spec tot e finalizzati'!T35-'Cons spec tot e finalizzati'!U35</f>
        <v>61</v>
      </c>
      <c r="M35" s="61">
        <f>+'Cons spec tot e finalizzati'!V35-'Cons spec tot e finalizzati'!W35</f>
        <v>15</v>
      </c>
    </row>
    <row r="36" spans="1:32" s="2" customFormat="1" ht="12.75">
      <c r="A36" s="96" t="s">
        <v>131</v>
      </c>
      <c r="B36" s="91"/>
      <c r="C36" s="91"/>
      <c r="D36" s="55">
        <f>+'Cons spec tot e finalizzati'!D36-'Cons spec tot e finalizzati'!E36</f>
        <v>1268</v>
      </c>
      <c r="E36" s="55">
        <f>+'Cons spec tot e finalizzati'!F36-'Cons spec tot e finalizzati'!G36</f>
        <v>1018</v>
      </c>
      <c r="F36" s="55">
        <f>+'Cons spec tot e finalizzati'!H36-'Cons spec tot e finalizzati'!I36</f>
        <v>1441</v>
      </c>
      <c r="G36" s="55">
        <f>+'Cons spec tot e finalizzati'!J36-'Cons spec tot e finalizzati'!K36</f>
        <v>937</v>
      </c>
      <c r="H36" s="55">
        <f>+'Cons spec tot e finalizzati'!L36-'Cons spec tot e finalizzati'!M36</f>
        <v>592</v>
      </c>
      <c r="I36" s="55">
        <f>+'Cons spec tot e finalizzati'!N36-'Cons spec tot e finalizzati'!O36</f>
        <v>980</v>
      </c>
      <c r="J36" s="55">
        <f>+'Cons spec tot e finalizzati'!P36-'Cons spec tot e finalizzati'!Q36</f>
        <v>351</v>
      </c>
      <c r="K36" s="55">
        <f>+'Cons spec tot e finalizzati'!R36-'Cons spec tot e finalizzati'!S36</f>
        <v>422</v>
      </c>
      <c r="L36" s="55">
        <f>+'Cons spec tot e finalizzati'!T36-'Cons spec tot e finalizzati'!U36</f>
        <v>183</v>
      </c>
      <c r="M36" s="55">
        <f>+'Cons spec tot e finalizzati'!V36-'Cons spec tot e finalizzati'!W36</f>
        <v>2365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2" customFormat="1" ht="12.75">
      <c r="A37" s="25"/>
      <c r="B37" s="20" t="s">
        <v>15</v>
      </c>
      <c r="D37" s="43">
        <f>+'Cons spec tot e finalizzati'!D37-'Cons spec tot e finalizzati'!E37</f>
        <v>72</v>
      </c>
      <c r="E37" s="43">
        <f>+'Cons spec tot e finalizzati'!F37-'Cons spec tot e finalizzati'!G37</f>
        <v>103</v>
      </c>
      <c r="F37" s="43">
        <f>+'Cons spec tot e finalizzati'!H37-'Cons spec tot e finalizzati'!I37</f>
        <v>120</v>
      </c>
      <c r="G37" s="46">
        <f>+'Cons spec tot e finalizzati'!J37-'Cons spec tot e finalizzati'!K37</f>
        <v>99</v>
      </c>
      <c r="H37" s="43">
        <f>+'Cons spec tot e finalizzati'!L37-'Cons spec tot e finalizzati'!M37</f>
        <v>192</v>
      </c>
      <c r="I37" s="43">
        <f>+'Cons spec tot e finalizzati'!N37-'Cons spec tot e finalizzati'!O37</f>
        <v>180</v>
      </c>
      <c r="J37" s="43">
        <f>+'Cons spec tot e finalizzati'!P37-'Cons spec tot e finalizzati'!Q37</f>
        <v>151</v>
      </c>
      <c r="K37" s="43">
        <f>+'Cons spec tot e finalizzati'!R37-'Cons spec tot e finalizzati'!S37</f>
        <v>227</v>
      </c>
      <c r="L37" s="43">
        <f>+'Cons spec tot e finalizzati'!T37-'Cons spec tot e finalizzati'!U37</f>
        <v>116</v>
      </c>
      <c r="M37" s="43">
        <f>+'Cons spec tot e finalizzati'!V37-'Cons spec tot e finalizzati'!W37</f>
        <v>94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2" customFormat="1" ht="12.75">
      <c r="A38" s="25"/>
      <c r="B38" s="20" t="s">
        <v>67</v>
      </c>
      <c r="D38" s="43">
        <f>+'Cons spec tot e finalizzati'!D38-'Cons spec tot e finalizzati'!E38</f>
        <v>983</v>
      </c>
      <c r="E38" s="43">
        <f>+'Cons spec tot e finalizzati'!F38-'Cons spec tot e finalizzati'!G38</f>
        <v>744</v>
      </c>
      <c r="F38" s="43">
        <f>+'Cons spec tot e finalizzati'!H38-'Cons spec tot e finalizzati'!I38</f>
        <v>1161</v>
      </c>
      <c r="G38" s="46">
        <f>+'Cons spec tot e finalizzati'!J38-'Cons spec tot e finalizzati'!K38</f>
        <v>644</v>
      </c>
      <c r="H38" s="43">
        <f>+'Cons spec tot e finalizzati'!L38-'Cons spec tot e finalizzati'!M38</f>
        <v>133</v>
      </c>
      <c r="I38" s="43">
        <f>+'Cons spec tot e finalizzati'!N38-'Cons spec tot e finalizzati'!O38</f>
        <v>462</v>
      </c>
      <c r="J38" s="43">
        <f>+'Cons spec tot e finalizzati'!P38-'Cons spec tot e finalizzati'!Q38</f>
        <v>101</v>
      </c>
      <c r="K38" s="43">
        <f>+'Cons spec tot e finalizzati'!R38-'Cons spec tot e finalizzati'!S38</f>
        <v>17</v>
      </c>
      <c r="L38" s="43">
        <f>+'Cons spec tot e finalizzati'!T38-'Cons spec tot e finalizzati'!U38</f>
        <v>26</v>
      </c>
      <c r="M38" s="43">
        <f>+'Cons spec tot e finalizzati'!V38-'Cons spec tot e finalizzati'!W38</f>
        <v>2196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13" s="22" customFormat="1" ht="12.75">
      <c r="A39" s="134"/>
      <c r="B39" s="16" t="s">
        <v>132</v>
      </c>
      <c r="C39" s="16"/>
      <c r="D39" s="61">
        <f>+'Cons spec tot e finalizzati'!D39-'Cons spec tot e finalizzati'!E39</f>
        <v>213</v>
      </c>
      <c r="E39" s="61">
        <f>+'Cons spec tot e finalizzati'!F39-'Cons spec tot e finalizzati'!G39</f>
        <v>171</v>
      </c>
      <c r="F39" s="61">
        <f>+'Cons spec tot e finalizzati'!H39-'Cons spec tot e finalizzati'!I39</f>
        <v>160</v>
      </c>
      <c r="G39" s="61">
        <f>+'Cons spec tot e finalizzati'!J39-'Cons spec tot e finalizzati'!K39</f>
        <v>194</v>
      </c>
      <c r="H39" s="61">
        <f>+'Cons spec tot e finalizzati'!L39-'Cons spec tot e finalizzati'!M39</f>
        <v>267</v>
      </c>
      <c r="I39" s="61">
        <f>+'Cons spec tot e finalizzati'!N39-'Cons spec tot e finalizzati'!O39</f>
        <v>338</v>
      </c>
      <c r="J39" s="61">
        <f>+'Cons spec tot e finalizzati'!P39-'Cons spec tot e finalizzati'!Q39</f>
        <v>99</v>
      </c>
      <c r="K39" s="61">
        <f>+'Cons spec tot e finalizzati'!R39-'Cons spec tot e finalizzati'!S39</f>
        <v>178</v>
      </c>
      <c r="L39" s="61">
        <f>+'Cons spec tot e finalizzati'!T39-'Cons spec tot e finalizzati'!U39</f>
        <v>41</v>
      </c>
      <c r="M39" s="61">
        <f>+'Cons spec tot e finalizzati'!V39-'Cons spec tot e finalizzati'!W39</f>
        <v>75</v>
      </c>
    </row>
    <row r="40" spans="1:32" s="2" customFormat="1" ht="12.75">
      <c r="A40" s="96" t="s">
        <v>133</v>
      </c>
      <c r="B40" s="91"/>
      <c r="C40" s="91"/>
      <c r="D40" s="55">
        <f>+'Cons spec tot e finalizzati'!D40-'Cons spec tot e finalizzati'!E40</f>
        <v>7659</v>
      </c>
      <c r="E40" s="55">
        <f>+'Cons spec tot e finalizzati'!F40-'Cons spec tot e finalizzati'!G40</f>
        <v>7338</v>
      </c>
      <c r="F40" s="55">
        <f>+'Cons spec tot e finalizzati'!H40-'Cons spec tot e finalizzati'!I40</f>
        <v>8700</v>
      </c>
      <c r="G40" s="55">
        <f>+'Cons spec tot e finalizzati'!J40-'Cons spec tot e finalizzati'!K40</f>
        <v>9180</v>
      </c>
      <c r="H40" s="55">
        <f>+'Cons spec tot e finalizzati'!L40-'Cons spec tot e finalizzati'!M40</f>
        <v>9386</v>
      </c>
      <c r="I40" s="55">
        <f>+'Cons spec tot e finalizzati'!N40-'Cons spec tot e finalizzati'!O40</f>
        <v>9318</v>
      </c>
      <c r="J40" s="55">
        <f>+'Cons spec tot e finalizzati'!P40-'Cons spec tot e finalizzati'!Q40</f>
        <v>8574</v>
      </c>
      <c r="K40" s="55">
        <f>+'Cons spec tot e finalizzati'!R40-'Cons spec tot e finalizzati'!S40</f>
        <v>8954</v>
      </c>
      <c r="L40" s="55">
        <f>+'Cons spec tot e finalizzati'!T40-'Cons spec tot e finalizzati'!U40</f>
        <v>8898</v>
      </c>
      <c r="M40" s="55">
        <f>+'Cons spec tot e finalizzati'!V40-'Cons spec tot e finalizzati'!W40</f>
        <v>8188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s="2" customFormat="1" ht="12.75">
      <c r="A41" s="25"/>
      <c r="B41" s="20" t="s">
        <v>66</v>
      </c>
      <c r="D41" s="43">
        <f>+'Cons spec tot e finalizzati'!D41-'Cons spec tot e finalizzati'!E41</f>
        <v>965</v>
      </c>
      <c r="E41" s="43">
        <f>+'Cons spec tot e finalizzati'!F41-'Cons spec tot e finalizzati'!G41</f>
        <v>498</v>
      </c>
      <c r="F41" s="43">
        <f>+'Cons spec tot e finalizzati'!H41-'Cons spec tot e finalizzati'!I41</f>
        <v>962</v>
      </c>
      <c r="G41" s="46">
        <f>+'Cons spec tot e finalizzati'!J41-'Cons spec tot e finalizzati'!K41</f>
        <v>2315</v>
      </c>
      <c r="H41" s="43">
        <f>+'Cons spec tot e finalizzati'!L41-'Cons spec tot e finalizzati'!M41</f>
        <v>2536</v>
      </c>
      <c r="I41" s="43">
        <f>+'Cons spec tot e finalizzati'!N41-'Cons spec tot e finalizzati'!O41</f>
        <v>1549</v>
      </c>
      <c r="J41" s="43">
        <f>+'Cons spec tot e finalizzati'!P41-'Cons spec tot e finalizzati'!Q41</f>
        <v>1325</v>
      </c>
      <c r="K41" s="43">
        <f>+'Cons spec tot e finalizzati'!R41-'Cons spec tot e finalizzati'!S41</f>
        <v>1454</v>
      </c>
      <c r="L41" s="43">
        <f>+'Cons spec tot e finalizzati'!T41-'Cons spec tot e finalizzati'!U41</f>
        <v>1455</v>
      </c>
      <c r="M41" s="43">
        <f>+'Cons spec tot e finalizzati'!V41-'Cons spec tot e finalizzati'!W41</f>
        <v>1238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2" customFormat="1" ht="12.75">
      <c r="A42" s="25"/>
      <c r="B42" s="20" t="s">
        <v>8</v>
      </c>
      <c r="D42" s="43">
        <f>+'Cons spec tot e finalizzati'!D42-'Cons spec tot e finalizzati'!E42</f>
        <v>3698</v>
      </c>
      <c r="E42" s="43">
        <f>+'Cons spec tot e finalizzati'!F42-'Cons spec tot e finalizzati'!G42</f>
        <v>3969</v>
      </c>
      <c r="F42" s="43">
        <f>+'Cons spec tot e finalizzati'!H42-'Cons spec tot e finalizzati'!I42</f>
        <v>5001</v>
      </c>
      <c r="G42" s="46">
        <f>+'Cons spec tot e finalizzati'!J42-'Cons spec tot e finalizzati'!K42</f>
        <v>4210</v>
      </c>
      <c r="H42" s="43">
        <f>+'Cons spec tot e finalizzati'!L42-'Cons spec tot e finalizzati'!M42</f>
        <v>4329</v>
      </c>
      <c r="I42" s="43">
        <f>+'Cons spec tot e finalizzati'!N42-'Cons spec tot e finalizzati'!O42</f>
        <v>5307</v>
      </c>
      <c r="J42" s="43">
        <f>+'Cons spec tot e finalizzati'!P42-'Cons spec tot e finalizzati'!Q42</f>
        <v>5112</v>
      </c>
      <c r="K42" s="43">
        <f>+'Cons spec tot e finalizzati'!R42-'Cons spec tot e finalizzati'!S42</f>
        <v>5433</v>
      </c>
      <c r="L42" s="43">
        <f>+'Cons spec tot e finalizzati'!T42-'Cons spec tot e finalizzati'!U42</f>
        <v>5263</v>
      </c>
      <c r="M42" s="43">
        <f>+'Cons spec tot e finalizzati'!V42-'Cons spec tot e finalizzati'!W42</f>
        <v>4811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13" s="22" customFormat="1" ht="12.75">
      <c r="A43" s="134"/>
      <c r="B43" s="16" t="s">
        <v>14</v>
      </c>
      <c r="C43" s="16"/>
      <c r="D43" s="61">
        <f>+'Cons spec tot e finalizzati'!D43-'Cons spec tot e finalizzati'!E43</f>
        <v>2996</v>
      </c>
      <c r="E43" s="61">
        <f>+'Cons spec tot e finalizzati'!F43-'Cons spec tot e finalizzati'!G43</f>
        <v>2871</v>
      </c>
      <c r="F43" s="61">
        <f>+'Cons spec tot e finalizzati'!H43-'Cons spec tot e finalizzati'!I43</f>
        <v>2737</v>
      </c>
      <c r="G43" s="61">
        <f>+'Cons spec tot e finalizzati'!J43-'Cons spec tot e finalizzati'!K43</f>
        <v>2655</v>
      </c>
      <c r="H43" s="61">
        <f>+'Cons spec tot e finalizzati'!L43-'Cons spec tot e finalizzati'!M43</f>
        <v>2521</v>
      </c>
      <c r="I43" s="61">
        <f>+'Cons spec tot e finalizzati'!N43-'Cons spec tot e finalizzati'!O43</f>
        <v>2462</v>
      </c>
      <c r="J43" s="61">
        <f>+'Cons spec tot e finalizzati'!P43-'Cons spec tot e finalizzati'!Q43</f>
        <v>2137</v>
      </c>
      <c r="K43" s="61">
        <f>+'Cons spec tot e finalizzati'!R43-'Cons spec tot e finalizzati'!S43</f>
        <v>2067</v>
      </c>
      <c r="L43" s="61">
        <f>+'Cons spec tot e finalizzati'!T43-'Cons spec tot e finalizzati'!U43</f>
        <v>2180</v>
      </c>
      <c r="M43" s="61">
        <f>+'Cons spec tot e finalizzati'!V43-'Cons spec tot e finalizzati'!W43</f>
        <v>2139</v>
      </c>
    </row>
    <row r="44" spans="1:32" s="2" customFormat="1" ht="12.75">
      <c r="A44" s="96" t="s">
        <v>136</v>
      </c>
      <c r="B44" s="91"/>
      <c r="C44" s="91"/>
      <c r="D44" s="55">
        <f>+'Cons spec tot e finalizzati'!D44-'Cons spec tot e finalizzati'!E44</f>
        <v>2720.5</v>
      </c>
      <c r="E44" s="55">
        <f>+'Cons spec tot e finalizzati'!F44-'Cons spec tot e finalizzati'!G44</f>
        <v>2095</v>
      </c>
      <c r="F44" s="55">
        <f>+'Cons spec tot e finalizzati'!H44-'Cons spec tot e finalizzati'!I44</f>
        <v>3629</v>
      </c>
      <c r="G44" s="55">
        <f>+'Cons spec tot e finalizzati'!J44-'Cons spec tot e finalizzati'!K44</f>
        <v>2231</v>
      </c>
      <c r="H44" s="55">
        <f>+'Cons spec tot e finalizzati'!L44-'Cons spec tot e finalizzati'!M44</f>
        <v>1745</v>
      </c>
      <c r="I44" s="55">
        <f>+'Cons spec tot e finalizzati'!N44-'Cons spec tot e finalizzati'!O44</f>
        <v>2805</v>
      </c>
      <c r="J44" s="55">
        <f>+'Cons spec tot e finalizzati'!P44-'Cons spec tot e finalizzati'!Q44</f>
        <v>2584</v>
      </c>
      <c r="K44" s="55">
        <f>+'Cons spec tot e finalizzati'!R44-'Cons spec tot e finalizzati'!S44</f>
        <v>2894</v>
      </c>
      <c r="L44" s="55">
        <f>+'Cons spec tot e finalizzati'!T44-'Cons spec tot e finalizzati'!U44</f>
        <v>3063</v>
      </c>
      <c r="M44" s="55">
        <f>+'Cons spec tot e finalizzati'!V44-'Cons spec tot e finalizzati'!W44</f>
        <v>2401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2" customFormat="1" ht="12.75">
      <c r="A45" s="25"/>
      <c r="B45" s="20" t="s">
        <v>116</v>
      </c>
      <c r="D45" s="43">
        <f>+'Cons spec tot e finalizzati'!D45-'Cons spec tot e finalizzati'!E45</f>
        <v>444</v>
      </c>
      <c r="E45" s="43">
        <f>+'Cons spec tot e finalizzati'!F45-'Cons spec tot e finalizzati'!G45</f>
        <v>428</v>
      </c>
      <c r="F45" s="43">
        <f>+'Cons spec tot e finalizzati'!H45-'Cons spec tot e finalizzati'!I45</f>
        <v>207</v>
      </c>
      <c r="G45" s="46">
        <f>+'Cons spec tot e finalizzati'!J45-'Cons spec tot e finalizzati'!K45</f>
        <v>221</v>
      </c>
      <c r="H45" s="43">
        <f>+'Cons spec tot e finalizzati'!L45-'Cons spec tot e finalizzati'!M45</f>
        <v>92</v>
      </c>
      <c r="I45" s="43">
        <f>+'Cons spec tot e finalizzati'!N45-'Cons spec tot e finalizzati'!O45</f>
        <v>109</v>
      </c>
      <c r="J45" s="43">
        <f>+'Cons spec tot e finalizzati'!P45-'Cons spec tot e finalizzati'!Q45</f>
        <v>135</v>
      </c>
      <c r="K45" s="43">
        <f>+'Cons spec tot e finalizzati'!R45-'Cons spec tot e finalizzati'!S45</f>
        <v>105</v>
      </c>
      <c r="L45" s="43">
        <f>+'Cons spec tot e finalizzati'!T45-'Cons spec tot e finalizzati'!U45</f>
        <v>181</v>
      </c>
      <c r="M45" s="43">
        <f>+'Cons spec tot e finalizzati'!V45-'Cons spec tot e finalizzati'!W45</f>
        <v>56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s="2" customFormat="1" ht="12.75">
      <c r="A46" s="25"/>
      <c r="B46" s="20" t="s">
        <v>70</v>
      </c>
      <c r="D46" s="43">
        <f>+'Cons spec tot e finalizzati'!D46-'Cons spec tot e finalizzati'!E46</f>
        <v>262</v>
      </c>
      <c r="E46" s="43">
        <f>+'Cons spec tot e finalizzati'!F46-'Cons spec tot e finalizzati'!G46</f>
        <v>48</v>
      </c>
      <c r="F46" s="43">
        <f>+'Cons spec tot e finalizzati'!H46-'Cons spec tot e finalizzati'!I46</f>
        <v>63</v>
      </c>
      <c r="G46" s="46">
        <f>+'Cons spec tot e finalizzati'!J46-'Cons spec tot e finalizzati'!K46</f>
        <v>34</v>
      </c>
      <c r="H46" s="43">
        <f>+'Cons spec tot e finalizzati'!L46-'Cons spec tot e finalizzati'!M46</f>
        <v>0</v>
      </c>
      <c r="I46" s="43">
        <f>+'Cons spec tot e finalizzati'!N46-'Cons spec tot e finalizzati'!O46</f>
        <v>0</v>
      </c>
      <c r="J46" s="43">
        <f>+'Cons spec tot e finalizzati'!P46-'Cons spec tot e finalizzati'!Q46</f>
        <v>0</v>
      </c>
      <c r="K46" s="43">
        <f>+'Cons spec tot e finalizzati'!R46-'Cons spec tot e finalizzati'!S46</f>
        <v>0</v>
      </c>
      <c r="L46" s="43">
        <f>+'Cons spec tot e finalizzati'!T46-'Cons spec tot e finalizzati'!U46</f>
        <v>0</v>
      </c>
      <c r="M46" s="43">
        <f>+'Cons spec tot e finalizzati'!V46-'Cons spec tot e finalizzati'!W46</f>
        <v>0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s="2" customFormat="1" ht="12.75">
      <c r="A47" s="25"/>
      <c r="B47" s="20" t="s">
        <v>135</v>
      </c>
      <c r="D47" s="43">
        <f>+'Cons spec tot e finalizzati'!D47-'Cons spec tot e finalizzati'!E47</f>
        <v>49</v>
      </c>
      <c r="E47" s="43">
        <f>+'Cons spec tot e finalizzati'!F47-'Cons spec tot e finalizzati'!G47</f>
        <v>17</v>
      </c>
      <c r="F47" s="43">
        <f>+'Cons spec tot e finalizzati'!H47-'Cons spec tot e finalizzati'!I47</f>
        <v>1</v>
      </c>
      <c r="G47" s="46">
        <f>+'Cons spec tot e finalizzati'!J47-'Cons spec tot e finalizzati'!K47</f>
        <v>12</v>
      </c>
      <c r="H47" s="43">
        <f>+'Cons spec tot e finalizzati'!L47-'Cons spec tot e finalizzati'!M47</f>
        <v>21</v>
      </c>
      <c r="I47" s="43">
        <f>+'Cons spec tot e finalizzati'!N47-'Cons spec tot e finalizzati'!O47</f>
        <v>163</v>
      </c>
      <c r="J47" s="43">
        <f>+'Cons spec tot e finalizzati'!P47-'Cons spec tot e finalizzati'!Q47</f>
        <v>82</v>
      </c>
      <c r="K47" s="43">
        <f>+'Cons spec tot e finalizzati'!R47-'Cons spec tot e finalizzati'!S47</f>
        <v>40</v>
      </c>
      <c r="L47" s="43">
        <f>+'Cons spec tot e finalizzati'!T47-'Cons spec tot e finalizzati'!U47</f>
        <v>45</v>
      </c>
      <c r="M47" s="43">
        <f>+'Cons spec tot e finalizzati'!V47-'Cons spec tot e finalizzati'!W47</f>
        <v>46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s="2" customFormat="1" ht="12.75">
      <c r="A48" s="25"/>
      <c r="B48" s="20" t="s">
        <v>69</v>
      </c>
      <c r="D48" s="43">
        <f>+'Cons spec tot e finalizzati'!D48-'Cons spec tot e finalizzati'!E48</f>
        <v>1493.5</v>
      </c>
      <c r="E48" s="43">
        <f>+'Cons spec tot e finalizzati'!F48-'Cons spec tot e finalizzati'!G48</f>
        <v>837</v>
      </c>
      <c r="F48" s="43">
        <f>+'Cons spec tot e finalizzati'!H48-'Cons spec tot e finalizzati'!I48</f>
        <v>331</v>
      </c>
      <c r="G48" s="46">
        <f>+'Cons spec tot e finalizzati'!J48-'Cons spec tot e finalizzati'!K48</f>
        <v>245</v>
      </c>
      <c r="H48" s="43">
        <f>+'Cons spec tot e finalizzati'!L48-'Cons spec tot e finalizzati'!M48</f>
        <v>164</v>
      </c>
      <c r="I48" s="43">
        <f>+'Cons spec tot e finalizzati'!N48-'Cons spec tot e finalizzati'!O48</f>
        <v>170</v>
      </c>
      <c r="J48" s="43">
        <f>+'Cons spec tot e finalizzati'!P48-'Cons spec tot e finalizzati'!Q48</f>
        <v>202</v>
      </c>
      <c r="K48" s="43">
        <f>+'Cons spec tot e finalizzati'!R48-'Cons spec tot e finalizzati'!S48</f>
        <v>220</v>
      </c>
      <c r="L48" s="43">
        <f>+'Cons spec tot e finalizzati'!T48-'Cons spec tot e finalizzati'!U48</f>
        <v>250</v>
      </c>
      <c r="M48" s="43">
        <f>+'Cons spec tot e finalizzati'!V48-'Cons spec tot e finalizzati'!W48</f>
        <v>220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s="2" customFormat="1" ht="12.75">
      <c r="A49" s="25"/>
      <c r="B49" s="20" t="s">
        <v>71</v>
      </c>
      <c r="D49" s="43">
        <f>+'Cons spec tot e finalizzati'!D49-'Cons spec tot e finalizzati'!E49</f>
        <v>0</v>
      </c>
      <c r="E49" s="43">
        <f>+'Cons spec tot e finalizzati'!F49-'Cons spec tot e finalizzati'!G49</f>
        <v>0</v>
      </c>
      <c r="F49" s="43">
        <f>+'Cons spec tot e finalizzati'!H49-'Cons spec tot e finalizzati'!I49</f>
        <v>27</v>
      </c>
      <c r="G49" s="46">
        <f>+'Cons spec tot e finalizzati'!J49-'Cons spec tot e finalizzati'!K49</f>
        <v>44</v>
      </c>
      <c r="H49" s="43">
        <f>+'Cons spec tot e finalizzati'!L49-'Cons spec tot e finalizzati'!M49</f>
        <v>31</v>
      </c>
      <c r="I49" s="43">
        <f>+'Cons spec tot e finalizzati'!N49-'Cons spec tot e finalizzati'!O49</f>
        <v>0</v>
      </c>
      <c r="J49" s="43">
        <f>+'Cons spec tot e finalizzati'!P49-'Cons spec tot e finalizzati'!Q49</f>
        <v>0</v>
      </c>
      <c r="K49" s="43">
        <f>+'Cons spec tot e finalizzati'!R49-'Cons spec tot e finalizzati'!S49</f>
        <v>0</v>
      </c>
      <c r="L49" s="43">
        <f>+'Cons spec tot e finalizzati'!T49-'Cons spec tot e finalizzati'!U49</f>
        <v>0</v>
      </c>
      <c r="M49" s="43">
        <f>+'Cons spec tot e finalizzati'!V49-'Cons spec tot e finalizzati'!W49</f>
        <v>0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s="2" customFormat="1" ht="12.75">
      <c r="A50" s="25"/>
      <c r="B50" s="20" t="s">
        <v>72</v>
      </c>
      <c r="D50" s="43">
        <f>+'Cons spec tot e finalizzati'!D50-'Cons spec tot e finalizzati'!E50</f>
        <v>0</v>
      </c>
      <c r="E50" s="43">
        <f>+'Cons spec tot e finalizzati'!F50-'Cons spec tot e finalizzati'!G50</f>
        <v>0</v>
      </c>
      <c r="F50" s="43">
        <f>+'Cons spec tot e finalizzati'!H50-'Cons spec tot e finalizzati'!I50</f>
        <v>1820</v>
      </c>
      <c r="G50" s="46">
        <f>+'Cons spec tot e finalizzati'!J50-'Cons spec tot e finalizzati'!K50</f>
        <v>1187</v>
      </c>
      <c r="H50" s="43">
        <f>+'Cons spec tot e finalizzati'!L50-'Cons spec tot e finalizzati'!M50</f>
        <v>1209</v>
      </c>
      <c r="I50" s="43">
        <f>+'Cons spec tot e finalizzati'!N50-'Cons spec tot e finalizzati'!O50</f>
        <v>2174</v>
      </c>
      <c r="J50" s="43">
        <f>+'Cons spec tot e finalizzati'!P50-'Cons spec tot e finalizzati'!Q50</f>
        <v>2100</v>
      </c>
      <c r="K50" s="43">
        <f>+'Cons spec tot e finalizzati'!R50-'Cons spec tot e finalizzati'!S50</f>
        <v>2326</v>
      </c>
      <c r="L50" s="43">
        <f>+'Cons spec tot e finalizzati'!T50-'Cons spec tot e finalizzati'!U50</f>
        <v>2550</v>
      </c>
      <c r="M50" s="43">
        <f>+'Cons spec tot e finalizzati'!V50-'Cons spec tot e finalizzati'!W50</f>
        <v>2057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s="2" customFormat="1" ht="12.75">
      <c r="A51" s="25"/>
      <c r="B51" s="20" t="s">
        <v>68</v>
      </c>
      <c r="D51" s="43">
        <f>+'Cons spec tot e finalizzati'!D51-'Cons spec tot e finalizzati'!E51</f>
        <v>0</v>
      </c>
      <c r="E51" s="43">
        <f>+'Cons spec tot e finalizzati'!F51-'Cons spec tot e finalizzati'!G51</f>
        <v>178</v>
      </c>
      <c r="F51" s="43">
        <f>+'Cons spec tot e finalizzati'!H51-'Cons spec tot e finalizzati'!I51</f>
        <v>147</v>
      </c>
      <c r="G51" s="46">
        <f>+'Cons spec tot e finalizzati'!J51-'Cons spec tot e finalizzati'!K51</f>
        <v>293</v>
      </c>
      <c r="H51" s="43">
        <f>+'Cons spec tot e finalizzati'!L51-'Cons spec tot e finalizzati'!M51</f>
        <v>144</v>
      </c>
      <c r="I51" s="43">
        <f>+'Cons spec tot e finalizzati'!N51-'Cons spec tot e finalizzati'!O51</f>
        <v>61</v>
      </c>
      <c r="J51" s="43">
        <f>+'Cons spec tot e finalizzati'!P51-'Cons spec tot e finalizzati'!Q51</f>
        <v>65</v>
      </c>
      <c r="K51" s="43">
        <f>+'Cons spec tot e finalizzati'!R51-'Cons spec tot e finalizzati'!S51</f>
        <v>29</v>
      </c>
      <c r="L51" s="43">
        <f>+'Cons spec tot e finalizzati'!T51-'Cons spec tot e finalizzati'!U51</f>
        <v>7</v>
      </c>
      <c r="M51" s="43">
        <f>+'Cons spec tot e finalizzati'!V51-'Cons spec tot e finalizzati'!W51</f>
        <v>2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13" s="22" customFormat="1" ht="12.75">
      <c r="A52" s="134"/>
      <c r="B52" s="16" t="s">
        <v>134</v>
      </c>
      <c r="C52" s="16"/>
      <c r="D52" s="61">
        <f>+'Cons spec tot e finalizzati'!D52-'Cons spec tot e finalizzati'!E52</f>
        <v>472</v>
      </c>
      <c r="E52" s="61">
        <f>+'Cons spec tot e finalizzati'!F52-'Cons spec tot e finalizzati'!G52</f>
        <v>587</v>
      </c>
      <c r="F52" s="61">
        <f>+'Cons spec tot e finalizzati'!H52-'Cons spec tot e finalizzati'!I52</f>
        <v>1033</v>
      </c>
      <c r="G52" s="61">
        <f>+'Cons spec tot e finalizzati'!J52-'Cons spec tot e finalizzati'!K52</f>
        <v>195</v>
      </c>
      <c r="H52" s="61">
        <f>+'Cons spec tot e finalizzati'!L52-'Cons spec tot e finalizzati'!M52</f>
        <v>84</v>
      </c>
      <c r="I52" s="61">
        <f>+'Cons spec tot e finalizzati'!N52-'Cons spec tot e finalizzati'!O52</f>
        <v>128</v>
      </c>
      <c r="J52" s="61">
        <f>+'Cons spec tot e finalizzati'!P52-'Cons spec tot e finalizzati'!Q52</f>
        <v>0</v>
      </c>
      <c r="K52" s="61">
        <f>+'Cons spec tot e finalizzati'!R52-'Cons spec tot e finalizzati'!S52</f>
        <v>174</v>
      </c>
      <c r="L52" s="61">
        <f>+'Cons spec tot e finalizzati'!T52-'Cons spec tot e finalizzati'!U52</f>
        <v>30</v>
      </c>
      <c r="M52" s="61">
        <f>+'Cons spec tot e finalizzati'!V52-'Cons spec tot e finalizzati'!W52</f>
        <v>20</v>
      </c>
    </row>
    <row r="53" spans="1:32" s="2" customFormat="1" ht="12.75">
      <c r="A53" s="96" t="s">
        <v>85</v>
      </c>
      <c r="B53" s="91"/>
      <c r="C53" s="91"/>
      <c r="D53" s="55">
        <f>+'Cons spec tot e finalizzati'!D53-'Cons spec tot e finalizzati'!E53</f>
        <v>15831</v>
      </c>
      <c r="E53" s="55">
        <f>+'Cons spec tot e finalizzati'!F53-'Cons spec tot e finalizzati'!G53</f>
        <v>15788.754688137502</v>
      </c>
      <c r="F53" s="55">
        <f>+'Cons spec tot e finalizzati'!H53-'Cons spec tot e finalizzati'!I53</f>
        <v>14958</v>
      </c>
      <c r="G53" s="55">
        <f>+'Cons spec tot e finalizzati'!J53-'Cons spec tot e finalizzati'!K53</f>
        <v>15125</v>
      </c>
      <c r="H53" s="55">
        <f>+'Cons spec tot e finalizzati'!L53-'Cons spec tot e finalizzati'!M53</f>
        <v>15322</v>
      </c>
      <c r="I53" s="55">
        <f>+'Cons spec tot e finalizzati'!N53-'Cons spec tot e finalizzati'!O53</f>
        <v>16613</v>
      </c>
      <c r="J53" s="55">
        <f>+'Cons spec tot e finalizzati'!P53-'Cons spec tot e finalizzati'!Q53</f>
        <v>14965</v>
      </c>
      <c r="K53" s="55">
        <f>+'Cons spec tot e finalizzati'!R53-'Cons spec tot e finalizzati'!S53</f>
        <v>16009</v>
      </c>
      <c r="L53" s="55">
        <f>+'Cons spec tot e finalizzati'!T53-'Cons spec tot e finalizzati'!U53</f>
        <v>15019</v>
      </c>
      <c r="M53" s="55">
        <f>+'Cons spec tot e finalizzati'!V53-'Cons spec tot e finalizzati'!W53</f>
        <v>14396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s="2" customFormat="1" ht="12.75">
      <c r="A54" s="25"/>
      <c r="B54" s="20" t="s">
        <v>92</v>
      </c>
      <c r="D54" s="43">
        <f>+'Cons spec tot e finalizzati'!D54-'Cons spec tot e finalizzati'!E54</f>
        <v>1732</v>
      </c>
      <c r="E54" s="43">
        <f>+'Cons spec tot e finalizzati'!F54-'Cons spec tot e finalizzati'!G54</f>
        <v>2434.6882924385545</v>
      </c>
      <c r="F54" s="43">
        <f>+'Cons spec tot e finalizzati'!H54-'Cons spec tot e finalizzati'!I54</f>
        <v>979</v>
      </c>
      <c r="G54" s="46">
        <f>+'Cons spec tot e finalizzati'!J54-'Cons spec tot e finalizzati'!K54</f>
        <v>882</v>
      </c>
      <c r="H54" s="43">
        <f>+'Cons spec tot e finalizzati'!L54-'Cons spec tot e finalizzati'!M54</f>
        <v>711</v>
      </c>
      <c r="I54" s="43">
        <f>+'Cons spec tot e finalizzati'!N54-'Cons spec tot e finalizzati'!O54</f>
        <v>689</v>
      </c>
      <c r="J54" s="43">
        <f>+'Cons spec tot e finalizzati'!P54-'Cons spec tot e finalizzati'!Q54</f>
        <v>602</v>
      </c>
      <c r="K54" s="43">
        <f>+'Cons spec tot e finalizzati'!R54-'Cons spec tot e finalizzati'!S54</f>
        <v>298</v>
      </c>
      <c r="L54" s="43">
        <f>+'Cons spec tot e finalizzati'!T54-'Cons spec tot e finalizzati'!U54</f>
        <v>487</v>
      </c>
      <c r="M54" s="43">
        <f>+'Cons spec tot e finalizzati'!V54-'Cons spec tot e finalizzati'!W54</f>
        <v>303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s="2" customFormat="1" ht="12.75">
      <c r="A55" s="25"/>
      <c r="B55" s="20" t="s">
        <v>137</v>
      </c>
      <c r="D55" s="43">
        <f>+'Cons spec tot e finalizzati'!D55-'Cons spec tot e finalizzati'!E55</f>
        <v>7708</v>
      </c>
      <c r="E55" s="43">
        <f>+'Cons spec tot e finalizzati'!F55-'Cons spec tot e finalizzati'!G55</f>
        <v>5017.29285172006</v>
      </c>
      <c r="F55" s="43">
        <f>+'Cons spec tot e finalizzati'!H55-'Cons spec tot e finalizzati'!I55</f>
        <v>5481</v>
      </c>
      <c r="G55" s="46">
        <f>+'Cons spec tot e finalizzati'!J55-'Cons spec tot e finalizzati'!K55</f>
        <v>5891</v>
      </c>
      <c r="H55" s="43">
        <f>+'Cons spec tot e finalizzati'!L55-'Cons spec tot e finalizzati'!M55</f>
        <v>5943</v>
      </c>
      <c r="I55" s="43">
        <f>+'Cons spec tot e finalizzati'!N55-'Cons spec tot e finalizzati'!O55</f>
        <v>6916</v>
      </c>
      <c r="J55" s="43">
        <f>+'Cons spec tot e finalizzati'!P55-'Cons spec tot e finalizzati'!Q55</f>
        <v>5317</v>
      </c>
      <c r="K55" s="43">
        <f>+'Cons spec tot e finalizzati'!R55-'Cons spec tot e finalizzati'!S55</f>
        <v>6411</v>
      </c>
      <c r="L55" s="43">
        <f>+'Cons spec tot e finalizzati'!T55-'Cons spec tot e finalizzati'!U55</f>
        <v>4858</v>
      </c>
      <c r="M55" s="43">
        <f>+'Cons spec tot e finalizzati'!V55-'Cons spec tot e finalizzati'!W55</f>
        <v>4658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5" s="2" customFormat="1" ht="12.75">
      <c r="A56" s="99"/>
      <c r="B56" s="98"/>
      <c r="C56" s="101" t="s">
        <v>7</v>
      </c>
      <c r="D56" s="100">
        <f>+'Cons spec tot e finalizzati'!D56-'Cons spec tot e finalizzati'!E56</f>
        <v>1240</v>
      </c>
      <c r="E56" s="102">
        <f>+'Cons spec tot e finalizzati'!F56-'Cons spec tot e finalizzati'!G56</f>
        <v>516</v>
      </c>
      <c r="F56" s="100">
        <f>+'Cons spec tot e finalizzati'!H56-'Cons spec tot e finalizzati'!I56</f>
        <v>1013</v>
      </c>
      <c r="G56" s="102">
        <f>+'Cons spec tot e finalizzati'!J56-'Cons spec tot e finalizzati'!K56</f>
        <v>533</v>
      </c>
      <c r="H56" s="100">
        <f>+'Cons spec tot e finalizzati'!L56-'Cons spec tot e finalizzati'!M56</f>
        <v>600</v>
      </c>
      <c r="I56" s="102">
        <f>+'Cons spec tot e finalizzati'!N56-'Cons spec tot e finalizzati'!O56</f>
        <v>1638</v>
      </c>
      <c r="J56" s="100">
        <f>+'Cons spec tot e finalizzati'!P56-'Cons spec tot e finalizzati'!Q56</f>
        <v>373</v>
      </c>
      <c r="K56" s="102">
        <f>+'Cons spec tot e finalizzati'!R56-'Cons spec tot e finalizzati'!S56</f>
        <v>436</v>
      </c>
      <c r="L56" s="100">
        <f>+'Cons spec tot e finalizzati'!T56-'Cons spec tot e finalizzati'!U56</f>
        <v>151</v>
      </c>
      <c r="M56" s="102">
        <f>+'Cons spec tot e finalizzati'!V56-'Cons spec tot e finalizzati'!W56</f>
        <v>466</v>
      </c>
      <c r="N56" s="135"/>
      <c r="O56" s="136"/>
      <c r="P56" s="136"/>
      <c r="Q56" s="136"/>
      <c r="R56" s="136"/>
      <c r="S56" s="136"/>
      <c r="T56" s="136"/>
      <c r="U56" s="136"/>
      <c r="V56" s="136"/>
      <c r="W56" s="136"/>
      <c r="X56" s="78"/>
      <c r="Y56" s="78"/>
      <c r="Z56" s="78"/>
      <c r="AA56" s="78"/>
      <c r="AB56" s="78"/>
      <c r="AC56" s="78"/>
      <c r="AD56" s="78"/>
      <c r="AE56" s="78"/>
      <c r="AF56" s="78"/>
      <c r="AG56" s="51"/>
      <c r="AH56" s="51"/>
      <c r="AI56" s="51"/>
    </row>
    <row r="57" spans="1:35" s="2" customFormat="1" ht="12.75">
      <c r="A57" s="99"/>
      <c r="B57" s="98"/>
      <c r="C57" s="101" t="s">
        <v>96</v>
      </c>
      <c r="D57" s="100">
        <f>+'Cons spec tot e finalizzati'!D57-'Cons spec tot e finalizzati'!E57</f>
        <v>0</v>
      </c>
      <c r="E57" s="102">
        <f>+'Cons spec tot e finalizzati'!F57-'Cons spec tot e finalizzati'!G57</f>
        <v>0</v>
      </c>
      <c r="F57" s="100">
        <f>+'Cons spec tot e finalizzati'!H57-'Cons spec tot e finalizzati'!I57</f>
        <v>0</v>
      </c>
      <c r="G57" s="102">
        <f>+'Cons spec tot e finalizzati'!J57-'Cons spec tot e finalizzati'!K57</f>
        <v>0</v>
      </c>
      <c r="H57" s="100">
        <f>+'Cons spec tot e finalizzati'!L57-'Cons spec tot e finalizzati'!M57</f>
        <v>0</v>
      </c>
      <c r="I57" s="102">
        <f>+'Cons spec tot e finalizzati'!N57-'Cons spec tot e finalizzati'!O57</f>
        <v>0</v>
      </c>
      <c r="J57" s="100">
        <f>+'Cons spec tot e finalizzati'!P57-'Cons spec tot e finalizzati'!Q57</f>
        <v>0</v>
      </c>
      <c r="K57" s="102">
        <f>+'Cons spec tot e finalizzati'!R57-'Cons spec tot e finalizzati'!S57</f>
        <v>0</v>
      </c>
      <c r="L57" s="100">
        <f>+'Cons spec tot e finalizzati'!T57-'Cons spec tot e finalizzati'!U57</f>
        <v>0</v>
      </c>
      <c r="M57" s="102">
        <f>+'Cons spec tot e finalizzati'!V57-'Cons spec tot e finalizzati'!W57</f>
        <v>0</v>
      </c>
      <c r="N57" s="135"/>
      <c r="O57" s="136"/>
      <c r="P57" s="136"/>
      <c r="Q57" s="136"/>
      <c r="R57" s="136"/>
      <c r="S57" s="136"/>
      <c r="T57" s="136"/>
      <c r="U57" s="136"/>
      <c r="V57" s="136"/>
      <c r="W57" s="136"/>
      <c r="X57" s="78"/>
      <c r="Y57" s="78"/>
      <c r="Z57" s="78"/>
      <c r="AA57" s="78"/>
      <c r="AB57" s="78"/>
      <c r="AC57" s="78"/>
      <c r="AD57" s="78"/>
      <c r="AE57" s="78"/>
      <c r="AF57" s="78"/>
      <c r="AG57" s="51"/>
      <c r="AH57" s="51"/>
      <c r="AI57" s="51"/>
    </row>
    <row r="58" spans="1:35" s="2" customFormat="1" ht="12.75">
      <c r="A58" s="99"/>
      <c r="B58" s="98"/>
      <c r="C58" s="101" t="s">
        <v>6</v>
      </c>
      <c r="D58" s="100">
        <f>+'Cons spec tot e finalizzati'!D58-'Cons spec tot e finalizzati'!E58</f>
        <v>2</v>
      </c>
      <c r="E58" s="102">
        <f>+'Cons spec tot e finalizzati'!F58-'Cons spec tot e finalizzati'!G58</f>
        <v>30</v>
      </c>
      <c r="F58" s="100">
        <f>+'Cons spec tot e finalizzati'!H58-'Cons spec tot e finalizzati'!I58</f>
        <v>93</v>
      </c>
      <c r="G58" s="102">
        <f>+'Cons spec tot e finalizzati'!J58-'Cons spec tot e finalizzati'!K58</f>
        <v>440</v>
      </c>
      <c r="H58" s="100">
        <f>+'Cons spec tot e finalizzati'!L58-'Cons spec tot e finalizzati'!M58</f>
        <v>329</v>
      </c>
      <c r="I58" s="102">
        <f>+'Cons spec tot e finalizzati'!N58-'Cons spec tot e finalizzati'!O58</f>
        <v>108</v>
      </c>
      <c r="J58" s="100">
        <f>+'Cons spec tot e finalizzati'!P58-'Cons spec tot e finalizzati'!Q58</f>
        <v>9</v>
      </c>
      <c r="K58" s="102">
        <f>+'Cons spec tot e finalizzati'!R58-'Cons spec tot e finalizzati'!S58</f>
        <v>1109</v>
      </c>
      <c r="L58" s="100">
        <f>+'Cons spec tot e finalizzati'!T58-'Cons spec tot e finalizzati'!U58</f>
        <v>7</v>
      </c>
      <c r="M58" s="102">
        <f>+'Cons spec tot e finalizzati'!V58-'Cons spec tot e finalizzati'!W58</f>
        <v>7</v>
      </c>
      <c r="N58" s="135"/>
      <c r="O58" s="136"/>
      <c r="P58" s="136"/>
      <c r="Q58" s="136"/>
      <c r="R58" s="136"/>
      <c r="S58" s="136"/>
      <c r="T58" s="136"/>
      <c r="U58" s="136"/>
      <c r="V58" s="136"/>
      <c r="W58" s="136"/>
      <c r="X58" s="78"/>
      <c r="Y58" s="78"/>
      <c r="Z58" s="78"/>
      <c r="AA58" s="78"/>
      <c r="AB58" s="78"/>
      <c r="AC58" s="78"/>
      <c r="AD58" s="78"/>
      <c r="AE58" s="78"/>
      <c r="AF58" s="78"/>
      <c r="AG58" s="51"/>
      <c r="AH58" s="51"/>
      <c r="AI58" s="51"/>
    </row>
    <row r="59" spans="1:35" s="2" customFormat="1" ht="12.75">
      <c r="A59" s="99"/>
      <c r="B59" s="98"/>
      <c r="C59" s="101" t="s">
        <v>75</v>
      </c>
      <c r="D59" s="100">
        <f>+'Cons spec tot e finalizzati'!D59-'Cons spec tot e finalizzati'!E59</f>
        <v>6466</v>
      </c>
      <c r="E59" s="102">
        <f>+'Cons spec tot e finalizzati'!F59-'Cons spec tot e finalizzati'!G59</f>
        <v>4471.29285172006</v>
      </c>
      <c r="F59" s="100">
        <f>+'Cons spec tot e finalizzati'!H59-'Cons spec tot e finalizzati'!I59</f>
        <v>4221</v>
      </c>
      <c r="G59" s="102">
        <f>+'Cons spec tot e finalizzati'!J59-'Cons spec tot e finalizzati'!K59</f>
        <v>3435</v>
      </c>
      <c r="H59" s="100">
        <f>+'Cons spec tot e finalizzati'!L59-'Cons spec tot e finalizzati'!M59</f>
        <v>3476</v>
      </c>
      <c r="I59" s="102">
        <f>+'Cons spec tot e finalizzati'!N59-'Cons spec tot e finalizzati'!O59</f>
        <v>3580</v>
      </c>
      <c r="J59" s="100">
        <f>+'Cons spec tot e finalizzati'!P59-'Cons spec tot e finalizzati'!Q59</f>
        <v>3503</v>
      </c>
      <c r="K59" s="102">
        <f>+'Cons spec tot e finalizzati'!R59-'Cons spec tot e finalizzati'!S59</f>
        <v>3496</v>
      </c>
      <c r="L59" s="100">
        <f>+'Cons spec tot e finalizzati'!T59-'Cons spec tot e finalizzati'!U59</f>
        <v>3317</v>
      </c>
      <c r="M59" s="102">
        <f>+'Cons spec tot e finalizzati'!V59-'Cons spec tot e finalizzati'!W59</f>
        <v>3017</v>
      </c>
      <c r="N59" s="135"/>
      <c r="O59" s="136"/>
      <c r="P59" s="136"/>
      <c r="Q59" s="136"/>
      <c r="R59" s="136"/>
      <c r="S59" s="136"/>
      <c r="T59" s="136"/>
      <c r="U59" s="136"/>
      <c r="V59" s="136"/>
      <c r="W59" s="136"/>
      <c r="X59" s="78"/>
      <c r="Y59" s="78"/>
      <c r="Z59" s="78"/>
      <c r="AA59" s="78"/>
      <c r="AB59" s="78"/>
      <c r="AC59" s="78"/>
      <c r="AD59" s="78"/>
      <c r="AE59" s="78"/>
      <c r="AF59" s="78"/>
      <c r="AG59" s="51"/>
      <c r="AH59" s="51"/>
      <c r="AI59" s="51"/>
    </row>
    <row r="60" spans="1:35" s="2" customFormat="1" ht="12.75">
      <c r="A60" s="99"/>
      <c r="B60" s="98"/>
      <c r="C60" s="101" t="s">
        <v>74</v>
      </c>
      <c r="D60" s="100">
        <f>+'Cons spec tot e finalizzati'!D60-'Cons spec tot e finalizzati'!E60</f>
        <v>0</v>
      </c>
      <c r="E60" s="102">
        <f>+'Cons spec tot e finalizzati'!F60-'Cons spec tot e finalizzati'!G60</f>
        <v>0</v>
      </c>
      <c r="F60" s="100">
        <f>+'Cons spec tot e finalizzati'!H60-'Cons spec tot e finalizzati'!I60</f>
        <v>154</v>
      </c>
      <c r="G60" s="102">
        <f>+'Cons spec tot e finalizzati'!J60-'Cons spec tot e finalizzati'!K60</f>
        <v>1483</v>
      </c>
      <c r="H60" s="100">
        <f>+'Cons spec tot e finalizzati'!L60-'Cons spec tot e finalizzati'!M60</f>
        <v>1538</v>
      </c>
      <c r="I60" s="102">
        <f>+'Cons spec tot e finalizzati'!N60-'Cons spec tot e finalizzati'!O60</f>
        <v>1590</v>
      </c>
      <c r="J60" s="100">
        <f>+'Cons spec tot e finalizzati'!P60-'Cons spec tot e finalizzati'!Q60</f>
        <v>1432</v>
      </c>
      <c r="K60" s="102">
        <f>+'Cons spec tot e finalizzati'!R60-'Cons spec tot e finalizzati'!S60</f>
        <v>1370</v>
      </c>
      <c r="L60" s="100">
        <f>+'Cons spec tot e finalizzati'!T60-'Cons spec tot e finalizzati'!U60</f>
        <v>1383</v>
      </c>
      <c r="M60" s="102">
        <f>+'Cons spec tot e finalizzati'!V60-'Cons spec tot e finalizzati'!W60</f>
        <v>1168</v>
      </c>
      <c r="N60" s="135"/>
      <c r="O60" s="136"/>
      <c r="P60" s="136"/>
      <c r="Q60" s="136"/>
      <c r="R60" s="136"/>
      <c r="S60" s="136"/>
      <c r="T60" s="136"/>
      <c r="U60" s="136"/>
      <c r="V60" s="136"/>
      <c r="W60" s="136"/>
      <c r="X60" s="78"/>
      <c r="Y60" s="78"/>
      <c r="Z60" s="78"/>
      <c r="AA60" s="78"/>
      <c r="AB60" s="78"/>
      <c r="AC60" s="78"/>
      <c r="AD60" s="78"/>
      <c r="AE60" s="78"/>
      <c r="AF60" s="78"/>
      <c r="AG60" s="51"/>
      <c r="AH60" s="51"/>
      <c r="AI60" s="51"/>
    </row>
    <row r="61" spans="1:32" s="2" customFormat="1" ht="12.75">
      <c r="A61" s="25"/>
      <c r="B61" s="20" t="s">
        <v>138</v>
      </c>
      <c r="D61" s="43">
        <f>+'Cons spec tot e finalizzati'!D61-'Cons spec tot e finalizzati'!E61</f>
        <v>6391</v>
      </c>
      <c r="E61" s="43">
        <f>+'Cons spec tot e finalizzati'!F61-'Cons spec tot e finalizzati'!G61</f>
        <v>8336.773543978887</v>
      </c>
      <c r="F61" s="43">
        <f>+'Cons spec tot e finalizzati'!H61-'Cons spec tot e finalizzati'!I61</f>
        <v>8498</v>
      </c>
      <c r="G61" s="46">
        <f>+'Cons spec tot e finalizzati'!J61-'Cons spec tot e finalizzati'!K61</f>
        <v>8352</v>
      </c>
      <c r="H61" s="43">
        <f>+'Cons spec tot e finalizzati'!L61-'Cons spec tot e finalizzati'!M61</f>
        <v>8668</v>
      </c>
      <c r="I61" s="43">
        <f>+'Cons spec tot e finalizzati'!N61-'Cons spec tot e finalizzati'!O61</f>
        <v>9008</v>
      </c>
      <c r="J61" s="43">
        <f>+'Cons spec tot e finalizzati'!P61-'Cons spec tot e finalizzati'!Q61</f>
        <v>9046</v>
      </c>
      <c r="K61" s="43">
        <f>+'Cons spec tot e finalizzati'!R61-'Cons spec tot e finalizzati'!S61</f>
        <v>9300</v>
      </c>
      <c r="L61" s="43">
        <f>+'Cons spec tot e finalizzati'!T61-'Cons spec tot e finalizzati'!U61</f>
        <v>9674</v>
      </c>
      <c r="M61" s="43">
        <f>+'Cons spec tot e finalizzati'!V61-'Cons spec tot e finalizzati'!W61</f>
        <v>9435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5" s="2" customFormat="1" ht="12.75">
      <c r="A62" s="99"/>
      <c r="B62" s="98"/>
      <c r="C62" s="101" t="s">
        <v>58</v>
      </c>
      <c r="D62" s="100">
        <f>+'Cons spec tot e finalizzati'!D62-'Cons spec tot e finalizzati'!E62</f>
        <v>145</v>
      </c>
      <c r="E62" s="102">
        <f>+'Cons spec tot e finalizzati'!F62-'Cons spec tot e finalizzati'!G62</f>
        <v>0.9487055007824097</v>
      </c>
      <c r="F62" s="100">
        <f>+'Cons spec tot e finalizzati'!H62-'Cons spec tot e finalizzati'!I62</f>
        <v>199</v>
      </c>
      <c r="G62" s="102">
        <f>+'Cons spec tot e finalizzati'!J62-'Cons spec tot e finalizzati'!K62</f>
        <v>258</v>
      </c>
      <c r="H62" s="100">
        <f>+'Cons spec tot e finalizzati'!L62-'Cons spec tot e finalizzati'!M62</f>
        <v>64</v>
      </c>
      <c r="I62" s="102">
        <f>+'Cons spec tot e finalizzati'!N62-'Cons spec tot e finalizzati'!O62</f>
        <v>59</v>
      </c>
      <c r="J62" s="100">
        <f>+'Cons spec tot e finalizzati'!P62-'Cons spec tot e finalizzati'!Q62</f>
        <v>3</v>
      </c>
      <c r="K62" s="102">
        <f>+'Cons spec tot e finalizzati'!R62-'Cons spec tot e finalizzati'!S62</f>
        <v>6</v>
      </c>
      <c r="L62" s="100">
        <f>+'Cons spec tot e finalizzati'!T62-'Cons spec tot e finalizzati'!U62</f>
        <v>449</v>
      </c>
      <c r="M62" s="102">
        <f>+'Cons spec tot e finalizzati'!V62-'Cons spec tot e finalizzati'!W62</f>
        <v>173</v>
      </c>
      <c r="N62" s="135"/>
      <c r="O62" s="136"/>
      <c r="P62" s="136"/>
      <c r="Q62" s="136"/>
      <c r="R62" s="136"/>
      <c r="S62" s="136"/>
      <c r="T62" s="136"/>
      <c r="U62" s="136"/>
      <c r="V62" s="136"/>
      <c r="W62" s="136"/>
      <c r="X62" s="78"/>
      <c r="Y62" s="78"/>
      <c r="Z62" s="78"/>
      <c r="AA62" s="78"/>
      <c r="AB62" s="78"/>
      <c r="AC62" s="78"/>
      <c r="AD62" s="78"/>
      <c r="AE62" s="78"/>
      <c r="AF62" s="78"/>
      <c r="AG62" s="51"/>
      <c r="AH62" s="51"/>
      <c r="AI62" s="51"/>
    </row>
    <row r="63" spans="1:35" s="2" customFormat="1" ht="12.75">
      <c r="A63" s="99"/>
      <c r="B63" s="98"/>
      <c r="C63" s="101" t="s">
        <v>73</v>
      </c>
      <c r="D63" s="100">
        <f>+'Cons spec tot e finalizzati'!D63-'Cons spec tot e finalizzati'!E63</f>
        <v>2177</v>
      </c>
      <c r="E63" s="102">
        <f>+'Cons spec tot e finalizzati'!F63-'Cons spec tot e finalizzati'!G63</f>
        <v>2440.8248384781045</v>
      </c>
      <c r="F63" s="100">
        <f>+'Cons spec tot e finalizzati'!H63-'Cons spec tot e finalizzati'!I63</f>
        <v>2975</v>
      </c>
      <c r="G63" s="102">
        <f>+'Cons spec tot e finalizzati'!J63-'Cons spec tot e finalizzati'!K63</f>
        <v>2629</v>
      </c>
      <c r="H63" s="100">
        <f>+'Cons spec tot e finalizzati'!L63-'Cons spec tot e finalizzati'!M63</f>
        <v>2647</v>
      </c>
      <c r="I63" s="102">
        <f>+'Cons spec tot e finalizzati'!N63-'Cons spec tot e finalizzati'!O63</f>
        <v>2799</v>
      </c>
      <c r="J63" s="100">
        <f>+'Cons spec tot e finalizzati'!P63-'Cons spec tot e finalizzati'!Q63</f>
        <v>2757</v>
      </c>
      <c r="K63" s="102">
        <f>+'Cons spec tot e finalizzati'!R63-'Cons spec tot e finalizzati'!S63</f>
        <v>2744</v>
      </c>
      <c r="L63" s="100">
        <f>+'Cons spec tot e finalizzati'!T63-'Cons spec tot e finalizzati'!U63</f>
        <v>2891</v>
      </c>
      <c r="M63" s="102">
        <f>+'Cons spec tot e finalizzati'!V63-'Cons spec tot e finalizzati'!W63</f>
        <v>2989</v>
      </c>
      <c r="N63" s="135"/>
      <c r="O63" s="136"/>
      <c r="P63" s="136"/>
      <c r="Q63" s="136"/>
      <c r="R63" s="136"/>
      <c r="S63" s="136"/>
      <c r="T63" s="136"/>
      <c r="U63" s="136"/>
      <c r="V63" s="136"/>
      <c r="W63" s="136"/>
      <c r="X63" s="78"/>
      <c r="Y63" s="78"/>
      <c r="Z63" s="78"/>
      <c r="AA63" s="78"/>
      <c r="AB63" s="78"/>
      <c r="AC63" s="78"/>
      <c r="AD63" s="78"/>
      <c r="AE63" s="78"/>
      <c r="AF63" s="78"/>
      <c r="AG63" s="51"/>
      <c r="AH63" s="51"/>
      <c r="AI63" s="51"/>
    </row>
    <row r="64" spans="1:35" s="2" customFormat="1" ht="12.75">
      <c r="A64" s="99"/>
      <c r="B64" s="98"/>
      <c r="C64" s="101" t="s">
        <v>139</v>
      </c>
      <c r="D64" s="100">
        <f>+'Cons spec tot e finalizzati'!D64-'Cons spec tot e finalizzati'!E64</f>
        <v>346</v>
      </c>
      <c r="E64" s="102">
        <f>+'Cons spec tot e finalizzati'!F64-'Cons spec tot e finalizzati'!G64</f>
        <v>369</v>
      </c>
      <c r="F64" s="100">
        <f>+'Cons spec tot e finalizzati'!H64-'Cons spec tot e finalizzati'!I64</f>
        <v>383</v>
      </c>
      <c r="G64" s="102">
        <f>+'Cons spec tot e finalizzati'!J64-'Cons spec tot e finalizzati'!K64</f>
        <v>301</v>
      </c>
      <c r="H64" s="100">
        <f>+'Cons spec tot e finalizzati'!L64-'Cons spec tot e finalizzati'!M64</f>
        <v>301</v>
      </c>
      <c r="I64" s="102">
        <f>+'Cons spec tot e finalizzati'!N64-'Cons spec tot e finalizzati'!O64</f>
        <v>316</v>
      </c>
      <c r="J64" s="100">
        <f>+'Cons spec tot e finalizzati'!P64-'Cons spec tot e finalizzati'!Q64</f>
        <v>315</v>
      </c>
      <c r="K64" s="102">
        <f>+'Cons spec tot e finalizzati'!R64-'Cons spec tot e finalizzati'!S64</f>
        <v>326</v>
      </c>
      <c r="L64" s="100">
        <f>+'Cons spec tot e finalizzati'!T64-'Cons spec tot e finalizzati'!U64</f>
        <v>330</v>
      </c>
      <c r="M64" s="102">
        <f>+'Cons spec tot e finalizzati'!V64-'Cons spec tot e finalizzati'!W64</f>
        <v>325</v>
      </c>
      <c r="N64" s="135"/>
      <c r="O64" s="136"/>
      <c r="P64" s="136"/>
      <c r="Q64" s="136"/>
      <c r="R64" s="136"/>
      <c r="S64" s="136"/>
      <c r="T64" s="136"/>
      <c r="U64" s="136"/>
      <c r="V64" s="136"/>
      <c r="W64" s="136"/>
      <c r="X64" s="78"/>
      <c r="Y64" s="78"/>
      <c r="Z64" s="78"/>
      <c r="AA64" s="78"/>
      <c r="AB64" s="78"/>
      <c r="AC64" s="78"/>
      <c r="AD64" s="78"/>
      <c r="AE64" s="78"/>
      <c r="AF64" s="78"/>
      <c r="AG64" s="51"/>
      <c r="AH64" s="51"/>
      <c r="AI64" s="51"/>
    </row>
    <row r="65" spans="1:35" s="2" customFormat="1" ht="12.75">
      <c r="A65" s="99"/>
      <c r="B65" s="98"/>
      <c r="C65" s="101" t="s">
        <v>140</v>
      </c>
      <c r="D65" s="100">
        <f>+'Cons spec tot e finalizzati'!D65-'Cons spec tot e finalizzati'!E65</f>
        <v>134</v>
      </c>
      <c r="E65" s="102">
        <f>+'Cons spec tot e finalizzati'!F65-'Cons spec tot e finalizzati'!G65</f>
        <v>38</v>
      </c>
      <c r="F65" s="100">
        <f>+'Cons spec tot e finalizzati'!H65-'Cons spec tot e finalizzati'!I65</f>
        <v>29</v>
      </c>
      <c r="G65" s="102">
        <f>+'Cons spec tot e finalizzati'!J65-'Cons spec tot e finalizzati'!K65</f>
        <v>0</v>
      </c>
      <c r="H65" s="100">
        <f>+'Cons spec tot e finalizzati'!L65-'Cons spec tot e finalizzati'!M65</f>
        <v>84</v>
      </c>
      <c r="I65" s="102">
        <f>+'Cons spec tot e finalizzati'!N65-'Cons spec tot e finalizzati'!O65</f>
        <v>0</v>
      </c>
      <c r="J65" s="100">
        <f>+'Cons spec tot e finalizzati'!P65-'Cons spec tot e finalizzati'!Q65</f>
        <v>0</v>
      </c>
      <c r="K65" s="102">
        <f>+'Cons spec tot e finalizzati'!R65-'Cons spec tot e finalizzati'!S65</f>
        <v>18</v>
      </c>
      <c r="L65" s="100">
        <f>+'Cons spec tot e finalizzati'!T65-'Cons spec tot e finalizzati'!U65</f>
        <v>0</v>
      </c>
      <c r="M65" s="102">
        <f>+'Cons spec tot e finalizzati'!V65-'Cons spec tot e finalizzati'!W65</f>
        <v>6</v>
      </c>
      <c r="N65" s="135"/>
      <c r="O65" s="136"/>
      <c r="P65" s="136"/>
      <c r="Q65" s="136"/>
      <c r="R65" s="136"/>
      <c r="S65" s="136"/>
      <c r="T65" s="136"/>
      <c r="U65" s="136"/>
      <c r="V65" s="136"/>
      <c r="W65" s="136"/>
      <c r="X65" s="78"/>
      <c r="Y65" s="78"/>
      <c r="Z65" s="78"/>
      <c r="AA65" s="78"/>
      <c r="AB65" s="78"/>
      <c r="AC65" s="78"/>
      <c r="AD65" s="78"/>
      <c r="AE65" s="78"/>
      <c r="AF65" s="78"/>
      <c r="AG65" s="51"/>
      <c r="AH65" s="51"/>
      <c r="AI65" s="51"/>
    </row>
    <row r="66" spans="1:35" s="2" customFormat="1" ht="12.75">
      <c r="A66" s="103"/>
      <c r="B66" s="104"/>
      <c r="C66" s="123" t="s">
        <v>141</v>
      </c>
      <c r="D66" s="124">
        <f>+'Cons spec tot e finalizzati'!D66-'Cons spec tot e finalizzati'!E66</f>
        <v>3589</v>
      </c>
      <c r="E66" s="125">
        <f>+'Cons spec tot e finalizzati'!F66-'Cons spec tot e finalizzati'!G66</f>
        <v>5488</v>
      </c>
      <c r="F66" s="124">
        <f>+'Cons spec tot e finalizzati'!H66-'Cons spec tot e finalizzati'!I66</f>
        <v>4912</v>
      </c>
      <c r="G66" s="125">
        <f>+'Cons spec tot e finalizzati'!J66-'Cons spec tot e finalizzati'!K66</f>
        <v>5164</v>
      </c>
      <c r="H66" s="124">
        <f>+'Cons spec tot e finalizzati'!L66-'Cons spec tot e finalizzati'!M66</f>
        <v>5572</v>
      </c>
      <c r="I66" s="125">
        <f>+'Cons spec tot e finalizzati'!N66-'Cons spec tot e finalizzati'!O66</f>
        <v>5834</v>
      </c>
      <c r="J66" s="124">
        <f>+'Cons spec tot e finalizzati'!P66-'Cons spec tot e finalizzati'!Q66</f>
        <v>5971</v>
      </c>
      <c r="K66" s="125">
        <f>+'Cons spec tot e finalizzati'!R66-'Cons spec tot e finalizzati'!S66</f>
        <v>6206</v>
      </c>
      <c r="L66" s="124">
        <f>+'Cons spec tot e finalizzati'!T66-'Cons spec tot e finalizzati'!U66</f>
        <v>6004</v>
      </c>
      <c r="M66" s="125">
        <f>+'Cons spec tot e finalizzati'!V66-'Cons spec tot e finalizzati'!W66</f>
        <v>5942</v>
      </c>
      <c r="N66" s="135"/>
      <c r="O66" s="136"/>
      <c r="P66" s="136"/>
      <c r="Q66" s="136"/>
      <c r="R66" s="136"/>
      <c r="S66" s="136"/>
      <c r="T66" s="136"/>
      <c r="U66" s="136"/>
      <c r="V66" s="136"/>
      <c r="W66" s="136"/>
      <c r="X66" s="78"/>
      <c r="Y66" s="78"/>
      <c r="Z66" s="78"/>
      <c r="AA66" s="78"/>
      <c r="AB66" s="78"/>
      <c r="AC66" s="78"/>
      <c r="AD66" s="78"/>
      <c r="AE66" s="78"/>
      <c r="AF66" s="78"/>
      <c r="AG66" s="51"/>
      <c r="AH66" s="51"/>
      <c r="AI66" s="51"/>
    </row>
    <row r="67" spans="1:32" s="2" customFormat="1" ht="12.75">
      <c r="A67" s="120" t="s">
        <v>84</v>
      </c>
      <c r="B67" s="121"/>
      <c r="C67" s="122"/>
      <c r="D67" s="58">
        <f>+'Cons spec tot e finalizzati'!D67-'Cons spec tot e finalizzati'!E67</f>
        <v>172</v>
      </c>
      <c r="E67" s="58">
        <f>+'Cons spec tot e finalizzati'!F67-'Cons spec tot e finalizzati'!G67</f>
        <v>131</v>
      </c>
      <c r="F67" s="69">
        <f>+'Cons spec tot e finalizzati'!H67-'Cons spec tot e finalizzati'!I67</f>
        <v>189</v>
      </c>
      <c r="G67" s="69">
        <f>+'Cons spec tot e finalizzati'!J67-'Cons spec tot e finalizzati'!K67</f>
        <v>240</v>
      </c>
      <c r="H67" s="58">
        <f>+'Cons spec tot e finalizzati'!L67-'Cons spec tot e finalizzati'!M67</f>
        <v>264</v>
      </c>
      <c r="I67" s="58">
        <f>+'Cons spec tot e finalizzati'!N67-'Cons spec tot e finalizzati'!O67</f>
        <v>185</v>
      </c>
      <c r="J67" s="58">
        <f>+'Cons spec tot e finalizzati'!P67-'Cons spec tot e finalizzati'!Q67</f>
        <v>126</v>
      </c>
      <c r="K67" s="58">
        <f>+'Cons spec tot e finalizzati'!R67-'Cons spec tot e finalizzati'!S67</f>
        <v>129</v>
      </c>
      <c r="L67" s="58">
        <f>+'Cons spec tot e finalizzati'!T67-'Cons spec tot e finalizzati'!U67</f>
        <v>17</v>
      </c>
      <c r="M67" s="58">
        <f>+'Cons spec tot e finalizzati'!V67-'Cons spec tot e finalizzati'!W67</f>
        <v>8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13" s="22" customFormat="1" ht="12.75">
      <c r="A68" s="113" t="s">
        <v>142</v>
      </c>
      <c r="B68" s="93"/>
      <c r="C68" s="93"/>
      <c r="D68" s="112">
        <f>+'Cons spec tot e finalizzati'!D68-'Cons spec tot e finalizzati'!E68</f>
        <v>6553</v>
      </c>
      <c r="E68" s="112">
        <f>+'Cons spec tot e finalizzati'!F68-'Cons spec tot e finalizzati'!G68</f>
        <v>8492</v>
      </c>
      <c r="F68" s="112">
        <f>+'Cons spec tot e finalizzati'!H68-'Cons spec tot e finalizzati'!I68</f>
        <v>7335</v>
      </c>
      <c r="G68" s="112">
        <f>+'Cons spec tot e finalizzati'!J68-'Cons spec tot e finalizzati'!K68</f>
        <v>5062</v>
      </c>
      <c r="H68" s="112">
        <f>+'Cons spec tot e finalizzati'!L68-'Cons spec tot e finalizzati'!M68</f>
        <v>3517</v>
      </c>
      <c r="I68" s="112">
        <f>+'Cons spec tot e finalizzati'!N68-'Cons spec tot e finalizzati'!O68</f>
        <v>3056</v>
      </c>
      <c r="J68" s="112">
        <f>+'Cons spec tot e finalizzati'!P68-'Cons spec tot e finalizzati'!Q68</f>
        <v>1337</v>
      </c>
      <c r="K68" s="112">
        <f>+'Cons spec tot e finalizzati'!R68-'Cons spec tot e finalizzati'!S68</f>
        <v>1806</v>
      </c>
      <c r="L68" s="112">
        <f>+'Cons spec tot e finalizzati'!T68-'Cons spec tot e finalizzati'!U68</f>
        <v>2036</v>
      </c>
      <c r="M68" s="112">
        <f>+'Cons spec tot e finalizzati'!V68-'Cons spec tot e finalizzati'!W68</f>
        <v>1889</v>
      </c>
    </row>
    <row r="69" spans="1:32" s="2" customFormat="1" ht="12.75">
      <c r="A69" s="96" t="s">
        <v>143</v>
      </c>
      <c r="B69" s="91"/>
      <c r="C69" s="91"/>
      <c r="D69" s="55">
        <f>+'Cons spec tot e finalizzati'!D69-'Cons spec tot e finalizzati'!E69</f>
        <v>0</v>
      </c>
      <c r="E69" s="55">
        <f>+'Cons spec tot e finalizzati'!F69-'Cons spec tot e finalizzati'!G69</f>
        <v>0</v>
      </c>
      <c r="F69" s="55">
        <f>+'Cons spec tot e finalizzati'!H69-'Cons spec tot e finalizzati'!I69</f>
        <v>0</v>
      </c>
      <c r="G69" s="55">
        <f>+'Cons spec tot e finalizzati'!J69-'Cons spec tot e finalizzati'!K69</f>
        <v>82</v>
      </c>
      <c r="H69" s="55">
        <f>+'Cons spec tot e finalizzati'!L69-'Cons spec tot e finalizzati'!M69</f>
        <v>119</v>
      </c>
      <c r="I69" s="55">
        <f>+'Cons spec tot e finalizzati'!N69-'Cons spec tot e finalizzati'!O69</f>
        <v>115</v>
      </c>
      <c r="J69" s="55">
        <f>+'Cons spec tot e finalizzati'!P69-'Cons spec tot e finalizzati'!Q69</f>
        <v>37</v>
      </c>
      <c r="K69" s="55">
        <f>+'Cons spec tot e finalizzati'!R69-'Cons spec tot e finalizzati'!S69</f>
        <v>24</v>
      </c>
      <c r="L69" s="55">
        <f>+'Cons spec tot e finalizzati'!T69-'Cons spec tot e finalizzati'!U69</f>
        <v>111</v>
      </c>
      <c r="M69" s="55">
        <f>+'Cons spec tot e finalizzati'!V69-'Cons spec tot e finalizzati'!W69</f>
        <v>100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2" customFormat="1" ht="12.75">
      <c r="A70" s="37"/>
      <c r="B70" s="10" t="s">
        <v>144</v>
      </c>
      <c r="C70" s="11"/>
      <c r="D70" s="43">
        <f>+'Cons spec tot e finalizzati'!D70-'Cons spec tot e finalizzati'!E70</f>
        <v>0</v>
      </c>
      <c r="E70" s="43">
        <f>+'Cons spec tot e finalizzati'!F70-'Cons spec tot e finalizzati'!G70</f>
        <v>0</v>
      </c>
      <c r="F70" s="43">
        <f>+'Cons spec tot e finalizzati'!H70-'Cons spec tot e finalizzati'!I70</f>
        <v>0</v>
      </c>
      <c r="G70" s="46">
        <f>+'Cons spec tot e finalizzati'!J70-'Cons spec tot e finalizzati'!K70</f>
        <v>0</v>
      </c>
      <c r="H70" s="43">
        <f>+'Cons spec tot e finalizzati'!L70-'Cons spec tot e finalizzati'!M70</f>
        <v>33</v>
      </c>
      <c r="I70" s="43">
        <f>+'Cons spec tot e finalizzati'!N70-'Cons spec tot e finalizzati'!O70</f>
        <v>29</v>
      </c>
      <c r="J70" s="43">
        <f>+'Cons spec tot e finalizzati'!P70-'Cons spec tot e finalizzati'!Q70</f>
        <v>5</v>
      </c>
      <c r="K70" s="43">
        <f>+'Cons spec tot e finalizzati'!R70-'Cons spec tot e finalizzati'!S70</f>
        <v>4</v>
      </c>
      <c r="L70" s="43">
        <f>+'Cons spec tot e finalizzati'!T70-'Cons spec tot e finalizzati'!U70</f>
        <v>0</v>
      </c>
      <c r="M70" s="43">
        <f>+'Cons spec tot e finalizzati'!V70-'Cons spec tot e finalizzati'!W70</f>
        <v>0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13" s="22" customFormat="1" ht="12.75">
      <c r="A71" s="134"/>
      <c r="B71" s="16" t="s">
        <v>98</v>
      </c>
      <c r="C71" s="16"/>
      <c r="D71" s="61">
        <f>+'Cons spec tot e finalizzati'!D71-'Cons spec tot e finalizzati'!E71</f>
        <v>0</v>
      </c>
      <c r="E71" s="61">
        <f>+'Cons spec tot e finalizzati'!F71-'Cons spec tot e finalizzati'!G71</f>
        <v>0</v>
      </c>
      <c r="F71" s="61">
        <f>+'Cons spec tot e finalizzati'!H71-'Cons spec tot e finalizzati'!I71</f>
        <v>0</v>
      </c>
      <c r="G71" s="61">
        <f>+'Cons spec tot e finalizzati'!J71-'Cons spec tot e finalizzati'!K71</f>
        <v>82</v>
      </c>
      <c r="H71" s="61">
        <f>+'Cons spec tot e finalizzati'!L71-'Cons spec tot e finalizzati'!M71</f>
        <v>86</v>
      </c>
      <c r="I71" s="61">
        <f>+'Cons spec tot e finalizzati'!N71-'Cons spec tot e finalizzati'!O71</f>
        <v>86</v>
      </c>
      <c r="J71" s="61">
        <f>+'Cons spec tot e finalizzati'!P71-'Cons spec tot e finalizzati'!Q71</f>
        <v>32</v>
      </c>
      <c r="K71" s="61">
        <f>+'Cons spec tot e finalizzati'!R71-'Cons spec tot e finalizzati'!S71</f>
        <v>20</v>
      </c>
      <c r="L71" s="61">
        <f>+'Cons spec tot e finalizzati'!T71-'Cons spec tot e finalizzati'!U71</f>
        <v>111</v>
      </c>
      <c r="M71" s="61">
        <f>+'Cons spec tot e finalizzati'!V71-'Cons spec tot e finalizzati'!W71</f>
        <v>100</v>
      </c>
    </row>
    <row r="72" spans="1:32" s="2" customFormat="1" ht="12.75">
      <c r="A72" s="96" t="s">
        <v>97</v>
      </c>
      <c r="B72" s="91"/>
      <c r="C72" s="91"/>
      <c r="D72" s="55">
        <f>+'Cons spec tot e finalizzati'!D72-'Cons spec tot e finalizzati'!E72</f>
        <v>3426</v>
      </c>
      <c r="E72" s="55">
        <f>+'Cons spec tot e finalizzati'!F72-'Cons spec tot e finalizzati'!G72</f>
        <v>4543</v>
      </c>
      <c r="F72" s="55">
        <f>+'Cons spec tot e finalizzati'!H72-'Cons spec tot e finalizzati'!I72</f>
        <v>2982</v>
      </c>
      <c r="G72" s="55">
        <f>+'Cons spec tot e finalizzati'!J72-'Cons spec tot e finalizzati'!K72</f>
        <v>1583</v>
      </c>
      <c r="H72" s="55">
        <f>+'Cons spec tot e finalizzati'!L72-'Cons spec tot e finalizzati'!M72</f>
        <v>1392</v>
      </c>
      <c r="I72" s="55">
        <f>+'Cons spec tot e finalizzati'!N72-'Cons spec tot e finalizzati'!O72</f>
        <v>1237</v>
      </c>
      <c r="J72" s="55">
        <f>+'Cons spec tot e finalizzati'!P72-'Cons spec tot e finalizzati'!Q72</f>
        <v>923</v>
      </c>
      <c r="K72" s="55">
        <f>+'Cons spec tot e finalizzati'!R72-'Cons spec tot e finalizzati'!S72</f>
        <v>674</v>
      </c>
      <c r="L72" s="55">
        <f>+'Cons spec tot e finalizzati'!T72-'Cons spec tot e finalizzati'!U72</f>
        <v>964</v>
      </c>
      <c r="M72" s="55">
        <f>+'Cons spec tot e finalizzati'!V72-'Cons spec tot e finalizzati'!W72</f>
        <v>834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s="2" customFormat="1" ht="12.75">
      <c r="A73" s="37"/>
      <c r="B73" s="10" t="s">
        <v>15</v>
      </c>
      <c r="C73" s="11"/>
      <c r="D73" s="43">
        <f>+'Cons spec tot e finalizzati'!D73-'Cons spec tot e finalizzati'!E73</f>
        <v>587</v>
      </c>
      <c r="E73" s="43">
        <f>+'Cons spec tot e finalizzati'!F73-'Cons spec tot e finalizzati'!G73</f>
        <v>910</v>
      </c>
      <c r="F73" s="43">
        <f>+'Cons spec tot e finalizzati'!H73-'Cons spec tot e finalizzati'!I73</f>
        <v>532</v>
      </c>
      <c r="G73" s="46">
        <f>+'Cons spec tot e finalizzati'!J73-'Cons spec tot e finalizzati'!K73</f>
        <v>481</v>
      </c>
      <c r="H73" s="43">
        <f>+'Cons spec tot e finalizzati'!L73-'Cons spec tot e finalizzati'!M73</f>
        <v>373</v>
      </c>
      <c r="I73" s="43">
        <f>+'Cons spec tot e finalizzati'!N73-'Cons spec tot e finalizzati'!O73</f>
        <v>293</v>
      </c>
      <c r="J73" s="43">
        <f>+'Cons spec tot e finalizzati'!P73-'Cons spec tot e finalizzati'!Q73</f>
        <v>379</v>
      </c>
      <c r="K73" s="43">
        <f>+'Cons spec tot e finalizzati'!R73-'Cons spec tot e finalizzati'!S73</f>
        <v>257</v>
      </c>
      <c r="L73" s="43">
        <f>+'Cons spec tot e finalizzati'!T73-'Cons spec tot e finalizzati'!U73</f>
        <v>508</v>
      </c>
      <c r="M73" s="43">
        <f>+'Cons spec tot e finalizzati'!V73-'Cons spec tot e finalizzati'!W73</f>
        <v>152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s="2" customFormat="1" ht="12.75">
      <c r="A74" s="37"/>
      <c r="B74" s="10" t="s">
        <v>106</v>
      </c>
      <c r="C74" s="11"/>
      <c r="D74" s="43">
        <f>+'Cons spec tot e finalizzati'!D74-'Cons spec tot e finalizzati'!E74</f>
        <v>0</v>
      </c>
      <c r="E74" s="43">
        <f>+'Cons spec tot e finalizzati'!F74-'Cons spec tot e finalizzati'!G74</f>
        <v>0</v>
      </c>
      <c r="F74" s="43">
        <f>+'Cons spec tot e finalizzati'!H74-'Cons spec tot e finalizzati'!I74</f>
        <v>0</v>
      </c>
      <c r="G74" s="46">
        <f>+'Cons spec tot e finalizzati'!J74-'Cons spec tot e finalizzati'!K74</f>
        <v>94</v>
      </c>
      <c r="H74" s="43">
        <f>+'Cons spec tot e finalizzati'!L74-'Cons spec tot e finalizzati'!M74</f>
        <v>100</v>
      </c>
      <c r="I74" s="43">
        <f>+'Cons spec tot e finalizzati'!N74-'Cons spec tot e finalizzati'!O74</f>
        <v>75</v>
      </c>
      <c r="J74" s="43">
        <f>+'Cons spec tot e finalizzati'!P74-'Cons spec tot e finalizzati'!Q74</f>
        <v>0</v>
      </c>
      <c r="K74" s="43">
        <f>+'Cons spec tot e finalizzati'!R74-'Cons spec tot e finalizzati'!S74</f>
        <v>0</v>
      </c>
      <c r="L74" s="43">
        <f>+'Cons spec tot e finalizzati'!T74-'Cons spec tot e finalizzati'!U74</f>
        <v>0</v>
      </c>
      <c r="M74" s="43">
        <f>+'Cons spec tot e finalizzati'!V74-'Cons spec tot e finalizzati'!W74</f>
        <v>31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s="2" customFormat="1" ht="12.75">
      <c r="A75" s="37"/>
      <c r="B75" s="10" t="s">
        <v>107</v>
      </c>
      <c r="C75" s="11"/>
      <c r="D75" s="43">
        <f>+'Cons spec tot e finalizzati'!D75-'Cons spec tot e finalizzati'!E75</f>
        <v>0</v>
      </c>
      <c r="E75" s="43">
        <f>+'Cons spec tot e finalizzati'!F75-'Cons spec tot e finalizzati'!G75</f>
        <v>0</v>
      </c>
      <c r="F75" s="43">
        <f>+'Cons spec tot e finalizzati'!H75-'Cons spec tot e finalizzati'!I75</f>
        <v>0</v>
      </c>
      <c r="G75" s="46">
        <f>+'Cons spec tot e finalizzati'!J75-'Cons spec tot e finalizzati'!K75</f>
        <v>363</v>
      </c>
      <c r="H75" s="43">
        <f>+'Cons spec tot e finalizzati'!L75-'Cons spec tot e finalizzati'!M75</f>
        <v>422</v>
      </c>
      <c r="I75" s="43">
        <f>+'Cons spec tot e finalizzati'!N75-'Cons spec tot e finalizzati'!O75</f>
        <v>346</v>
      </c>
      <c r="J75" s="43">
        <f>+'Cons spec tot e finalizzati'!P75-'Cons spec tot e finalizzati'!Q75</f>
        <v>197</v>
      </c>
      <c r="K75" s="43">
        <f>+'Cons spec tot e finalizzati'!R75-'Cons spec tot e finalizzati'!S75</f>
        <v>101</v>
      </c>
      <c r="L75" s="43">
        <f>+'Cons spec tot e finalizzati'!T75-'Cons spec tot e finalizzati'!U75</f>
        <v>6</v>
      </c>
      <c r="M75" s="43">
        <f>+'Cons spec tot e finalizzati'!V75-'Cons spec tot e finalizzati'!W75</f>
        <v>30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s="2" customFormat="1" ht="12.75">
      <c r="A76" s="37"/>
      <c r="B76" s="10" t="s">
        <v>104</v>
      </c>
      <c r="C76" s="11"/>
      <c r="D76" s="43">
        <f>+'Cons spec tot e finalizzati'!D76-'Cons spec tot e finalizzati'!E76</f>
        <v>2839</v>
      </c>
      <c r="E76" s="43">
        <f>+'Cons spec tot e finalizzati'!F76-'Cons spec tot e finalizzati'!G76</f>
        <v>3633</v>
      </c>
      <c r="F76" s="43">
        <f>+'Cons spec tot e finalizzati'!H76-'Cons spec tot e finalizzati'!I76</f>
        <v>2450</v>
      </c>
      <c r="G76" s="46">
        <f>+'Cons spec tot e finalizzati'!J76-'Cons spec tot e finalizzati'!K76</f>
        <v>645</v>
      </c>
      <c r="H76" s="43">
        <f>+'Cons spec tot e finalizzati'!L76-'Cons spec tot e finalizzati'!M76</f>
        <v>497</v>
      </c>
      <c r="I76" s="43">
        <f>+'Cons spec tot e finalizzati'!N76-'Cons spec tot e finalizzati'!O76</f>
        <v>523</v>
      </c>
      <c r="J76" s="43">
        <f>+'Cons spec tot e finalizzati'!P76-'Cons spec tot e finalizzati'!Q76</f>
        <v>347</v>
      </c>
      <c r="K76" s="43">
        <f>+'Cons spec tot e finalizzati'!R76-'Cons spec tot e finalizzati'!S76</f>
        <v>316</v>
      </c>
      <c r="L76" s="43">
        <f>+'Cons spec tot e finalizzati'!T76-'Cons spec tot e finalizzati'!U76</f>
        <v>450</v>
      </c>
      <c r="M76" s="43">
        <f>+'Cons spec tot e finalizzati'!V76-'Cons spec tot e finalizzati'!W76</f>
        <v>621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13" s="22" customFormat="1" ht="12.75">
      <c r="A77" s="134"/>
      <c r="B77" s="16" t="s">
        <v>145</v>
      </c>
      <c r="C77" s="16"/>
      <c r="D77" s="61">
        <f>+'Cons spec tot e finalizzati'!D77-'Cons spec tot e finalizzati'!E77</f>
        <v>0</v>
      </c>
      <c r="E77" s="61">
        <f>+'Cons spec tot e finalizzati'!F77-'Cons spec tot e finalizzati'!G77</f>
        <v>0</v>
      </c>
      <c r="F77" s="61">
        <f>+'Cons spec tot e finalizzati'!H77-'Cons spec tot e finalizzati'!I77</f>
        <v>0</v>
      </c>
      <c r="G77" s="61">
        <f>+'Cons spec tot e finalizzati'!J77-'Cons spec tot e finalizzati'!K77</f>
        <v>0</v>
      </c>
      <c r="H77" s="61">
        <f>+'Cons spec tot e finalizzati'!L77-'Cons spec tot e finalizzati'!M77</f>
        <v>0</v>
      </c>
      <c r="I77" s="61">
        <f>+'Cons spec tot e finalizzati'!N77-'Cons spec tot e finalizzati'!O77</f>
        <v>0</v>
      </c>
      <c r="J77" s="61">
        <f>+'Cons spec tot e finalizzati'!P77-'Cons spec tot e finalizzati'!Q77</f>
        <v>0</v>
      </c>
      <c r="K77" s="61">
        <f>+'Cons spec tot e finalizzati'!R77-'Cons spec tot e finalizzati'!S77</f>
        <v>0</v>
      </c>
      <c r="L77" s="61">
        <f>+'Cons spec tot e finalizzati'!T77-'Cons spec tot e finalizzati'!U77</f>
        <v>0</v>
      </c>
      <c r="M77" s="61">
        <f>+'Cons spec tot e finalizzati'!V77-'Cons spec tot e finalizzati'!W77</f>
        <v>0</v>
      </c>
    </row>
    <row r="78" spans="1:32" s="2" customFormat="1" ht="12.75">
      <c r="A78" s="96" t="s">
        <v>147</v>
      </c>
      <c r="B78" s="91"/>
      <c r="C78" s="91"/>
      <c r="D78" s="55">
        <f>+'Cons spec tot e finalizzati'!D78-'Cons spec tot e finalizzati'!E78</f>
        <v>2164</v>
      </c>
      <c r="E78" s="55">
        <f>+'Cons spec tot e finalizzati'!F78-'Cons spec tot e finalizzati'!G78</f>
        <v>2975</v>
      </c>
      <c r="F78" s="55">
        <f>+'Cons spec tot e finalizzati'!H78-'Cons spec tot e finalizzati'!I78</f>
        <v>4289</v>
      </c>
      <c r="G78" s="55">
        <f>+'Cons spec tot e finalizzati'!J78-'Cons spec tot e finalizzati'!K78</f>
        <v>3363</v>
      </c>
      <c r="H78" s="55">
        <f>+'Cons spec tot e finalizzati'!L78-'Cons spec tot e finalizzati'!M78</f>
        <v>1838</v>
      </c>
      <c r="I78" s="55">
        <f>+'Cons spec tot e finalizzati'!N78-'Cons spec tot e finalizzati'!O78</f>
        <v>1605</v>
      </c>
      <c r="J78" s="55">
        <f>+'Cons spec tot e finalizzati'!P78-'Cons spec tot e finalizzati'!Q78</f>
        <v>292</v>
      </c>
      <c r="K78" s="55">
        <f>+'Cons spec tot e finalizzati'!R78-'Cons spec tot e finalizzati'!S78</f>
        <v>786</v>
      </c>
      <c r="L78" s="55">
        <f>+'Cons spec tot e finalizzati'!T78-'Cons spec tot e finalizzati'!U78</f>
        <v>644</v>
      </c>
      <c r="M78" s="55">
        <f>+'Cons spec tot e finalizzati'!V78-'Cons spec tot e finalizzati'!W78</f>
        <v>676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s="2" customFormat="1" ht="12.75">
      <c r="A79" s="37"/>
      <c r="B79" s="10" t="s">
        <v>15</v>
      </c>
      <c r="C79" s="11"/>
      <c r="D79" s="43">
        <f>+'Cons spec tot e finalizzati'!D79-'Cons spec tot e finalizzati'!E79</f>
        <v>519</v>
      </c>
      <c r="E79" s="43">
        <f>+'Cons spec tot e finalizzati'!F79-'Cons spec tot e finalizzati'!G79</f>
        <v>343</v>
      </c>
      <c r="F79" s="43">
        <f>+'Cons spec tot e finalizzati'!H79-'Cons spec tot e finalizzati'!I79</f>
        <v>234</v>
      </c>
      <c r="G79" s="46">
        <f>+'Cons spec tot e finalizzati'!J79-'Cons spec tot e finalizzati'!K79</f>
        <v>99</v>
      </c>
      <c r="H79" s="43">
        <f>+'Cons spec tot e finalizzati'!L79-'Cons spec tot e finalizzati'!M79</f>
        <v>110</v>
      </c>
      <c r="I79" s="43">
        <f>+'Cons spec tot e finalizzati'!N79-'Cons spec tot e finalizzati'!O79</f>
        <v>48</v>
      </c>
      <c r="J79" s="43">
        <f>+'Cons spec tot e finalizzati'!P79-'Cons spec tot e finalizzati'!Q79</f>
        <v>54</v>
      </c>
      <c r="K79" s="43">
        <f>+'Cons spec tot e finalizzati'!R79-'Cons spec tot e finalizzati'!S79</f>
        <v>33</v>
      </c>
      <c r="L79" s="43">
        <f>+'Cons spec tot e finalizzati'!T79-'Cons spec tot e finalizzati'!U79</f>
        <v>21</v>
      </c>
      <c r="M79" s="43">
        <f>+'Cons spec tot e finalizzati'!V79-'Cons spec tot e finalizzati'!W79</f>
        <v>50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s="2" customFormat="1" ht="12.75">
      <c r="A80" s="37"/>
      <c r="B80" s="10" t="s">
        <v>46</v>
      </c>
      <c r="C80" s="11"/>
      <c r="D80" s="43">
        <f>+'Cons spec tot e finalizzati'!D80-'Cons spec tot e finalizzati'!E80</f>
        <v>693</v>
      </c>
      <c r="E80" s="43">
        <f>+'Cons spec tot e finalizzati'!F80-'Cons spec tot e finalizzati'!G80</f>
        <v>733</v>
      </c>
      <c r="F80" s="43">
        <f>+'Cons spec tot e finalizzati'!H80-'Cons spec tot e finalizzati'!I80</f>
        <v>1671</v>
      </c>
      <c r="G80" s="46">
        <f>+'Cons spec tot e finalizzati'!J80-'Cons spec tot e finalizzati'!K80</f>
        <v>1268</v>
      </c>
      <c r="H80" s="43">
        <f>+'Cons spec tot e finalizzati'!L80-'Cons spec tot e finalizzati'!M80</f>
        <v>1054</v>
      </c>
      <c r="I80" s="43">
        <f>+'Cons spec tot e finalizzati'!N80-'Cons spec tot e finalizzati'!O80</f>
        <v>964</v>
      </c>
      <c r="J80" s="43">
        <f>+'Cons spec tot e finalizzati'!P80-'Cons spec tot e finalizzati'!Q80</f>
        <v>102</v>
      </c>
      <c r="K80" s="43">
        <f>+'Cons spec tot e finalizzati'!R80-'Cons spec tot e finalizzati'!S80</f>
        <v>507</v>
      </c>
      <c r="L80" s="43">
        <f>+'Cons spec tot e finalizzati'!T80-'Cons spec tot e finalizzati'!U80</f>
        <v>237</v>
      </c>
      <c r="M80" s="43">
        <f>+'Cons spec tot e finalizzati'!V80-'Cons spec tot e finalizzati'!W80</f>
        <v>220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s="2" customFormat="1" ht="12.75">
      <c r="A81" s="37"/>
      <c r="B81" s="10" t="s">
        <v>51</v>
      </c>
      <c r="C81" s="11"/>
      <c r="D81" s="43">
        <f>+'Cons spec tot e finalizzati'!D81-'Cons spec tot e finalizzati'!E81</f>
        <v>178</v>
      </c>
      <c r="E81" s="43">
        <f>+'Cons spec tot e finalizzati'!F81-'Cons spec tot e finalizzati'!G81</f>
        <v>203</v>
      </c>
      <c r="F81" s="43">
        <f>+'Cons spec tot e finalizzati'!H81-'Cons spec tot e finalizzati'!I81</f>
        <v>116</v>
      </c>
      <c r="G81" s="46">
        <f>+'Cons spec tot e finalizzati'!J81-'Cons spec tot e finalizzati'!K81</f>
        <v>147</v>
      </c>
      <c r="H81" s="43">
        <f>+'Cons spec tot e finalizzati'!L81-'Cons spec tot e finalizzati'!M81</f>
        <v>92</v>
      </c>
      <c r="I81" s="43">
        <f>+'Cons spec tot e finalizzati'!N81-'Cons spec tot e finalizzati'!O81</f>
        <v>86</v>
      </c>
      <c r="J81" s="43">
        <f>+'Cons spec tot e finalizzati'!P81-'Cons spec tot e finalizzati'!Q81</f>
        <v>7</v>
      </c>
      <c r="K81" s="43">
        <f>+'Cons spec tot e finalizzati'!R81-'Cons spec tot e finalizzati'!S81</f>
        <v>48</v>
      </c>
      <c r="L81" s="43">
        <f>+'Cons spec tot e finalizzati'!T81-'Cons spec tot e finalizzati'!U81</f>
        <v>152</v>
      </c>
      <c r="M81" s="43">
        <f>+'Cons spec tot e finalizzati'!V81-'Cons spec tot e finalizzati'!W81</f>
        <v>263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s="2" customFormat="1" ht="12.75">
      <c r="A82" s="37"/>
      <c r="B82" s="10" t="s">
        <v>52</v>
      </c>
      <c r="C82" s="11"/>
      <c r="D82" s="43">
        <f>+'Cons spec tot e finalizzati'!D82-'Cons spec tot e finalizzati'!E82</f>
        <v>350</v>
      </c>
      <c r="E82" s="43">
        <f>+'Cons spec tot e finalizzati'!F82-'Cons spec tot e finalizzati'!G82</f>
        <v>1269</v>
      </c>
      <c r="F82" s="43">
        <f>+'Cons spec tot e finalizzati'!H82-'Cons spec tot e finalizzati'!I82</f>
        <v>1557</v>
      </c>
      <c r="G82" s="46">
        <f>+'Cons spec tot e finalizzati'!J82-'Cons spec tot e finalizzati'!K82</f>
        <v>1180</v>
      </c>
      <c r="H82" s="43">
        <f>+'Cons spec tot e finalizzati'!L82-'Cons spec tot e finalizzati'!M82</f>
        <v>25</v>
      </c>
      <c r="I82" s="43">
        <f>+'Cons spec tot e finalizzati'!N82-'Cons spec tot e finalizzati'!O82</f>
        <v>22</v>
      </c>
      <c r="J82" s="43">
        <f>+'Cons spec tot e finalizzati'!P82-'Cons spec tot e finalizzati'!Q82</f>
        <v>22</v>
      </c>
      <c r="K82" s="43">
        <f>+'Cons spec tot e finalizzati'!R82-'Cons spec tot e finalizzati'!S82</f>
        <v>18</v>
      </c>
      <c r="L82" s="43">
        <f>+'Cons spec tot e finalizzati'!T82-'Cons spec tot e finalizzati'!U82</f>
        <v>42</v>
      </c>
      <c r="M82" s="43">
        <f>+'Cons spec tot e finalizzati'!V82-'Cons spec tot e finalizzati'!W82</f>
        <v>36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s="2" customFormat="1" ht="12.75">
      <c r="A83" s="37"/>
      <c r="B83" s="10" t="s">
        <v>55</v>
      </c>
      <c r="C83" s="11"/>
      <c r="D83" s="43">
        <f>+'Cons spec tot e finalizzati'!D83-'Cons spec tot e finalizzati'!E83</f>
        <v>424</v>
      </c>
      <c r="E83" s="43">
        <f>+'Cons spec tot e finalizzati'!F83-'Cons spec tot e finalizzati'!G83</f>
        <v>427</v>
      </c>
      <c r="F83" s="43">
        <f>+'Cons spec tot e finalizzati'!H83-'Cons spec tot e finalizzati'!I83</f>
        <v>711</v>
      </c>
      <c r="G83" s="46">
        <f>+'Cons spec tot e finalizzati'!J83-'Cons spec tot e finalizzati'!K83</f>
        <v>669</v>
      </c>
      <c r="H83" s="43">
        <f>+'Cons spec tot e finalizzati'!L83-'Cons spec tot e finalizzati'!M83</f>
        <v>557</v>
      </c>
      <c r="I83" s="43">
        <f>+'Cons spec tot e finalizzati'!N83-'Cons spec tot e finalizzati'!O83</f>
        <v>485</v>
      </c>
      <c r="J83" s="43">
        <f>+'Cons spec tot e finalizzati'!P83-'Cons spec tot e finalizzati'!Q83</f>
        <v>107</v>
      </c>
      <c r="K83" s="43">
        <f>+'Cons spec tot e finalizzati'!R83-'Cons spec tot e finalizzati'!S83</f>
        <v>170</v>
      </c>
      <c r="L83" s="43">
        <f>+'Cons spec tot e finalizzati'!T83-'Cons spec tot e finalizzati'!U83</f>
        <v>192</v>
      </c>
      <c r="M83" s="43">
        <f>+'Cons spec tot e finalizzati'!V83-'Cons spec tot e finalizzati'!W83</f>
        <v>107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13" s="22" customFormat="1" ht="12.75">
      <c r="A84" s="134"/>
      <c r="B84" s="16" t="s">
        <v>146</v>
      </c>
      <c r="C84" s="16"/>
      <c r="D84" s="61">
        <f>+'Cons spec tot e finalizzati'!D84-'Cons spec tot e finalizzati'!E84</f>
        <v>0</v>
      </c>
      <c r="E84" s="61">
        <f>+'Cons spec tot e finalizzati'!F84-'Cons spec tot e finalizzati'!G84</f>
        <v>0</v>
      </c>
      <c r="F84" s="61">
        <f>+'Cons spec tot e finalizzati'!H84-'Cons spec tot e finalizzati'!I84</f>
        <v>0</v>
      </c>
      <c r="G84" s="61">
        <f>+'Cons spec tot e finalizzati'!J84-'Cons spec tot e finalizzati'!K84</f>
        <v>0</v>
      </c>
      <c r="H84" s="61">
        <f>+'Cons spec tot e finalizzati'!L84-'Cons spec tot e finalizzati'!M84</f>
        <v>0</v>
      </c>
      <c r="I84" s="61">
        <f>+'Cons spec tot e finalizzati'!N84-'Cons spec tot e finalizzati'!O84</f>
        <v>0</v>
      </c>
      <c r="J84" s="61">
        <f>+'Cons spec tot e finalizzati'!P84-'Cons spec tot e finalizzati'!Q84</f>
        <v>0</v>
      </c>
      <c r="K84" s="61">
        <f>+'Cons spec tot e finalizzati'!R84-'Cons spec tot e finalizzati'!S84</f>
        <v>10</v>
      </c>
      <c r="L84" s="61">
        <f>+'Cons spec tot e finalizzati'!T84-'Cons spec tot e finalizzati'!U84</f>
        <v>0</v>
      </c>
      <c r="M84" s="61">
        <f>+'Cons spec tot e finalizzati'!V84-'Cons spec tot e finalizzati'!W84</f>
        <v>0</v>
      </c>
    </row>
    <row r="85" spans="1:32" s="2" customFormat="1" ht="12.75">
      <c r="A85" s="120" t="s">
        <v>148</v>
      </c>
      <c r="B85" s="121"/>
      <c r="C85" s="122"/>
      <c r="D85" s="58">
        <f>+'Cons spec tot e finalizzati'!D85-'Cons spec tot e finalizzati'!E85</f>
        <v>963</v>
      </c>
      <c r="E85" s="58">
        <f>+'Cons spec tot e finalizzati'!F85-'Cons spec tot e finalizzati'!G85</f>
        <v>974</v>
      </c>
      <c r="F85" s="69">
        <f>+'Cons spec tot e finalizzati'!H85-'Cons spec tot e finalizzati'!I85</f>
        <v>64</v>
      </c>
      <c r="G85" s="69">
        <f>+'Cons spec tot e finalizzati'!J85-'Cons spec tot e finalizzati'!K85</f>
        <v>34</v>
      </c>
      <c r="H85" s="58">
        <f>+'Cons spec tot e finalizzati'!L85-'Cons spec tot e finalizzati'!M85</f>
        <v>168</v>
      </c>
      <c r="I85" s="58">
        <f>+'Cons spec tot e finalizzati'!N85-'Cons spec tot e finalizzati'!O85</f>
        <v>99</v>
      </c>
      <c r="J85" s="58">
        <f>+'Cons spec tot e finalizzati'!P85-'Cons spec tot e finalizzati'!Q85</f>
        <v>85</v>
      </c>
      <c r="K85" s="58">
        <f>+'Cons spec tot e finalizzati'!R85-'Cons spec tot e finalizzati'!S85</f>
        <v>322</v>
      </c>
      <c r="L85" s="58">
        <f>+'Cons spec tot e finalizzati'!T85-'Cons spec tot e finalizzati'!U85</f>
        <v>317</v>
      </c>
      <c r="M85" s="58">
        <f>+'Cons spec tot e finalizzati'!V85-'Cons spec tot e finalizzati'!W85</f>
        <v>279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13" s="22" customFormat="1" ht="12.75">
      <c r="A86" s="113" t="s">
        <v>153</v>
      </c>
      <c r="B86" s="93"/>
      <c r="C86" s="93"/>
      <c r="D86" s="112">
        <f>+'Cons spec tot e finalizzati'!D86-'Cons spec tot e finalizzati'!E86</f>
        <v>10784</v>
      </c>
      <c r="E86" s="112">
        <f>+'Cons spec tot e finalizzati'!F86-'Cons spec tot e finalizzati'!G86</f>
        <v>9942</v>
      </c>
      <c r="F86" s="112">
        <f>+'Cons spec tot e finalizzati'!H86-'Cons spec tot e finalizzati'!I86</f>
        <v>10352</v>
      </c>
      <c r="G86" s="112">
        <f>+'Cons spec tot e finalizzati'!J86-'Cons spec tot e finalizzati'!K86</f>
        <v>13174</v>
      </c>
      <c r="H86" s="112">
        <f>+'Cons spec tot e finalizzati'!L86-'Cons spec tot e finalizzati'!M86</f>
        <v>12994</v>
      </c>
      <c r="I86" s="112">
        <f>+'Cons spec tot e finalizzati'!N86-'Cons spec tot e finalizzati'!O86</f>
        <v>12089</v>
      </c>
      <c r="J86" s="112">
        <f>+'Cons spec tot e finalizzati'!P86-'Cons spec tot e finalizzati'!Q86</f>
        <v>8588</v>
      </c>
      <c r="K86" s="112">
        <f>+'Cons spec tot e finalizzati'!R86-'Cons spec tot e finalizzati'!S86</f>
        <v>8729</v>
      </c>
      <c r="L86" s="112">
        <f>+'Cons spec tot e finalizzati'!T86-'Cons spec tot e finalizzati'!U86</f>
        <v>9122</v>
      </c>
      <c r="M86" s="112">
        <f>+'Cons spec tot e finalizzati'!V86-'Cons spec tot e finalizzati'!W86</f>
        <v>7806</v>
      </c>
    </row>
    <row r="87" spans="1:32" s="2" customFormat="1" ht="12.75">
      <c r="A87" s="37"/>
      <c r="B87" s="10" t="s">
        <v>4</v>
      </c>
      <c r="C87" s="11"/>
      <c r="D87" s="43">
        <f>+'Cons spec tot e finalizzati'!D87-'Cons spec tot e finalizzati'!E87</f>
        <v>265</v>
      </c>
      <c r="E87" s="43">
        <f>+'Cons spec tot e finalizzati'!F87-'Cons spec tot e finalizzati'!G87</f>
        <v>289</v>
      </c>
      <c r="F87" s="43">
        <f>+'Cons spec tot e finalizzati'!H87-'Cons spec tot e finalizzati'!I87</f>
        <v>113</v>
      </c>
      <c r="G87" s="46">
        <f>+'Cons spec tot e finalizzati'!J87-'Cons spec tot e finalizzati'!K87</f>
        <v>216</v>
      </c>
      <c r="H87" s="43">
        <f>+'Cons spec tot e finalizzati'!L87-'Cons spec tot e finalizzati'!M87</f>
        <v>137</v>
      </c>
      <c r="I87" s="43">
        <f>+'Cons spec tot e finalizzati'!N87-'Cons spec tot e finalizzati'!O87</f>
        <v>140</v>
      </c>
      <c r="J87" s="43">
        <f>+'Cons spec tot e finalizzati'!P87-'Cons spec tot e finalizzati'!Q87</f>
        <v>49</v>
      </c>
      <c r="K87" s="43">
        <f>+'Cons spec tot e finalizzati'!R87-'Cons spec tot e finalizzati'!S87</f>
        <v>33</v>
      </c>
      <c r="L87" s="43">
        <f>+'Cons spec tot e finalizzati'!T87-'Cons spec tot e finalizzati'!U87</f>
        <v>38</v>
      </c>
      <c r="M87" s="43">
        <f>+'Cons spec tot e finalizzati'!V87-'Cons spec tot e finalizzati'!W87</f>
        <v>197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s="2" customFormat="1" ht="12.75">
      <c r="A88" s="37"/>
      <c r="B88" s="10" t="s">
        <v>62</v>
      </c>
      <c r="C88" s="11"/>
      <c r="D88" s="43">
        <f>+'Cons spec tot e finalizzati'!D88-'Cons spec tot e finalizzati'!E88</f>
        <v>348</v>
      </c>
      <c r="E88" s="43">
        <f>+'Cons spec tot e finalizzati'!F88-'Cons spec tot e finalizzati'!G88</f>
        <v>1310</v>
      </c>
      <c r="F88" s="43">
        <f>+'Cons spec tot e finalizzati'!H88-'Cons spec tot e finalizzati'!I88</f>
        <v>1856</v>
      </c>
      <c r="G88" s="46">
        <f>+'Cons spec tot e finalizzati'!J88-'Cons spec tot e finalizzati'!K88</f>
        <v>2776</v>
      </c>
      <c r="H88" s="43">
        <f>+'Cons spec tot e finalizzati'!L88-'Cons spec tot e finalizzati'!M88</f>
        <v>2574</v>
      </c>
      <c r="I88" s="43">
        <f>+'Cons spec tot e finalizzati'!N88-'Cons spec tot e finalizzati'!O88</f>
        <v>1461</v>
      </c>
      <c r="J88" s="43">
        <f>+'Cons spec tot e finalizzati'!P88-'Cons spec tot e finalizzati'!Q88</f>
        <v>783</v>
      </c>
      <c r="K88" s="43">
        <f>+'Cons spec tot e finalizzati'!R88-'Cons spec tot e finalizzati'!S88</f>
        <v>730</v>
      </c>
      <c r="L88" s="43">
        <f>+'Cons spec tot e finalizzati'!T88-'Cons spec tot e finalizzati'!U88</f>
        <v>652</v>
      </c>
      <c r="M88" s="43">
        <f>+'Cons spec tot e finalizzati'!V88-'Cons spec tot e finalizzati'!W88</f>
        <v>541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s="2" customFormat="1" ht="12.75">
      <c r="A89" s="37"/>
      <c r="B89" s="10" t="s">
        <v>149</v>
      </c>
      <c r="C89" s="11"/>
      <c r="D89" s="43">
        <f>+'Cons spec tot e finalizzati'!D89-'Cons spec tot e finalizzati'!E89</f>
        <v>0</v>
      </c>
      <c r="E89" s="43">
        <f>+'Cons spec tot e finalizzati'!F89-'Cons spec tot e finalizzati'!G89</f>
        <v>0</v>
      </c>
      <c r="F89" s="43">
        <f>+'Cons spec tot e finalizzati'!H89-'Cons spec tot e finalizzati'!I89</f>
        <v>0</v>
      </c>
      <c r="G89" s="46">
        <f>+'Cons spec tot e finalizzati'!J89-'Cons spec tot e finalizzati'!K89</f>
        <v>0</v>
      </c>
      <c r="H89" s="43">
        <f>+'Cons spec tot e finalizzati'!L89-'Cons spec tot e finalizzati'!M89</f>
        <v>0</v>
      </c>
      <c r="I89" s="43">
        <f>+'Cons spec tot e finalizzati'!N89-'Cons spec tot e finalizzati'!O89</f>
        <v>0</v>
      </c>
      <c r="J89" s="43">
        <f>+'Cons spec tot e finalizzati'!P89-'Cons spec tot e finalizzati'!Q89</f>
        <v>0</v>
      </c>
      <c r="K89" s="43">
        <f>+'Cons spec tot e finalizzati'!R89-'Cons spec tot e finalizzati'!S89</f>
        <v>0</v>
      </c>
      <c r="L89" s="43">
        <f>+'Cons spec tot e finalizzati'!T89-'Cons spec tot e finalizzati'!U89</f>
        <v>0</v>
      </c>
      <c r="M89" s="43">
        <f>+'Cons spec tot e finalizzati'!V89-'Cons spec tot e finalizzati'!W89</f>
        <v>0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s="2" customFormat="1" ht="12.75">
      <c r="A90" s="37"/>
      <c r="B90" s="10" t="s">
        <v>35</v>
      </c>
      <c r="C90" s="11"/>
      <c r="D90" s="43">
        <f>+'Cons spec tot e finalizzati'!D90-'Cons spec tot e finalizzati'!E90</f>
        <v>3321</v>
      </c>
      <c r="E90" s="43">
        <f>+'Cons spec tot e finalizzati'!F90-'Cons spec tot e finalizzati'!G90</f>
        <v>2893</v>
      </c>
      <c r="F90" s="43">
        <f>+'Cons spec tot e finalizzati'!H90-'Cons spec tot e finalizzati'!I90</f>
        <v>2680</v>
      </c>
      <c r="G90" s="46">
        <f>+'Cons spec tot e finalizzati'!J90-'Cons spec tot e finalizzati'!K90</f>
        <v>2871</v>
      </c>
      <c r="H90" s="43">
        <f>+'Cons spec tot e finalizzati'!L90-'Cons spec tot e finalizzati'!M90</f>
        <v>2871</v>
      </c>
      <c r="I90" s="43">
        <f>+'Cons spec tot e finalizzati'!N90-'Cons spec tot e finalizzati'!O90</f>
        <v>3098</v>
      </c>
      <c r="J90" s="43">
        <f>+'Cons spec tot e finalizzati'!P90-'Cons spec tot e finalizzati'!Q90</f>
        <v>2811</v>
      </c>
      <c r="K90" s="43">
        <f>+'Cons spec tot e finalizzati'!R90-'Cons spec tot e finalizzati'!S90</f>
        <v>3156</v>
      </c>
      <c r="L90" s="43">
        <f>+'Cons spec tot e finalizzati'!T90-'Cons spec tot e finalizzati'!U90</f>
        <v>3199</v>
      </c>
      <c r="M90" s="43">
        <f>+'Cons spec tot e finalizzati'!V90-'Cons spec tot e finalizzati'!W90</f>
        <v>2878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s="2" customFormat="1" ht="12.75">
      <c r="A91" s="37"/>
      <c r="B91" s="10" t="s">
        <v>150</v>
      </c>
      <c r="C91" s="11"/>
      <c r="D91" s="43">
        <f>+'Cons spec tot e finalizzati'!D91-'Cons spec tot e finalizzati'!E91</f>
        <v>1345</v>
      </c>
      <c r="E91" s="43">
        <f>+'Cons spec tot e finalizzati'!F91-'Cons spec tot e finalizzati'!G91</f>
        <v>1742</v>
      </c>
      <c r="F91" s="43">
        <f>+'Cons spec tot e finalizzati'!H91-'Cons spec tot e finalizzati'!I91</f>
        <v>1489</v>
      </c>
      <c r="G91" s="46">
        <f>+'Cons spec tot e finalizzati'!J91-'Cons spec tot e finalizzati'!K91</f>
        <v>1553</v>
      </c>
      <c r="H91" s="43">
        <f>+'Cons spec tot e finalizzati'!L91-'Cons spec tot e finalizzati'!M91</f>
        <v>1561</v>
      </c>
      <c r="I91" s="43">
        <f>+'Cons spec tot e finalizzati'!N91-'Cons spec tot e finalizzati'!O91</f>
        <v>1613</v>
      </c>
      <c r="J91" s="43">
        <f>+'Cons spec tot e finalizzati'!P91-'Cons spec tot e finalizzati'!Q91</f>
        <v>803</v>
      </c>
      <c r="K91" s="43">
        <f>+'Cons spec tot e finalizzati'!R91-'Cons spec tot e finalizzati'!S91</f>
        <v>583</v>
      </c>
      <c r="L91" s="43">
        <f>+'Cons spec tot e finalizzati'!T91-'Cons spec tot e finalizzati'!U91</f>
        <v>746</v>
      </c>
      <c r="M91" s="43">
        <f>+'Cons spec tot e finalizzati'!V91-'Cons spec tot e finalizzati'!W91</f>
        <v>737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s="2" customFormat="1" ht="12.75">
      <c r="A92" s="37"/>
      <c r="B92" s="10" t="s">
        <v>151</v>
      </c>
      <c r="C92" s="11"/>
      <c r="D92" s="43">
        <f>+'Cons spec tot e finalizzati'!D92-'Cons spec tot e finalizzati'!E92</f>
        <v>1520</v>
      </c>
      <c r="E92" s="43">
        <f>+'Cons spec tot e finalizzati'!F92-'Cons spec tot e finalizzati'!G92</f>
        <v>1916</v>
      </c>
      <c r="F92" s="43">
        <f>+'Cons spec tot e finalizzati'!H92-'Cons spec tot e finalizzati'!I92</f>
        <v>2434</v>
      </c>
      <c r="G92" s="46">
        <f>+'Cons spec tot e finalizzati'!J92-'Cons spec tot e finalizzati'!K92</f>
        <v>3581</v>
      </c>
      <c r="H92" s="43">
        <f>+'Cons spec tot e finalizzati'!L92-'Cons spec tot e finalizzati'!M92</f>
        <v>3140</v>
      </c>
      <c r="I92" s="43">
        <f>+'Cons spec tot e finalizzati'!N92-'Cons spec tot e finalizzati'!O92</f>
        <v>3368</v>
      </c>
      <c r="J92" s="43">
        <f>+'Cons spec tot e finalizzati'!P92-'Cons spec tot e finalizzati'!Q92</f>
        <v>2693</v>
      </c>
      <c r="K92" s="43">
        <f>+'Cons spec tot e finalizzati'!R92-'Cons spec tot e finalizzati'!S92</f>
        <v>2659</v>
      </c>
      <c r="L92" s="43">
        <f>+'Cons spec tot e finalizzati'!T92-'Cons spec tot e finalizzati'!U92</f>
        <v>2963</v>
      </c>
      <c r="M92" s="43">
        <f>+'Cons spec tot e finalizzati'!V92-'Cons spec tot e finalizzati'!W92</f>
        <v>2436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s="2" customFormat="1" ht="12.75">
      <c r="A93" s="37"/>
      <c r="B93" s="10" t="s">
        <v>11</v>
      </c>
      <c r="C93" s="11"/>
      <c r="D93" s="43">
        <f>+'Cons spec tot e finalizzati'!D93-'Cons spec tot e finalizzati'!E93</f>
        <v>496</v>
      </c>
      <c r="E93" s="43">
        <f>+'Cons spec tot e finalizzati'!F93-'Cons spec tot e finalizzati'!G93</f>
        <v>491</v>
      </c>
      <c r="F93" s="43">
        <f>+'Cons spec tot e finalizzati'!H93-'Cons spec tot e finalizzati'!I93</f>
        <v>550</v>
      </c>
      <c r="G93" s="46">
        <f>+'Cons spec tot e finalizzati'!J93-'Cons spec tot e finalizzati'!K93</f>
        <v>641</v>
      </c>
      <c r="H93" s="43">
        <f>+'Cons spec tot e finalizzati'!L93-'Cons spec tot e finalizzati'!M93</f>
        <v>842</v>
      </c>
      <c r="I93" s="43">
        <f>+'Cons spec tot e finalizzati'!N93-'Cons spec tot e finalizzati'!O93</f>
        <v>745</v>
      </c>
      <c r="J93" s="43">
        <f>+'Cons spec tot e finalizzati'!P93-'Cons spec tot e finalizzati'!Q93</f>
        <v>380</v>
      </c>
      <c r="K93" s="43">
        <f>+'Cons spec tot e finalizzati'!R93-'Cons spec tot e finalizzati'!S93</f>
        <v>380</v>
      </c>
      <c r="L93" s="43">
        <f>+'Cons spec tot e finalizzati'!T93-'Cons spec tot e finalizzati'!U93</f>
        <v>372</v>
      </c>
      <c r="M93" s="43">
        <f>+'Cons spec tot e finalizzati'!V93-'Cons spec tot e finalizzati'!W93</f>
        <v>50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s="2" customFormat="1" ht="12.75">
      <c r="A94" s="37"/>
      <c r="B94" s="10" t="s">
        <v>12</v>
      </c>
      <c r="C94" s="11"/>
      <c r="D94" s="43">
        <f>+'Cons spec tot e finalizzati'!D94-'Cons spec tot e finalizzati'!E94</f>
        <v>1134</v>
      </c>
      <c r="E94" s="43">
        <f>+'Cons spec tot e finalizzati'!F94-'Cons spec tot e finalizzati'!G94</f>
        <v>1134</v>
      </c>
      <c r="F94" s="43">
        <f>+'Cons spec tot e finalizzati'!H94-'Cons spec tot e finalizzati'!I94</f>
        <v>1053</v>
      </c>
      <c r="G94" s="46">
        <f>+'Cons spec tot e finalizzati'!J94-'Cons spec tot e finalizzati'!K94</f>
        <v>1144</v>
      </c>
      <c r="H94" s="43">
        <f>+'Cons spec tot e finalizzati'!L94-'Cons spec tot e finalizzati'!M94</f>
        <v>1341</v>
      </c>
      <c r="I94" s="43">
        <f>+'Cons spec tot e finalizzati'!N94-'Cons spec tot e finalizzati'!O94</f>
        <v>1150</v>
      </c>
      <c r="J94" s="43">
        <f>+'Cons spec tot e finalizzati'!P94-'Cons spec tot e finalizzati'!Q94</f>
        <v>620</v>
      </c>
      <c r="K94" s="43">
        <f>+'Cons spec tot e finalizzati'!R94-'Cons spec tot e finalizzati'!S94</f>
        <v>809</v>
      </c>
      <c r="L94" s="43">
        <f>+'Cons spec tot e finalizzati'!T94-'Cons spec tot e finalizzati'!U94</f>
        <v>773</v>
      </c>
      <c r="M94" s="43">
        <f>+'Cons spec tot e finalizzati'!V94-'Cons spec tot e finalizzati'!W94</f>
        <v>641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s="2" customFormat="1" ht="12.75">
      <c r="A95" s="37"/>
      <c r="B95" s="10" t="s">
        <v>152</v>
      </c>
      <c r="C95" s="11"/>
      <c r="D95" s="43">
        <f>+'Cons spec tot e finalizzati'!D95-'Cons spec tot e finalizzati'!E95</f>
        <v>0</v>
      </c>
      <c r="E95" s="43">
        <f>+'Cons spec tot e finalizzati'!F95-'Cons spec tot e finalizzati'!G95</f>
        <v>0</v>
      </c>
      <c r="F95" s="43">
        <f>+'Cons spec tot e finalizzati'!H95-'Cons spec tot e finalizzati'!I95</f>
        <v>0</v>
      </c>
      <c r="G95" s="46">
        <f>+'Cons spec tot e finalizzati'!J95-'Cons spec tot e finalizzati'!K95</f>
        <v>144</v>
      </c>
      <c r="H95" s="43">
        <f>+'Cons spec tot e finalizzati'!L95-'Cons spec tot e finalizzati'!M95</f>
        <v>223</v>
      </c>
      <c r="I95" s="43">
        <f>+'Cons spec tot e finalizzati'!N95-'Cons spec tot e finalizzati'!O95</f>
        <v>235</v>
      </c>
      <c r="J95" s="43">
        <f>+'Cons spec tot e finalizzati'!P95-'Cons spec tot e finalizzati'!Q95</f>
        <v>163</v>
      </c>
      <c r="K95" s="43">
        <f>+'Cons spec tot e finalizzati'!R95-'Cons spec tot e finalizzati'!S95</f>
        <v>146</v>
      </c>
      <c r="L95" s="43">
        <f>+'Cons spec tot e finalizzati'!T95-'Cons spec tot e finalizzati'!U95</f>
        <v>146</v>
      </c>
      <c r="M95" s="43">
        <f>+'Cons spec tot e finalizzati'!V95-'Cons spec tot e finalizzati'!W95</f>
        <v>135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s="2" customFormat="1" ht="12.75">
      <c r="A96" s="37"/>
      <c r="B96" s="10" t="s">
        <v>13</v>
      </c>
      <c r="C96" s="11"/>
      <c r="D96" s="43">
        <f>+'Cons spec tot e finalizzati'!D96-'Cons spec tot e finalizzati'!E96</f>
        <v>212</v>
      </c>
      <c r="E96" s="43">
        <f>+'Cons spec tot e finalizzati'!F96-'Cons spec tot e finalizzati'!G96</f>
        <v>167</v>
      </c>
      <c r="F96" s="43">
        <f>+'Cons spec tot e finalizzati'!H96-'Cons spec tot e finalizzati'!I96</f>
        <v>177</v>
      </c>
      <c r="G96" s="46">
        <f>+'Cons spec tot e finalizzati'!J96-'Cons spec tot e finalizzati'!K96</f>
        <v>248</v>
      </c>
      <c r="H96" s="43">
        <f>+'Cons spec tot e finalizzati'!L96-'Cons spec tot e finalizzati'!M96</f>
        <v>305</v>
      </c>
      <c r="I96" s="43">
        <f>+'Cons spec tot e finalizzati'!N96-'Cons spec tot e finalizzati'!O96</f>
        <v>279</v>
      </c>
      <c r="J96" s="43">
        <f>+'Cons spec tot e finalizzati'!P96-'Cons spec tot e finalizzati'!Q96</f>
        <v>286</v>
      </c>
      <c r="K96" s="43">
        <f>+'Cons spec tot e finalizzati'!R96-'Cons spec tot e finalizzati'!S96</f>
        <v>233</v>
      </c>
      <c r="L96" s="43">
        <f>+'Cons spec tot e finalizzati'!T96-'Cons spec tot e finalizzati'!U96</f>
        <v>233</v>
      </c>
      <c r="M96" s="43">
        <f>+'Cons spec tot e finalizzati'!V96-'Cons spec tot e finalizzati'!W96</f>
        <v>191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13" s="22" customFormat="1" ht="12.75">
      <c r="A97" s="134"/>
      <c r="B97" s="16" t="s">
        <v>53</v>
      </c>
      <c r="C97" s="16"/>
      <c r="D97" s="61">
        <f>+'Cons spec tot e finalizzati'!D97-'Cons spec tot e finalizzati'!E97</f>
        <v>2143</v>
      </c>
      <c r="E97" s="61">
        <f>+'Cons spec tot e finalizzati'!F97-'Cons spec tot e finalizzati'!G97</f>
        <v>0</v>
      </c>
      <c r="F97" s="61">
        <f>+'Cons spec tot e finalizzati'!H97-'Cons spec tot e finalizzati'!I97</f>
        <v>0</v>
      </c>
      <c r="G97" s="61">
        <f>+'Cons spec tot e finalizzati'!J97-'Cons spec tot e finalizzati'!K97</f>
        <v>0</v>
      </c>
      <c r="H97" s="61">
        <f>+'Cons spec tot e finalizzati'!L97-'Cons spec tot e finalizzati'!M97</f>
        <v>0</v>
      </c>
      <c r="I97" s="61">
        <f>+'Cons spec tot e finalizzati'!N97-'Cons spec tot e finalizzati'!O97</f>
        <v>0</v>
      </c>
      <c r="J97" s="61">
        <f>+'Cons spec tot e finalizzati'!P97-'Cons spec tot e finalizzati'!Q97</f>
        <v>0</v>
      </c>
      <c r="K97" s="61">
        <f>+'Cons spec tot e finalizzati'!R97-'Cons spec tot e finalizzati'!S97</f>
        <v>0</v>
      </c>
      <c r="L97" s="61">
        <f>+'Cons spec tot e finalizzati'!T97-'Cons spec tot e finalizzati'!U97</f>
        <v>0</v>
      </c>
      <c r="M97" s="61">
        <f>+'Cons spec tot e finalizzati'!V97-'Cons spec tot e finalizzati'!W97</f>
        <v>0</v>
      </c>
    </row>
    <row r="98" spans="1:13" s="22" customFormat="1" ht="12.75">
      <c r="A98" s="113" t="s">
        <v>154</v>
      </c>
      <c r="B98" s="93"/>
      <c r="C98" s="93"/>
      <c r="D98" s="112">
        <f>+'Cons spec tot e finalizzati'!D98-'Cons spec tot e finalizzati'!E98</f>
        <v>2850</v>
      </c>
      <c r="E98" s="112">
        <f>+'Cons spec tot e finalizzati'!F98-'Cons spec tot e finalizzati'!G98</f>
        <v>2809</v>
      </c>
      <c r="F98" s="112">
        <f>+'Cons spec tot e finalizzati'!H98-'Cons spec tot e finalizzati'!I98</f>
        <v>3913</v>
      </c>
      <c r="G98" s="112">
        <f>+'Cons spec tot e finalizzati'!J98-'Cons spec tot e finalizzati'!K98</f>
        <v>2768</v>
      </c>
      <c r="H98" s="112">
        <f>+'Cons spec tot e finalizzati'!L98-'Cons spec tot e finalizzati'!M98</f>
        <v>2326</v>
      </c>
      <c r="I98" s="112">
        <f>+'Cons spec tot e finalizzati'!N98-'Cons spec tot e finalizzati'!O98</f>
        <v>1900</v>
      </c>
      <c r="J98" s="112">
        <f>+'Cons spec tot e finalizzati'!P98-'Cons spec tot e finalizzati'!Q98</f>
        <v>582</v>
      </c>
      <c r="K98" s="112">
        <f>+'Cons spec tot e finalizzati'!R98-'Cons spec tot e finalizzati'!S98</f>
        <v>897</v>
      </c>
      <c r="L98" s="112">
        <f>+'Cons spec tot e finalizzati'!T98-'Cons spec tot e finalizzati'!U98</f>
        <v>591</v>
      </c>
      <c r="M98" s="112">
        <f>+'Cons spec tot e finalizzati'!V98-'Cons spec tot e finalizzati'!W98</f>
        <v>469</v>
      </c>
    </row>
    <row r="99" spans="1:32" s="2" customFormat="1" ht="12.75">
      <c r="A99" s="37"/>
      <c r="B99" s="10" t="s">
        <v>4</v>
      </c>
      <c r="C99" s="11"/>
      <c r="D99" s="43">
        <f>+'Cons spec tot e finalizzati'!D99-'Cons spec tot e finalizzati'!E99</f>
        <v>502</v>
      </c>
      <c r="E99" s="43">
        <f>+'Cons spec tot e finalizzati'!F99-'Cons spec tot e finalizzati'!G99</f>
        <v>451</v>
      </c>
      <c r="F99" s="43">
        <f>+'Cons spec tot e finalizzati'!H99-'Cons spec tot e finalizzati'!I99</f>
        <v>598</v>
      </c>
      <c r="G99" s="46">
        <f>+'Cons spec tot e finalizzati'!J99-'Cons spec tot e finalizzati'!K99</f>
        <v>204</v>
      </c>
      <c r="H99" s="43">
        <f>+'Cons spec tot e finalizzati'!L99-'Cons spec tot e finalizzati'!M99</f>
        <v>219</v>
      </c>
      <c r="I99" s="43">
        <f>+'Cons spec tot e finalizzati'!N99-'Cons spec tot e finalizzati'!O99</f>
        <v>145</v>
      </c>
      <c r="J99" s="43">
        <f>+'Cons spec tot e finalizzati'!P99-'Cons spec tot e finalizzati'!Q99</f>
        <v>43</v>
      </c>
      <c r="K99" s="43">
        <f>+'Cons spec tot e finalizzati'!R99-'Cons spec tot e finalizzati'!S99</f>
        <v>63</v>
      </c>
      <c r="L99" s="43">
        <f>+'Cons spec tot e finalizzati'!T99-'Cons spec tot e finalizzati'!U99</f>
        <v>41</v>
      </c>
      <c r="M99" s="43">
        <f>+'Cons spec tot e finalizzati'!V99-'Cons spec tot e finalizzati'!W99</f>
        <v>13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s="2" customFormat="1" ht="12.75">
      <c r="A100" s="37"/>
      <c r="B100" s="10" t="s">
        <v>113</v>
      </c>
      <c r="C100" s="11"/>
      <c r="D100" s="43">
        <f>+'Cons spec tot e finalizzati'!D100-'Cons spec tot e finalizzati'!E100</f>
        <v>737</v>
      </c>
      <c r="E100" s="43">
        <f>+'Cons spec tot e finalizzati'!F100-'Cons spec tot e finalizzati'!G100</f>
        <v>197</v>
      </c>
      <c r="F100" s="43">
        <f>+'Cons spec tot e finalizzati'!H100-'Cons spec tot e finalizzati'!I100</f>
        <v>68</v>
      </c>
      <c r="G100" s="46">
        <f>+'Cons spec tot e finalizzati'!J100-'Cons spec tot e finalizzati'!K100</f>
        <v>56</v>
      </c>
      <c r="H100" s="43">
        <f>+'Cons spec tot e finalizzati'!L100-'Cons spec tot e finalizzati'!M100</f>
        <v>211</v>
      </c>
      <c r="I100" s="43">
        <f>+'Cons spec tot e finalizzati'!N100-'Cons spec tot e finalizzati'!O100</f>
        <v>150</v>
      </c>
      <c r="J100" s="43">
        <f>+'Cons spec tot e finalizzati'!P100-'Cons spec tot e finalizzati'!Q100</f>
        <v>12</v>
      </c>
      <c r="K100" s="43">
        <f>+'Cons spec tot e finalizzati'!R100-'Cons spec tot e finalizzati'!S100</f>
        <v>0</v>
      </c>
      <c r="L100" s="43">
        <f>+'Cons spec tot e finalizzati'!T100-'Cons spec tot e finalizzati'!U100</f>
        <v>0</v>
      </c>
      <c r="M100" s="43">
        <f>+'Cons spec tot e finalizzati'!V100-'Cons spec tot e finalizzati'!W100</f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s="2" customFormat="1" ht="12.75">
      <c r="A101" s="37"/>
      <c r="B101" s="10" t="s">
        <v>112</v>
      </c>
      <c r="C101" s="11"/>
      <c r="D101" s="43">
        <f>+'Cons spec tot e finalizzati'!D101-'Cons spec tot e finalizzati'!E101</f>
        <v>0</v>
      </c>
      <c r="E101" s="43">
        <f>+'Cons spec tot e finalizzati'!F101-'Cons spec tot e finalizzati'!G101</f>
        <v>0</v>
      </c>
      <c r="F101" s="43">
        <f>+'Cons spec tot e finalizzati'!H101-'Cons spec tot e finalizzati'!I101</f>
        <v>260</v>
      </c>
      <c r="G101" s="46">
        <f>+'Cons spec tot e finalizzati'!J101-'Cons spec tot e finalizzati'!K101</f>
        <v>319</v>
      </c>
      <c r="H101" s="43">
        <f>+'Cons spec tot e finalizzati'!L101-'Cons spec tot e finalizzati'!M101</f>
        <v>337</v>
      </c>
      <c r="I101" s="43">
        <f>+'Cons spec tot e finalizzati'!N101-'Cons spec tot e finalizzati'!O101</f>
        <v>270</v>
      </c>
      <c r="J101" s="43">
        <f>+'Cons spec tot e finalizzati'!P101-'Cons spec tot e finalizzati'!Q101</f>
        <v>156</v>
      </c>
      <c r="K101" s="43">
        <f>+'Cons spec tot e finalizzati'!R101-'Cons spec tot e finalizzati'!S101</f>
        <v>202</v>
      </c>
      <c r="L101" s="43">
        <f>+'Cons spec tot e finalizzati'!T101-'Cons spec tot e finalizzati'!U101</f>
        <v>76</v>
      </c>
      <c r="M101" s="43">
        <f>+'Cons spec tot e finalizzati'!V101-'Cons spec tot e finalizzati'!W101</f>
        <v>116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s="2" customFormat="1" ht="12.75">
      <c r="A102" s="37"/>
      <c r="B102" s="10" t="s">
        <v>114</v>
      </c>
      <c r="C102" s="11"/>
      <c r="D102" s="43">
        <f>+'Cons spec tot e finalizzati'!D102-'Cons spec tot e finalizzati'!E102</f>
        <v>0</v>
      </c>
      <c r="E102" s="43">
        <f>+'Cons spec tot e finalizzati'!F102-'Cons spec tot e finalizzati'!G102</f>
        <v>0</v>
      </c>
      <c r="F102" s="43">
        <f>+'Cons spec tot e finalizzati'!H102-'Cons spec tot e finalizzati'!I102</f>
        <v>103</v>
      </c>
      <c r="G102" s="46">
        <f>+'Cons spec tot e finalizzati'!J102-'Cons spec tot e finalizzati'!K102</f>
        <v>52</v>
      </c>
      <c r="H102" s="43">
        <f>+'Cons spec tot e finalizzati'!L102-'Cons spec tot e finalizzati'!M102</f>
        <v>16</v>
      </c>
      <c r="I102" s="43">
        <f>+'Cons spec tot e finalizzati'!N102-'Cons spec tot e finalizzati'!O102</f>
        <v>26</v>
      </c>
      <c r="J102" s="43">
        <f>+'Cons spec tot e finalizzati'!P102-'Cons spec tot e finalizzati'!Q102</f>
        <v>5</v>
      </c>
      <c r="K102" s="43">
        <f>+'Cons spec tot e finalizzati'!R102-'Cons spec tot e finalizzati'!S102</f>
        <v>142</v>
      </c>
      <c r="L102" s="43">
        <f>+'Cons spec tot e finalizzati'!T102-'Cons spec tot e finalizzati'!U102</f>
        <v>0</v>
      </c>
      <c r="M102" s="43">
        <f>+'Cons spec tot e finalizzati'!V102-'Cons spec tot e finalizzati'!W102</f>
        <v>0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s="2" customFormat="1" ht="12.75">
      <c r="A103" s="37"/>
      <c r="B103" s="10" t="s">
        <v>83</v>
      </c>
      <c r="C103" s="11"/>
      <c r="D103" s="43">
        <f>+'Cons spec tot e finalizzati'!D103-'Cons spec tot e finalizzati'!E103</f>
        <v>524</v>
      </c>
      <c r="E103" s="43">
        <f>+'Cons spec tot e finalizzati'!F103-'Cons spec tot e finalizzati'!G103</f>
        <v>918</v>
      </c>
      <c r="F103" s="43">
        <f>+'Cons spec tot e finalizzati'!H103-'Cons spec tot e finalizzati'!I103</f>
        <v>1426</v>
      </c>
      <c r="G103" s="46">
        <f>+'Cons spec tot e finalizzati'!J103-'Cons spec tot e finalizzati'!K103</f>
        <v>938</v>
      </c>
      <c r="H103" s="43">
        <f>+'Cons spec tot e finalizzati'!L103-'Cons spec tot e finalizzati'!M103</f>
        <v>743</v>
      </c>
      <c r="I103" s="43">
        <f>+'Cons spec tot e finalizzati'!N103-'Cons spec tot e finalizzati'!O103</f>
        <v>596</v>
      </c>
      <c r="J103" s="43">
        <f>+'Cons spec tot e finalizzati'!P103-'Cons spec tot e finalizzati'!Q103</f>
        <v>123</v>
      </c>
      <c r="K103" s="43">
        <f>+'Cons spec tot e finalizzati'!R103-'Cons spec tot e finalizzati'!S103</f>
        <v>314</v>
      </c>
      <c r="L103" s="43">
        <f>+'Cons spec tot e finalizzati'!T103-'Cons spec tot e finalizzati'!U103</f>
        <v>300</v>
      </c>
      <c r="M103" s="43">
        <f>+'Cons spec tot e finalizzati'!V103-'Cons spec tot e finalizzati'!W103</f>
        <v>247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s="2" customFormat="1" ht="12.75">
      <c r="A104" s="37"/>
      <c r="B104" s="10" t="s">
        <v>63</v>
      </c>
      <c r="C104" s="11"/>
      <c r="D104" s="43">
        <f>+'Cons spec tot e finalizzati'!D104-'Cons spec tot e finalizzati'!E104</f>
        <v>0</v>
      </c>
      <c r="E104" s="43">
        <f>+'Cons spec tot e finalizzati'!F104-'Cons spec tot e finalizzati'!G104</f>
        <v>0</v>
      </c>
      <c r="F104" s="43">
        <f>+'Cons spec tot e finalizzati'!H104-'Cons spec tot e finalizzati'!I104</f>
        <v>694</v>
      </c>
      <c r="G104" s="46">
        <f>+'Cons spec tot e finalizzati'!J104-'Cons spec tot e finalizzati'!K104</f>
        <v>337</v>
      </c>
      <c r="H104" s="43">
        <f>+'Cons spec tot e finalizzati'!L104-'Cons spec tot e finalizzati'!M104</f>
        <v>494</v>
      </c>
      <c r="I104" s="43">
        <f>+'Cons spec tot e finalizzati'!N104-'Cons spec tot e finalizzati'!O104</f>
        <v>445</v>
      </c>
      <c r="J104" s="43">
        <f>+'Cons spec tot e finalizzati'!P104-'Cons spec tot e finalizzati'!Q104</f>
        <v>160</v>
      </c>
      <c r="K104" s="43">
        <f>+'Cons spec tot e finalizzati'!R104-'Cons spec tot e finalizzati'!S104</f>
        <v>126</v>
      </c>
      <c r="L104" s="43">
        <f>+'Cons spec tot e finalizzati'!T104-'Cons spec tot e finalizzati'!U104</f>
        <v>65</v>
      </c>
      <c r="M104" s="43">
        <f>+'Cons spec tot e finalizzati'!V104-'Cons spec tot e finalizzati'!W104</f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s="2" customFormat="1" ht="12.75">
      <c r="A105" s="37"/>
      <c r="B105" s="10" t="s">
        <v>64</v>
      </c>
      <c r="C105" s="11"/>
      <c r="D105" s="43">
        <f>+'Cons spec tot e finalizzati'!D105-'Cons spec tot e finalizzati'!E105</f>
        <v>892</v>
      </c>
      <c r="E105" s="43">
        <f>+'Cons spec tot e finalizzati'!F105-'Cons spec tot e finalizzati'!G105</f>
        <v>988</v>
      </c>
      <c r="F105" s="43">
        <f>+'Cons spec tot e finalizzati'!H105-'Cons spec tot e finalizzati'!I105</f>
        <v>484</v>
      </c>
      <c r="G105" s="46">
        <f>+'Cons spec tot e finalizzati'!J105-'Cons spec tot e finalizzati'!K105</f>
        <v>576</v>
      </c>
      <c r="H105" s="43">
        <f>+'Cons spec tot e finalizzati'!L105-'Cons spec tot e finalizzati'!M105</f>
        <v>0</v>
      </c>
      <c r="I105" s="43">
        <f>+'Cons spec tot e finalizzati'!N105-'Cons spec tot e finalizzati'!O105</f>
        <v>12</v>
      </c>
      <c r="J105" s="43">
        <f>+'Cons spec tot e finalizzati'!P105-'Cons spec tot e finalizzati'!Q105</f>
        <v>0</v>
      </c>
      <c r="K105" s="43">
        <f>+'Cons spec tot e finalizzati'!R105-'Cons spec tot e finalizzati'!S105</f>
        <v>0</v>
      </c>
      <c r="L105" s="43">
        <f>+'Cons spec tot e finalizzati'!T105-'Cons spec tot e finalizzati'!U105</f>
        <v>10</v>
      </c>
      <c r="M105" s="43">
        <f>+'Cons spec tot e finalizzati'!V105-'Cons spec tot e finalizzati'!W105</f>
        <v>8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13" s="22" customFormat="1" ht="12.75">
      <c r="A106" s="134"/>
      <c r="B106" s="16" t="s">
        <v>65</v>
      </c>
      <c r="C106" s="16"/>
      <c r="D106" s="61">
        <f>+'Cons spec tot e finalizzati'!D106-'Cons spec tot e finalizzati'!E106</f>
        <v>195</v>
      </c>
      <c r="E106" s="61">
        <f>+'Cons spec tot e finalizzati'!F106-'Cons spec tot e finalizzati'!G106</f>
        <v>255</v>
      </c>
      <c r="F106" s="61">
        <f>+'Cons spec tot e finalizzati'!H106-'Cons spec tot e finalizzati'!I106</f>
        <v>280</v>
      </c>
      <c r="G106" s="61">
        <f>+'Cons spec tot e finalizzati'!J106-'Cons spec tot e finalizzati'!K106</f>
        <v>286</v>
      </c>
      <c r="H106" s="61">
        <f>+'Cons spec tot e finalizzati'!L106-'Cons spec tot e finalizzati'!M106</f>
        <v>306</v>
      </c>
      <c r="I106" s="61">
        <f>+'Cons spec tot e finalizzati'!N106-'Cons spec tot e finalizzati'!O106</f>
        <v>256</v>
      </c>
      <c r="J106" s="61">
        <f>+'Cons spec tot e finalizzati'!P106-'Cons spec tot e finalizzati'!Q106</f>
        <v>83</v>
      </c>
      <c r="K106" s="61">
        <f>+'Cons spec tot e finalizzati'!R106-'Cons spec tot e finalizzati'!S106</f>
        <v>50</v>
      </c>
      <c r="L106" s="61">
        <f>+'Cons spec tot e finalizzati'!T106-'Cons spec tot e finalizzati'!U106</f>
        <v>99</v>
      </c>
      <c r="M106" s="61">
        <f>+'Cons spec tot e finalizzati'!V106-'Cons spec tot e finalizzati'!W106</f>
        <v>85</v>
      </c>
    </row>
    <row r="107" spans="1:13" s="22" customFormat="1" ht="12.75">
      <c r="A107" s="113" t="s">
        <v>155</v>
      </c>
      <c r="B107" s="93"/>
      <c r="C107" s="93"/>
      <c r="D107" s="112">
        <f>+'Cons spec tot e finalizzati'!D107-'Cons spec tot e finalizzati'!E107</f>
        <v>1162</v>
      </c>
      <c r="E107" s="112">
        <f>+'Cons spec tot e finalizzati'!F107-'Cons spec tot e finalizzati'!G107</f>
        <v>1503</v>
      </c>
      <c r="F107" s="112">
        <f>+'Cons spec tot e finalizzati'!H107-'Cons spec tot e finalizzati'!I107</f>
        <v>2100</v>
      </c>
      <c r="G107" s="112">
        <f>+'Cons spec tot e finalizzati'!J107-'Cons spec tot e finalizzati'!K107</f>
        <v>3376</v>
      </c>
      <c r="H107" s="112">
        <f>+'Cons spec tot e finalizzati'!L107-'Cons spec tot e finalizzati'!M107</f>
        <v>4789</v>
      </c>
      <c r="I107" s="112">
        <f>+'Cons spec tot e finalizzati'!N107-'Cons spec tot e finalizzati'!O107</f>
        <v>5158</v>
      </c>
      <c r="J107" s="112">
        <f>+'Cons spec tot e finalizzati'!P107-'Cons spec tot e finalizzati'!Q107</f>
        <v>2983</v>
      </c>
      <c r="K107" s="112">
        <f>+'Cons spec tot e finalizzati'!R107-'Cons spec tot e finalizzati'!S107</f>
        <v>4135</v>
      </c>
      <c r="L107" s="112">
        <f>+'Cons spec tot e finalizzati'!T107-'Cons spec tot e finalizzati'!U107</f>
        <v>5912</v>
      </c>
      <c r="M107" s="112">
        <f>+'Cons spec tot e finalizzati'!V107-'Cons spec tot e finalizzati'!W107</f>
        <v>5558</v>
      </c>
    </row>
    <row r="108" spans="1:32" s="2" customFormat="1" ht="12.75">
      <c r="A108" s="120" t="s">
        <v>156</v>
      </c>
      <c r="B108" s="121"/>
      <c r="C108" s="122"/>
      <c r="D108" s="58">
        <f>+'Cons spec tot e finalizzati'!D108-'Cons spec tot e finalizzati'!E108</f>
        <v>162</v>
      </c>
      <c r="E108" s="58">
        <f>+'Cons spec tot e finalizzati'!F108-'Cons spec tot e finalizzati'!G108</f>
        <v>169</v>
      </c>
      <c r="F108" s="69">
        <f>+'Cons spec tot e finalizzati'!H108-'Cons spec tot e finalizzati'!I108</f>
        <v>244</v>
      </c>
      <c r="G108" s="69">
        <f>+'Cons spec tot e finalizzati'!J108-'Cons spec tot e finalizzati'!K108</f>
        <v>304</v>
      </c>
      <c r="H108" s="58">
        <f>+'Cons spec tot e finalizzati'!L108-'Cons spec tot e finalizzati'!M108</f>
        <v>227</v>
      </c>
      <c r="I108" s="58">
        <f>+'Cons spec tot e finalizzati'!N108-'Cons spec tot e finalizzati'!O108</f>
        <v>246</v>
      </c>
      <c r="J108" s="58">
        <f>+'Cons spec tot e finalizzati'!P108-'Cons spec tot e finalizzati'!Q108</f>
        <v>146</v>
      </c>
      <c r="K108" s="58">
        <f>+'Cons spec tot e finalizzati'!R108-'Cons spec tot e finalizzati'!S108</f>
        <v>138</v>
      </c>
      <c r="L108" s="58">
        <f>+'Cons spec tot e finalizzati'!T108-'Cons spec tot e finalizzati'!U108</f>
        <v>157</v>
      </c>
      <c r="M108" s="58">
        <f>+'Cons spec tot e finalizzati'!V108-'Cons spec tot e finalizzati'!W108</f>
        <v>159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s="2" customFormat="1" ht="12.75">
      <c r="A109" s="120" t="s">
        <v>43</v>
      </c>
      <c r="B109" s="121"/>
      <c r="C109" s="122"/>
      <c r="D109" s="58">
        <f>+'Cons spec tot e finalizzati'!D109-'Cons spec tot e finalizzati'!E109</f>
        <v>954</v>
      </c>
      <c r="E109" s="58">
        <f>+'Cons spec tot e finalizzati'!F109-'Cons spec tot e finalizzati'!G109</f>
        <v>1304</v>
      </c>
      <c r="F109" s="69">
        <f>+'Cons spec tot e finalizzati'!H109-'Cons spec tot e finalizzati'!I109</f>
        <v>1852</v>
      </c>
      <c r="G109" s="69">
        <f>+'Cons spec tot e finalizzati'!J109-'Cons spec tot e finalizzati'!K109</f>
        <v>3046</v>
      </c>
      <c r="H109" s="58">
        <f>+'Cons spec tot e finalizzati'!L109-'Cons spec tot e finalizzati'!M109</f>
        <v>4516</v>
      </c>
      <c r="I109" s="58">
        <f>+'Cons spec tot e finalizzati'!N109-'Cons spec tot e finalizzati'!O109</f>
        <v>4841</v>
      </c>
      <c r="J109" s="58">
        <f>+'Cons spec tot e finalizzati'!P109-'Cons spec tot e finalizzati'!Q109</f>
        <v>2727</v>
      </c>
      <c r="K109" s="58">
        <f>+'Cons spec tot e finalizzati'!R109-'Cons spec tot e finalizzati'!S109</f>
        <v>3989</v>
      </c>
      <c r="L109" s="58">
        <f>+'Cons spec tot e finalizzati'!T109-'Cons spec tot e finalizzati'!U109</f>
        <v>5750</v>
      </c>
      <c r="M109" s="58">
        <f>+'Cons spec tot e finalizzati'!V109-'Cons spec tot e finalizzati'!W109</f>
        <v>5395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s="2" customFormat="1" ht="12.75">
      <c r="A110" s="96" t="s">
        <v>157</v>
      </c>
      <c r="B110" s="91"/>
      <c r="C110" s="91"/>
      <c r="D110" s="55">
        <f>+'Cons spec tot e finalizzati'!D110-'Cons spec tot e finalizzati'!E110</f>
        <v>46</v>
      </c>
      <c r="E110" s="55">
        <f>+'Cons spec tot e finalizzati'!F110-'Cons spec tot e finalizzati'!G110</f>
        <v>30</v>
      </c>
      <c r="F110" s="55">
        <f>+'Cons spec tot e finalizzati'!H110-'Cons spec tot e finalizzati'!I110</f>
        <v>4</v>
      </c>
      <c r="G110" s="55">
        <f>+'Cons spec tot e finalizzati'!J110-'Cons spec tot e finalizzati'!K110</f>
        <v>26</v>
      </c>
      <c r="H110" s="55">
        <f>+'Cons spec tot e finalizzati'!L110-'Cons spec tot e finalizzati'!M110</f>
        <v>46</v>
      </c>
      <c r="I110" s="55">
        <f>+'Cons spec tot e finalizzati'!N110-'Cons spec tot e finalizzati'!O110</f>
        <v>71</v>
      </c>
      <c r="J110" s="55">
        <f>+'Cons spec tot e finalizzati'!P110-'Cons spec tot e finalizzati'!Q110</f>
        <v>110</v>
      </c>
      <c r="K110" s="55">
        <f>+'Cons spec tot e finalizzati'!R110-'Cons spec tot e finalizzati'!S110</f>
        <v>8</v>
      </c>
      <c r="L110" s="55">
        <f>+'Cons spec tot e finalizzati'!T110-'Cons spec tot e finalizzati'!U110</f>
        <v>5</v>
      </c>
      <c r="M110" s="55">
        <f>+'Cons spec tot e finalizzati'!V110-'Cons spec tot e finalizzati'!W110</f>
        <v>4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s="2" customFormat="1" ht="12.75">
      <c r="A111" s="37"/>
      <c r="B111" s="10" t="s">
        <v>158</v>
      </c>
      <c r="C111" s="11"/>
      <c r="D111" s="43">
        <f>+'Cons spec tot e finalizzati'!D111-'Cons spec tot e finalizzati'!E111</f>
        <v>0</v>
      </c>
      <c r="E111" s="43">
        <f>+'Cons spec tot e finalizzati'!F111-'Cons spec tot e finalizzati'!G111</f>
        <v>0</v>
      </c>
      <c r="F111" s="43">
        <f>+'Cons spec tot e finalizzati'!H111-'Cons spec tot e finalizzati'!I111</f>
        <v>0</v>
      </c>
      <c r="G111" s="46">
        <f>+'Cons spec tot e finalizzati'!J111-'Cons spec tot e finalizzati'!K111</f>
        <v>0</v>
      </c>
      <c r="H111" s="43">
        <f>+'Cons spec tot e finalizzati'!L111-'Cons spec tot e finalizzati'!M111</f>
        <v>7</v>
      </c>
      <c r="I111" s="43">
        <f>+'Cons spec tot e finalizzati'!N111-'Cons spec tot e finalizzati'!O111</f>
        <v>6</v>
      </c>
      <c r="J111" s="43">
        <f>+'Cons spec tot e finalizzati'!P111-'Cons spec tot e finalizzati'!Q111</f>
        <v>5</v>
      </c>
      <c r="K111" s="43">
        <f>+'Cons spec tot e finalizzati'!R111-'Cons spec tot e finalizzati'!S111</f>
        <v>6</v>
      </c>
      <c r="L111" s="43">
        <f>+'Cons spec tot e finalizzati'!T111-'Cons spec tot e finalizzati'!U111</f>
        <v>5</v>
      </c>
      <c r="M111" s="43">
        <f>+'Cons spec tot e finalizzati'!V111-'Cons spec tot e finalizzati'!W111</f>
        <v>4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s="2" customFormat="1" ht="12.75">
      <c r="A112" s="37"/>
      <c r="B112" s="10" t="s">
        <v>4</v>
      </c>
      <c r="C112" s="11"/>
      <c r="D112" s="43">
        <f>+'Cons spec tot e finalizzati'!D112-'Cons spec tot e finalizzati'!E112</f>
        <v>46</v>
      </c>
      <c r="E112" s="43">
        <f>+'Cons spec tot e finalizzati'!F112-'Cons spec tot e finalizzati'!G112</f>
        <v>30</v>
      </c>
      <c r="F112" s="43">
        <f>+'Cons spec tot e finalizzati'!H112-'Cons spec tot e finalizzati'!I112</f>
        <v>4</v>
      </c>
      <c r="G112" s="46">
        <f>+'Cons spec tot e finalizzati'!J112-'Cons spec tot e finalizzati'!K112</f>
        <v>20</v>
      </c>
      <c r="H112" s="43">
        <f>+'Cons spec tot e finalizzati'!L112-'Cons spec tot e finalizzati'!M112</f>
        <v>0</v>
      </c>
      <c r="I112" s="43">
        <f>+'Cons spec tot e finalizzati'!N112-'Cons spec tot e finalizzati'!O112</f>
        <v>0</v>
      </c>
      <c r="J112" s="43">
        <f>+'Cons spec tot e finalizzati'!P112-'Cons spec tot e finalizzati'!Q112</f>
        <v>0</v>
      </c>
      <c r="K112" s="43">
        <f>+'Cons spec tot e finalizzati'!R112-'Cons spec tot e finalizzati'!S112</f>
        <v>0</v>
      </c>
      <c r="L112" s="43">
        <f>+'Cons spec tot e finalizzati'!T112-'Cons spec tot e finalizzati'!U112</f>
        <v>0</v>
      </c>
      <c r="M112" s="43">
        <f>+'Cons spec tot e finalizzati'!V112-'Cons spec tot e finalizzati'!W112</f>
        <v>0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13" s="22" customFormat="1" ht="12.75">
      <c r="A113" s="134"/>
      <c r="B113" s="16" t="s">
        <v>5</v>
      </c>
      <c r="C113" s="16"/>
      <c r="D113" s="61">
        <f>+'Cons spec tot e finalizzati'!D113-'Cons spec tot e finalizzati'!E113</f>
        <v>0</v>
      </c>
      <c r="E113" s="61">
        <f>+'Cons spec tot e finalizzati'!F113-'Cons spec tot e finalizzati'!G113</f>
        <v>0</v>
      </c>
      <c r="F113" s="61">
        <f>+'Cons spec tot e finalizzati'!H113-'Cons spec tot e finalizzati'!I113</f>
        <v>0</v>
      </c>
      <c r="G113" s="61">
        <f>+'Cons spec tot e finalizzati'!J113-'Cons spec tot e finalizzati'!K113</f>
        <v>6</v>
      </c>
      <c r="H113" s="61">
        <f>+'Cons spec tot e finalizzati'!L113-'Cons spec tot e finalizzati'!M113</f>
        <v>39</v>
      </c>
      <c r="I113" s="61">
        <f>+'Cons spec tot e finalizzati'!N113-'Cons spec tot e finalizzati'!O113</f>
        <v>65</v>
      </c>
      <c r="J113" s="61">
        <f>+'Cons spec tot e finalizzati'!P113-'Cons spec tot e finalizzati'!Q113</f>
        <v>105</v>
      </c>
      <c r="K113" s="61">
        <f>+'Cons spec tot e finalizzati'!R113-'Cons spec tot e finalizzati'!S113</f>
        <v>2</v>
      </c>
      <c r="L113" s="61">
        <f>+'Cons spec tot e finalizzati'!T113-'Cons spec tot e finalizzati'!U113</f>
        <v>0</v>
      </c>
      <c r="M113" s="61">
        <f>+'Cons spec tot e finalizzati'!V113-'Cons spec tot e finalizzati'!W113</f>
        <v>0</v>
      </c>
    </row>
    <row r="114" spans="1:13" s="22" customFormat="1" ht="12.75">
      <c r="A114" s="113" t="s">
        <v>159</v>
      </c>
      <c r="B114" s="93"/>
      <c r="C114" s="93"/>
      <c r="D114" s="112">
        <f>+'Cons spec tot e finalizzati'!D114-'Cons spec tot e finalizzati'!E114</f>
        <v>116</v>
      </c>
      <c r="E114" s="112">
        <f>+'Cons spec tot e finalizzati'!F114-'Cons spec tot e finalizzati'!G114</f>
        <v>80</v>
      </c>
      <c r="F114" s="112">
        <f>+'Cons spec tot e finalizzati'!H114-'Cons spec tot e finalizzati'!I114</f>
        <v>107</v>
      </c>
      <c r="G114" s="112">
        <f>+'Cons spec tot e finalizzati'!J114-'Cons spec tot e finalizzati'!K114</f>
        <v>58</v>
      </c>
      <c r="H114" s="112">
        <f>+'Cons spec tot e finalizzati'!L114-'Cons spec tot e finalizzati'!M114</f>
        <v>46</v>
      </c>
      <c r="I114" s="112">
        <f>+'Cons spec tot e finalizzati'!N114-'Cons spec tot e finalizzati'!O114</f>
        <v>54</v>
      </c>
      <c r="J114" s="112">
        <f>+'Cons spec tot e finalizzati'!P114-'Cons spec tot e finalizzati'!Q114</f>
        <v>33</v>
      </c>
      <c r="K114" s="112">
        <f>+'Cons spec tot e finalizzati'!R114-'Cons spec tot e finalizzati'!S114</f>
        <v>33</v>
      </c>
      <c r="L114" s="112">
        <f>+'Cons spec tot e finalizzati'!T114-'Cons spec tot e finalizzati'!U114</f>
        <v>43</v>
      </c>
      <c r="M114" s="112">
        <f>+'Cons spec tot e finalizzati'!V114-'Cons spec tot e finalizzati'!W114</f>
        <v>38</v>
      </c>
    </row>
    <row r="115" spans="1:32" s="2" customFormat="1" ht="12.75">
      <c r="A115" s="120" t="s">
        <v>160</v>
      </c>
      <c r="B115" s="121"/>
      <c r="C115" s="122"/>
      <c r="D115" s="58">
        <f>+'Cons spec tot e finalizzati'!D115-'Cons spec tot e finalizzati'!E115</f>
        <v>116</v>
      </c>
      <c r="E115" s="58">
        <f>+'Cons spec tot e finalizzati'!F115-'Cons spec tot e finalizzati'!G115</f>
        <v>80</v>
      </c>
      <c r="F115" s="69">
        <f>+'Cons spec tot e finalizzati'!H115-'Cons spec tot e finalizzati'!I115</f>
        <v>107</v>
      </c>
      <c r="G115" s="69">
        <f>+'Cons spec tot e finalizzati'!J115-'Cons spec tot e finalizzati'!K115</f>
        <v>58</v>
      </c>
      <c r="H115" s="58">
        <f>+'Cons spec tot e finalizzati'!L115-'Cons spec tot e finalizzati'!M115</f>
        <v>37</v>
      </c>
      <c r="I115" s="58">
        <f>+'Cons spec tot e finalizzati'!N115-'Cons spec tot e finalizzati'!O115</f>
        <v>45</v>
      </c>
      <c r="J115" s="58">
        <f>+'Cons spec tot e finalizzati'!P115-'Cons spec tot e finalizzati'!Q115</f>
        <v>32</v>
      </c>
      <c r="K115" s="58">
        <f>+'Cons spec tot e finalizzati'!R115-'Cons spec tot e finalizzati'!S115</f>
        <v>33</v>
      </c>
      <c r="L115" s="58">
        <f>+'Cons spec tot e finalizzati'!T115-'Cons spec tot e finalizzati'!U115</f>
        <v>43</v>
      </c>
      <c r="M115" s="58">
        <f>+'Cons spec tot e finalizzati'!V115-'Cons spec tot e finalizzati'!W115</f>
        <v>38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s="2" customFormat="1" ht="12.75">
      <c r="A116" s="120" t="s">
        <v>161</v>
      </c>
      <c r="B116" s="121"/>
      <c r="C116" s="122"/>
      <c r="D116" s="58">
        <f>+'Cons spec tot e finalizzati'!D116-'Cons spec tot e finalizzati'!E116</f>
        <v>0</v>
      </c>
      <c r="E116" s="58">
        <f>+'Cons spec tot e finalizzati'!F116-'Cons spec tot e finalizzati'!G116</f>
        <v>0</v>
      </c>
      <c r="F116" s="69">
        <f>+'Cons spec tot e finalizzati'!H116-'Cons spec tot e finalizzati'!I116</f>
        <v>0</v>
      </c>
      <c r="G116" s="69">
        <f>+'Cons spec tot e finalizzati'!J116-'Cons spec tot e finalizzati'!K116</f>
        <v>0</v>
      </c>
      <c r="H116" s="58">
        <f>+'Cons spec tot e finalizzati'!L116-'Cons spec tot e finalizzati'!M116</f>
        <v>7</v>
      </c>
      <c r="I116" s="58">
        <f>+'Cons spec tot e finalizzati'!N116-'Cons spec tot e finalizzati'!O116</f>
        <v>2</v>
      </c>
      <c r="J116" s="58">
        <f>+'Cons spec tot e finalizzati'!P116-'Cons spec tot e finalizzati'!Q116</f>
        <v>0</v>
      </c>
      <c r="K116" s="58">
        <f>+'Cons spec tot e finalizzati'!R116-'Cons spec tot e finalizzati'!S116</f>
        <v>0</v>
      </c>
      <c r="L116" s="58">
        <f>+'Cons spec tot e finalizzati'!T116-'Cons spec tot e finalizzati'!U116</f>
        <v>0</v>
      </c>
      <c r="M116" s="58">
        <f>+'Cons spec tot e finalizzati'!V116-'Cons spec tot e finalizzati'!W116</f>
        <v>0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s="2" customFormat="1" ht="12.75">
      <c r="A117" s="120" t="s">
        <v>40</v>
      </c>
      <c r="B117" s="121"/>
      <c r="C117" s="122"/>
      <c r="D117" s="58">
        <f>+'Cons spec tot e finalizzati'!D117-'Cons spec tot e finalizzati'!E117</f>
        <v>0</v>
      </c>
      <c r="E117" s="58">
        <f>+'Cons spec tot e finalizzati'!F117-'Cons spec tot e finalizzati'!G117</f>
        <v>0</v>
      </c>
      <c r="F117" s="69">
        <f>+'Cons spec tot e finalizzati'!H117-'Cons spec tot e finalizzati'!I117</f>
        <v>0</v>
      </c>
      <c r="G117" s="69">
        <f>+'Cons spec tot e finalizzati'!J117-'Cons spec tot e finalizzati'!K117</f>
        <v>0</v>
      </c>
      <c r="H117" s="58">
        <f>+'Cons spec tot e finalizzati'!L117-'Cons spec tot e finalizzati'!M117</f>
        <v>2</v>
      </c>
      <c r="I117" s="58">
        <f>+'Cons spec tot e finalizzati'!N117-'Cons spec tot e finalizzati'!O117</f>
        <v>7</v>
      </c>
      <c r="J117" s="58">
        <f>+'Cons spec tot e finalizzati'!P117-'Cons spec tot e finalizzati'!Q117</f>
        <v>1</v>
      </c>
      <c r="K117" s="58">
        <f>+'Cons spec tot e finalizzati'!R117-'Cons spec tot e finalizzati'!S117</f>
        <v>0</v>
      </c>
      <c r="L117" s="58">
        <f>+'Cons spec tot e finalizzati'!T117-'Cons spec tot e finalizzati'!U117</f>
        <v>0</v>
      </c>
      <c r="M117" s="58">
        <f>+'Cons spec tot e finalizzati'!V117-'Cons spec tot e finalizzati'!W117</f>
        <v>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13" s="22" customFormat="1" ht="12.75">
      <c r="A118" s="113" t="s">
        <v>162</v>
      </c>
      <c r="B118" s="93"/>
      <c r="C118" s="93"/>
      <c r="D118" s="112">
        <f>+'Cons spec tot e finalizzati'!D118-'Cons spec tot e finalizzati'!E118</f>
        <v>11492</v>
      </c>
      <c r="E118" s="112">
        <f>+'Cons spec tot e finalizzati'!F118-'Cons spec tot e finalizzati'!G118</f>
        <v>10400.18199941124</v>
      </c>
      <c r="F118" s="112">
        <f>+'Cons spec tot e finalizzati'!H118-'Cons spec tot e finalizzati'!I118</f>
        <v>10188</v>
      </c>
      <c r="G118" s="112">
        <f>+'Cons spec tot e finalizzati'!J118-'Cons spec tot e finalizzati'!K118</f>
        <v>10275</v>
      </c>
      <c r="H118" s="112">
        <f>+'Cons spec tot e finalizzati'!L118-'Cons spec tot e finalizzati'!M118</f>
        <v>10074</v>
      </c>
      <c r="I118" s="112">
        <f>+'Cons spec tot e finalizzati'!N118-'Cons spec tot e finalizzati'!O118</f>
        <v>9533</v>
      </c>
      <c r="J118" s="112">
        <f>+'Cons spec tot e finalizzati'!P118-'Cons spec tot e finalizzati'!Q118</f>
        <v>7136</v>
      </c>
      <c r="K118" s="112">
        <f>+'Cons spec tot e finalizzati'!R118-'Cons spec tot e finalizzati'!S118</f>
        <v>7087</v>
      </c>
      <c r="L118" s="112">
        <f>+'Cons spec tot e finalizzati'!T118-'Cons spec tot e finalizzati'!U118</f>
        <v>6911</v>
      </c>
      <c r="M118" s="112">
        <f>+'Cons spec tot e finalizzati'!V118-'Cons spec tot e finalizzati'!W118</f>
        <v>5988</v>
      </c>
    </row>
    <row r="119" spans="1:32" s="2" customFormat="1" ht="12.75">
      <c r="A119" s="96" t="s">
        <v>163</v>
      </c>
      <c r="B119" s="91"/>
      <c r="C119" s="91"/>
      <c r="D119" s="55">
        <f>+'Cons spec tot e finalizzati'!D119-'Cons spec tot e finalizzati'!E119</f>
        <v>9104</v>
      </c>
      <c r="E119" s="55">
        <f>+'Cons spec tot e finalizzati'!F119-'Cons spec tot e finalizzati'!G119</f>
        <v>7903.412395998492</v>
      </c>
      <c r="F119" s="55">
        <f>+'Cons spec tot e finalizzati'!H119-'Cons spec tot e finalizzati'!I119</f>
        <v>7893</v>
      </c>
      <c r="G119" s="55">
        <f>+'Cons spec tot e finalizzati'!J119-'Cons spec tot e finalizzati'!K119</f>
        <v>8031</v>
      </c>
      <c r="H119" s="55">
        <f>+'Cons spec tot e finalizzati'!L119-'Cons spec tot e finalizzati'!M119</f>
        <v>8218</v>
      </c>
      <c r="I119" s="55">
        <f>+'Cons spec tot e finalizzati'!N119-'Cons spec tot e finalizzati'!O119</f>
        <v>7619</v>
      </c>
      <c r="J119" s="55">
        <f>+'Cons spec tot e finalizzati'!P119-'Cons spec tot e finalizzati'!Q119</f>
        <v>6189</v>
      </c>
      <c r="K119" s="55">
        <f>+'Cons spec tot e finalizzati'!R119-'Cons spec tot e finalizzati'!S119</f>
        <v>6165</v>
      </c>
      <c r="L119" s="55">
        <f>+'Cons spec tot e finalizzati'!T119-'Cons spec tot e finalizzati'!U119</f>
        <v>5953</v>
      </c>
      <c r="M119" s="55">
        <f>+'Cons spec tot e finalizzati'!V119-'Cons spec tot e finalizzati'!W119</f>
        <v>5115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s="2" customFormat="1" ht="12.75">
      <c r="A120" s="37"/>
      <c r="B120" s="10" t="s">
        <v>4</v>
      </c>
      <c r="C120" s="11"/>
      <c r="D120" s="43">
        <f>+'Cons spec tot e finalizzati'!D120-'Cons spec tot e finalizzati'!E120</f>
        <v>52</v>
      </c>
      <c r="E120" s="43">
        <f>+'Cons spec tot e finalizzati'!F120-'Cons spec tot e finalizzati'!G120</f>
        <v>40</v>
      </c>
      <c r="F120" s="43">
        <f>+'Cons spec tot e finalizzati'!H120-'Cons spec tot e finalizzati'!I120</f>
        <v>174</v>
      </c>
      <c r="G120" s="46">
        <f>+'Cons spec tot e finalizzati'!J120-'Cons spec tot e finalizzati'!K120</f>
        <v>167</v>
      </c>
      <c r="H120" s="43">
        <f>+'Cons spec tot e finalizzati'!L120-'Cons spec tot e finalizzati'!M120</f>
        <v>531</v>
      </c>
      <c r="I120" s="43">
        <f>+'Cons spec tot e finalizzati'!N120-'Cons spec tot e finalizzati'!O120</f>
        <v>174</v>
      </c>
      <c r="J120" s="43">
        <f>+'Cons spec tot e finalizzati'!P120-'Cons spec tot e finalizzati'!Q120</f>
        <v>68</v>
      </c>
      <c r="K120" s="43">
        <f>+'Cons spec tot e finalizzati'!R120-'Cons spec tot e finalizzati'!S120</f>
        <v>72</v>
      </c>
      <c r="L120" s="43">
        <f>+'Cons spec tot e finalizzati'!T120-'Cons spec tot e finalizzati'!U120</f>
        <v>115</v>
      </c>
      <c r="M120" s="43">
        <f>+'Cons spec tot e finalizzati'!V120-'Cons spec tot e finalizzati'!W120</f>
        <v>95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s="2" customFormat="1" ht="12.75">
      <c r="A121" s="37"/>
      <c r="B121" s="10" t="s">
        <v>45</v>
      </c>
      <c r="C121" s="11"/>
      <c r="D121" s="43">
        <f>+'Cons spec tot e finalizzati'!D121-'Cons spec tot e finalizzati'!E121</f>
        <v>3266</v>
      </c>
      <c r="E121" s="43">
        <f>+'Cons spec tot e finalizzati'!F121-'Cons spec tot e finalizzati'!G121</f>
        <v>2383</v>
      </c>
      <c r="F121" s="43">
        <f>+'Cons spec tot e finalizzati'!H121-'Cons spec tot e finalizzati'!I121</f>
        <v>2614</v>
      </c>
      <c r="G121" s="46">
        <f>+'Cons spec tot e finalizzati'!J121-'Cons spec tot e finalizzati'!K121</f>
        <v>2781</v>
      </c>
      <c r="H121" s="43">
        <f>+'Cons spec tot e finalizzati'!L121-'Cons spec tot e finalizzati'!M121</f>
        <v>2552</v>
      </c>
      <c r="I121" s="43">
        <f>+'Cons spec tot e finalizzati'!N121-'Cons spec tot e finalizzati'!O121</f>
        <v>2974</v>
      </c>
      <c r="J121" s="43">
        <f>+'Cons spec tot e finalizzati'!P121-'Cons spec tot e finalizzati'!Q121</f>
        <v>3097</v>
      </c>
      <c r="K121" s="43">
        <f>+'Cons spec tot e finalizzati'!R121-'Cons spec tot e finalizzati'!S121</f>
        <v>3368</v>
      </c>
      <c r="L121" s="43">
        <f>+'Cons spec tot e finalizzati'!T121-'Cons spec tot e finalizzati'!U121</f>
        <v>3160</v>
      </c>
      <c r="M121" s="43">
        <f>+'Cons spec tot e finalizzati'!V121-'Cons spec tot e finalizzati'!W121</f>
        <v>2854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13" s="22" customFormat="1" ht="12.75">
      <c r="A122" s="134"/>
      <c r="B122" s="16" t="s">
        <v>10</v>
      </c>
      <c r="C122" s="16"/>
      <c r="D122" s="61">
        <f>+'Cons spec tot e finalizzati'!D122-'Cons spec tot e finalizzati'!E122</f>
        <v>5786</v>
      </c>
      <c r="E122" s="61">
        <f>+'Cons spec tot e finalizzati'!F122-'Cons spec tot e finalizzati'!G122</f>
        <v>5480.412395998492</v>
      </c>
      <c r="F122" s="61">
        <f>+'Cons spec tot e finalizzati'!H122-'Cons spec tot e finalizzati'!I122</f>
        <v>5105</v>
      </c>
      <c r="G122" s="61">
        <f>+'Cons spec tot e finalizzati'!J122-'Cons spec tot e finalizzati'!K122</f>
        <v>5083</v>
      </c>
      <c r="H122" s="61">
        <f>+'Cons spec tot e finalizzati'!L122-'Cons spec tot e finalizzati'!M122</f>
        <v>5135</v>
      </c>
      <c r="I122" s="61">
        <f>+'Cons spec tot e finalizzati'!N122-'Cons spec tot e finalizzati'!O122</f>
        <v>4471</v>
      </c>
      <c r="J122" s="61">
        <f>+'Cons spec tot e finalizzati'!P122-'Cons spec tot e finalizzati'!Q122</f>
        <v>3024</v>
      </c>
      <c r="K122" s="61">
        <f>+'Cons spec tot e finalizzati'!R122-'Cons spec tot e finalizzati'!S122</f>
        <v>2725</v>
      </c>
      <c r="L122" s="61">
        <f>+'Cons spec tot e finalizzati'!T122-'Cons spec tot e finalizzati'!U122</f>
        <v>2678</v>
      </c>
      <c r="M122" s="61">
        <f>+'Cons spec tot e finalizzati'!V122-'Cons spec tot e finalizzati'!W122</f>
        <v>2166</v>
      </c>
    </row>
    <row r="123" spans="1:32" s="2" customFormat="1" ht="12.75">
      <c r="A123" s="96" t="s">
        <v>164</v>
      </c>
      <c r="B123" s="91"/>
      <c r="C123" s="91"/>
      <c r="D123" s="55">
        <f>+'Cons spec tot e finalizzati'!D123-'Cons spec tot e finalizzati'!E123</f>
        <v>1008</v>
      </c>
      <c r="E123" s="55">
        <f>+'Cons spec tot e finalizzati'!F123-'Cons spec tot e finalizzati'!G123</f>
        <v>1045</v>
      </c>
      <c r="F123" s="55">
        <f>+'Cons spec tot e finalizzati'!H123-'Cons spec tot e finalizzati'!I123</f>
        <v>1041</v>
      </c>
      <c r="G123" s="55">
        <f>+'Cons spec tot e finalizzati'!J123-'Cons spec tot e finalizzati'!K123</f>
        <v>962</v>
      </c>
      <c r="H123" s="55">
        <f>+'Cons spec tot e finalizzati'!L123-'Cons spec tot e finalizzati'!M123</f>
        <v>879</v>
      </c>
      <c r="I123" s="55">
        <f>+'Cons spec tot e finalizzati'!N123-'Cons spec tot e finalizzati'!O123</f>
        <v>946</v>
      </c>
      <c r="J123" s="55">
        <f>+'Cons spec tot e finalizzati'!P123-'Cons spec tot e finalizzati'!Q123</f>
        <v>435</v>
      </c>
      <c r="K123" s="55">
        <f>+'Cons spec tot e finalizzati'!R123-'Cons spec tot e finalizzati'!S123</f>
        <v>400</v>
      </c>
      <c r="L123" s="55">
        <f>+'Cons spec tot e finalizzati'!T123-'Cons spec tot e finalizzati'!U123</f>
        <v>400</v>
      </c>
      <c r="M123" s="55">
        <f>+'Cons spec tot e finalizzati'!V123-'Cons spec tot e finalizzati'!W123</f>
        <v>404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s="2" customFormat="1" ht="12.75">
      <c r="A124" s="37"/>
      <c r="B124" s="10" t="s">
        <v>3</v>
      </c>
      <c r="C124" s="11"/>
      <c r="D124" s="43">
        <f>+'Cons spec tot e finalizzati'!D124-'Cons spec tot e finalizzati'!E124</f>
        <v>266</v>
      </c>
      <c r="E124" s="43">
        <f>+'Cons spec tot e finalizzati'!F124-'Cons spec tot e finalizzati'!G124</f>
        <v>224</v>
      </c>
      <c r="F124" s="43">
        <f>+'Cons spec tot e finalizzati'!H124-'Cons spec tot e finalizzati'!I124</f>
        <v>315</v>
      </c>
      <c r="G124" s="46">
        <f>+'Cons spec tot e finalizzati'!J124-'Cons spec tot e finalizzati'!K124</f>
        <v>419</v>
      </c>
      <c r="H124" s="43">
        <f>+'Cons spec tot e finalizzati'!L124-'Cons spec tot e finalizzati'!M124</f>
        <v>101</v>
      </c>
      <c r="I124" s="43">
        <f>+'Cons spec tot e finalizzati'!N124-'Cons spec tot e finalizzati'!O124</f>
        <v>368</v>
      </c>
      <c r="J124" s="43">
        <f>+'Cons spec tot e finalizzati'!P124-'Cons spec tot e finalizzati'!Q124</f>
        <v>51</v>
      </c>
      <c r="K124" s="43">
        <f>+'Cons spec tot e finalizzati'!R124-'Cons spec tot e finalizzati'!S124</f>
        <v>56</v>
      </c>
      <c r="L124" s="43">
        <f>+'Cons spec tot e finalizzati'!T124-'Cons spec tot e finalizzati'!U124</f>
        <v>55</v>
      </c>
      <c r="M124" s="43">
        <f>+'Cons spec tot e finalizzati'!V124-'Cons spec tot e finalizzati'!W124</f>
        <v>50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s="2" customFormat="1" ht="12.75">
      <c r="A125" s="37"/>
      <c r="B125" s="10" t="s">
        <v>9</v>
      </c>
      <c r="C125" s="11"/>
      <c r="D125" s="43">
        <f>+'Cons spec tot e finalizzati'!D125-'Cons spec tot e finalizzati'!E125</f>
        <v>10</v>
      </c>
      <c r="E125" s="43">
        <f>+'Cons spec tot e finalizzati'!F125-'Cons spec tot e finalizzati'!G125</f>
        <v>23</v>
      </c>
      <c r="F125" s="43">
        <f>+'Cons spec tot e finalizzati'!H125-'Cons spec tot e finalizzati'!I125</f>
        <v>145</v>
      </c>
      <c r="G125" s="46">
        <f>+'Cons spec tot e finalizzati'!J125-'Cons spec tot e finalizzati'!K125</f>
        <v>130</v>
      </c>
      <c r="H125" s="43">
        <f>+'Cons spec tot e finalizzati'!L125-'Cons spec tot e finalizzati'!M125</f>
        <v>165</v>
      </c>
      <c r="I125" s="43">
        <f>+'Cons spec tot e finalizzati'!N125-'Cons spec tot e finalizzati'!O125</f>
        <v>109</v>
      </c>
      <c r="J125" s="43">
        <f>+'Cons spec tot e finalizzati'!P125-'Cons spec tot e finalizzati'!Q125</f>
        <v>37</v>
      </c>
      <c r="K125" s="43">
        <f>+'Cons spec tot e finalizzati'!R125-'Cons spec tot e finalizzati'!S125</f>
        <v>0</v>
      </c>
      <c r="L125" s="43">
        <f>+'Cons spec tot e finalizzati'!T125-'Cons spec tot e finalizzati'!U125</f>
        <v>0</v>
      </c>
      <c r="M125" s="43">
        <f>+'Cons spec tot e finalizzati'!V125-'Cons spec tot e finalizzati'!W125</f>
        <v>0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s="2" customFormat="1" ht="12.75">
      <c r="A126" s="37"/>
      <c r="B126" s="10" t="s">
        <v>110</v>
      </c>
      <c r="C126" s="11"/>
      <c r="D126" s="43">
        <f>+'Cons spec tot e finalizzati'!D126-'Cons spec tot e finalizzati'!E126</f>
        <v>41</v>
      </c>
      <c r="E126" s="43">
        <f>+'Cons spec tot e finalizzati'!F126-'Cons spec tot e finalizzati'!G126</f>
        <v>0</v>
      </c>
      <c r="F126" s="43">
        <f>+'Cons spec tot e finalizzati'!H126-'Cons spec tot e finalizzati'!I126</f>
        <v>0</v>
      </c>
      <c r="G126" s="46">
        <f>+'Cons spec tot e finalizzati'!J126-'Cons spec tot e finalizzati'!K126</f>
        <v>0</v>
      </c>
      <c r="H126" s="43">
        <f>+'Cons spec tot e finalizzati'!L126-'Cons spec tot e finalizzati'!M126</f>
        <v>0</v>
      </c>
      <c r="I126" s="43">
        <f>+'Cons spec tot e finalizzati'!N126-'Cons spec tot e finalizzati'!O126</f>
        <v>12</v>
      </c>
      <c r="J126" s="43">
        <f>+'Cons spec tot e finalizzati'!P126-'Cons spec tot e finalizzati'!Q126</f>
        <v>13</v>
      </c>
      <c r="K126" s="43">
        <f>+'Cons spec tot e finalizzati'!R126-'Cons spec tot e finalizzati'!S126</f>
        <v>0</v>
      </c>
      <c r="L126" s="43">
        <f>+'Cons spec tot e finalizzati'!T126-'Cons spec tot e finalizzati'!U126</f>
        <v>0</v>
      </c>
      <c r="M126" s="43">
        <f>+'Cons spec tot e finalizzati'!V126-'Cons spec tot e finalizzati'!W126</f>
        <v>0</v>
      </c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s="2" customFormat="1" ht="12.75">
      <c r="A127" s="37"/>
      <c r="B127" s="10" t="s">
        <v>90</v>
      </c>
      <c r="C127" s="11"/>
      <c r="D127" s="43">
        <f>+'Cons spec tot e finalizzati'!D127-'Cons spec tot e finalizzati'!E127</f>
        <v>367</v>
      </c>
      <c r="E127" s="43">
        <f>+'Cons spec tot e finalizzati'!F127-'Cons spec tot e finalizzati'!G127</f>
        <v>506</v>
      </c>
      <c r="F127" s="43">
        <f>+'Cons spec tot e finalizzati'!H127-'Cons spec tot e finalizzati'!I127</f>
        <v>478</v>
      </c>
      <c r="G127" s="46">
        <f>+'Cons spec tot e finalizzati'!J127-'Cons spec tot e finalizzati'!K127</f>
        <v>400</v>
      </c>
      <c r="H127" s="43">
        <f>+'Cons spec tot e finalizzati'!L127-'Cons spec tot e finalizzati'!M127</f>
        <v>394</v>
      </c>
      <c r="I127" s="43">
        <f>+'Cons spec tot e finalizzati'!N127-'Cons spec tot e finalizzati'!O127</f>
        <v>258</v>
      </c>
      <c r="J127" s="43">
        <f>+'Cons spec tot e finalizzati'!P127-'Cons spec tot e finalizzati'!Q127</f>
        <v>182</v>
      </c>
      <c r="K127" s="43">
        <f>+'Cons spec tot e finalizzati'!R127-'Cons spec tot e finalizzati'!S127</f>
        <v>191</v>
      </c>
      <c r="L127" s="43">
        <f>+'Cons spec tot e finalizzati'!T127-'Cons spec tot e finalizzati'!U127</f>
        <v>165</v>
      </c>
      <c r="M127" s="43">
        <f>+'Cons spec tot e finalizzati'!V127-'Cons spec tot e finalizzati'!W127</f>
        <v>244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s="2" customFormat="1" ht="12.75">
      <c r="A128" s="37"/>
      <c r="B128" s="10" t="s">
        <v>111</v>
      </c>
      <c r="C128" s="11"/>
      <c r="D128" s="43">
        <f>+'Cons spec tot e finalizzati'!D128-'Cons spec tot e finalizzati'!E128</f>
        <v>252</v>
      </c>
      <c r="E128" s="43">
        <f>+'Cons spec tot e finalizzati'!F128-'Cons spec tot e finalizzati'!G128</f>
        <v>241</v>
      </c>
      <c r="F128" s="43">
        <f>+'Cons spec tot e finalizzati'!H128-'Cons spec tot e finalizzati'!I128</f>
        <v>42</v>
      </c>
      <c r="G128" s="46">
        <f>+'Cons spec tot e finalizzati'!J128-'Cons spec tot e finalizzati'!K128</f>
        <v>13</v>
      </c>
      <c r="H128" s="43">
        <f>+'Cons spec tot e finalizzati'!L128-'Cons spec tot e finalizzati'!M128</f>
        <v>219</v>
      </c>
      <c r="I128" s="43">
        <f>+'Cons spec tot e finalizzati'!N128-'Cons spec tot e finalizzati'!O128</f>
        <v>199</v>
      </c>
      <c r="J128" s="43">
        <f>+'Cons spec tot e finalizzati'!P128-'Cons spec tot e finalizzati'!Q128</f>
        <v>152</v>
      </c>
      <c r="K128" s="43">
        <f>+'Cons spec tot e finalizzati'!R128-'Cons spec tot e finalizzati'!S128</f>
        <v>153</v>
      </c>
      <c r="L128" s="43">
        <f>+'Cons spec tot e finalizzati'!T128-'Cons spec tot e finalizzati'!U128</f>
        <v>180</v>
      </c>
      <c r="M128" s="43">
        <f>+'Cons spec tot e finalizzati'!V128-'Cons spec tot e finalizzati'!W128</f>
        <v>110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13" s="137" customFormat="1" ht="12.75">
      <c r="A129" s="139"/>
      <c r="B129" s="140" t="s">
        <v>44</v>
      </c>
      <c r="C129" s="140"/>
      <c r="D129" s="141">
        <f>+'Cons spec tot e finalizzati'!D129-'Cons spec tot e finalizzati'!E129</f>
        <v>72</v>
      </c>
      <c r="E129" s="141">
        <f>+'Cons spec tot e finalizzati'!F129-'Cons spec tot e finalizzati'!G129</f>
        <v>51</v>
      </c>
      <c r="F129" s="141">
        <f>+'Cons spec tot e finalizzati'!H129-'Cons spec tot e finalizzati'!I129</f>
        <v>61</v>
      </c>
      <c r="G129" s="141">
        <f>+'Cons spec tot e finalizzati'!J129-'Cons spec tot e finalizzati'!K129</f>
        <v>0</v>
      </c>
      <c r="H129" s="141">
        <f>+'Cons spec tot e finalizzati'!L129-'Cons spec tot e finalizzati'!M129</f>
        <v>0</v>
      </c>
      <c r="I129" s="141">
        <f>+'Cons spec tot e finalizzati'!N129-'Cons spec tot e finalizzati'!O129</f>
        <v>0</v>
      </c>
      <c r="J129" s="141">
        <f>+'Cons spec tot e finalizzati'!P129-'Cons spec tot e finalizzati'!Q129</f>
        <v>0</v>
      </c>
      <c r="K129" s="141">
        <f>+'Cons spec tot e finalizzati'!R129-'Cons spec tot e finalizzati'!S129</f>
        <v>0</v>
      </c>
      <c r="L129" s="141">
        <f>+'Cons spec tot e finalizzati'!T129-'Cons spec tot e finalizzati'!U129</f>
        <v>0</v>
      </c>
      <c r="M129" s="141">
        <f>+'Cons spec tot e finalizzati'!V129-'Cons spec tot e finalizzati'!W129</f>
        <v>0</v>
      </c>
    </row>
    <row r="130" spans="1:32" s="2" customFormat="1" ht="12.75">
      <c r="A130" s="96" t="s">
        <v>165</v>
      </c>
      <c r="B130" s="91"/>
      <c r="C130" s="91"/>
      <c r="D130" s="55">
        <f>+'Cons spec tot e finalizzati'!D130-'Cons spec tot e finalizzati'!E130</f>
        <v>1380</v>
      </c>
      <c r="E130" s="55">
        <f>+'Cons spec tot e finalizzati'!F130-'Cons spec tot e finalizzati'!G130</f>
        <v>1451.769603412747</v>
      </c>
      <c r="F130" s="55">
        <f>+'Cons spec tot e finalizzati'!H130-'Cons spec tot e finalizzati'!I130</f>
        <v>1254</v>
      </c>
      <c r="G130" s="55">
        <f>+'Cons spec tot e finalizzati'!J130-'Cons spec tot e finalizzati'!K130</f>
        <v>1282</v>
      </c>
      <c r="H130" s="55">
        <f>+'Cons spec tot e finalizzati'!L130-'Cons spec tot e finalizzati'!M130</f>
        <v>977</v>
      </c>
      <c r="I130" s="55">
        <f>+'Cons spec tot e finalizzati'!N130-'Cons spec tot e finalizzati'!O130</f>
        <v>968</v>
      </c>
      <c r="J130" s="55">
        <f>+'Cons spec tot e finalizzati'!P130-'Cons spec tot e finalizzati'!Q130</f>
        <v>512</v>
      </c>
      <c r="K130" s="55">
        <f>+'Cons spec tot e finalizzati'!R130-'Cons spec tot e finalizzati'!S130</f>
        <v>522</v>
      </c>
      <c r="L130" s="55">
        <f>+'Cons spec tot e finalizzati'!T130-'Cons spec tot e finalizzati'!U130</f>
        <v>558</v>
      </c>
      <c r="M130" s="55">
        <f>+'Cons spec tot e finalizzati'!V130-'Cons spec tot e finalizzati'!W130</f>
        <v>469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s="2" customFormat="1" ht="12.75">
      <c r="A131" s="37"/>
      <c r="B131" s="10" t="s">
        <v>4</v>
      </c>
      <c r="C131" s="11"/>
      <c r="D131" s="43">
        <f>+'Cons spec tot e finalizzati'!D131-'Cons spec tot e finalizzati'!E131</f>
        <v>604</v>
      </c>
      <c r="E131" s="43">
        <f>+'Cons spec tot e finalizzati'!F131-'Cons spec tot e finalizzati'!G131</f>
        <v>559</v>
      </c>
      <c r="F131" s="43">
        <f>+'Cons spec tot e finalizzati'!H131-'Cons spec tot e finalizzati'!I131</f>
        <v>33</v>
      </c>
      <c r="G131" s="46">
        <f>+'Cons spec tot e finalizzati'!J131-'Cons spec tot e finalizzati'!K131</f>
        <v>5</v>
      </c>
      <c r="H131" s="43">
        <f>+'Cons spec tot e finalizzati'!L131-'Cons spec tot e finalizzati'!M131</f>
        <v>36</v>
      </c>
      <c r="I131" s="43">
        <f>+'Cons spec tot e finalizzati'!N131-'Cons spec tot e finalizzati'!O131</f>
        <v>86</v>
      </c>
      <c r="J131" s="43">
        <f>+'Cons spec tot e finalizzati'!P131-'Cons spec tot e finalizzati'!Q131</f>
        <v>45</v>
      </c>
      <c r="K131" s="43">
        <f>+'Cons spec tot e finalizzati'!R131-'Cons spec tot e finalizzati'!S131</f>
        <v>33</v>
      </c>
      <c r="L131" s="43">
        <f>+'Cons spec tot e finalizzati'!T131-'Cons spec tot e finalizzati'!U131</f>
        <v>19</v>
      </c>
      <c r="M131" s="43">
        <f>+'Cons spec tot e finalizzati'!V131-'Cons spec tot e finalizzati'!W131</f>
        <v>16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s="2" customFormat="1" ht="12.75">
      <c r="A132" s="37"/>
      <c r="B132" s="10" t="s">
        <v>76</v>
      </c>
      <c r="C132" s="11"/>
      <c r="D132" s="43">
        <f>+'Cons spec tot e finalizzati'!D132-'Cons spec tot e finalizzati'!E132</f>
        <v>491</v>
      </c>
      <c r="E132" s="43">
        <f>+'Cons spec tot e finalizzati'!F132-'Cons spec tot e finalizzati'!G132</f>
        <v>694.7696034127472</v>
      </c>
      <c r="F132" s="43">
        <f>+'Cons spec tot e finalizzati'!H132-'Cons spec tot e finalizzati'!I132</f>
        <v>709</v>
      </c>
      <c r="G132" s="46">
        <f>+'Cons spec tot e finalizzati'!J132-'Cons spec tot e finalizzati'!K132</f>
        <v>587</v>
      </c>
      <c r="H132" s="43">
        <f>+'Cons spec tot e finalizzati'!L132-'Cons spec tot e finalizzati'!M132</f>
        <v>439</v>
      </c>
      <c r="I132" s="43">
        <f>+'Cons spec tot e finalizzati'!N132-'Cons spec tot e finalizzati'!O132</f>
        <v>552</v>
      </c>
      <c r="J132" s="43">
        <f>+'Cons spec tot e finalizzati'!P132-'Cons spec tot e finalizzati'!Q132</f>
        <v>280</v>
      </c>
      <c r="K132" s="43">
        <f>+'Cons spec tot e finalizzati'!R132-'Cons spec tot e finalizzati'!S132</f>
        <v>335</v>
      </c>
      <c r="L132" s="43">
        <f>+'Cons spec tot e finalizzati'!T132-'Cons spec tot e finalizzati'!U132</f>
        <v>393</v>
      </c>
      <c r="M132" s="43">
        <f>+'Cons spec tot e finalizzati'!V132-'Cons spec tot e finalizzati'!W132</f>
        <v>336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13" s="22" customFormat="1" ht="12.75">
      <c r="A133" s="134"/>
      <c r="B133" s="16" t="s">
        <v>86</v>
      </c>
      <c r="C133" s="16"/>
      <c r="D133" s="61">
        <f>+'Cons spec tot e finalizzati'!D133-'Cons spec tot e finalizzati'!E133</f>
        <v>285</v>
      </c>
      <c r="E133" s="61">
        <f>+'Cons spec tot e finalizzati'!F133-'Cons spec tot e finalizzati'!G133</f>
        <v>198</v>
      </c>
      <c r="F133" s="61">
        <f>+'Cons spec tot e finalizzati'!H133-'Cons spec tot e finalizzati'!I133</f>
        <v>512</v>
      </c>
      <c r="G133" s="61">
        <f>+'Cons spec tot e finalizzati'!J133-'Cons spec tot e finalizzati'!K133</f>
        <v>690</v>
      </c>
      <c r="H133" s="61">
        <f>+'Cons spec tot e finalizzati'!L133-'Cons spec tot e finalizzati'!M133</f>
        <v>502</v>
      </c>
      <c r="I133" s="61">
        <f>+'Cons spec tot e finalizzati'!N133-'Cons spec tot e finalizzati'!O133</f>
        <v>330</v>
      </c>
      <c r="J133" s="61">
        <f>+'Cons spec tot e finalizzati'!P133-'Cons spec tot e finalizzati'!Q133</f>
        <v>187</v>
      </c>
      <c r="K133" s="61">
        <f>+'Cons spec tot e finalizzati'!R133-'Cons spec tot e finalizzati'!S133</f>
        <v>154</v>
      </c>
      <c r="L133" s="61">
        <f>+'Cons spec tot e finalizzati'!T133-'Cons spec tot e finalizzati'!U133</f>
        <v>146</v>
      </c>
      <c r="M133" s="61">
        <f>+'Cons spec tot e finalizzati'!V133-'Cons spec tot e finalizzati'!W133</f>
        <v>117</v>
      </c>
    </row>
    <row r="134" spans="1:13" s="22" customFormat="1" ht="12.75">
      <c r="A134" s="113" t="s">
        <v>166</v>
      </c>
      <c r="B134" s="93"/>
      <c r="C134" s="93"/>
      <c r="D134" s="112">
        <f>+'Cons spec tot e finalizzati'!D134-'Cons spec tot e finalizzati'!E134</f>
        <v>385</v>
      </c>
      <c r="E134" s="112">
        <f>+'Cons spec tot e finalizzati'!F134-'Cons spec tot e finalizzati'!G134</f>
        <v>352</v>
      </c>
      <c r="F134" s="112">
        <f>+'Cons spec tot e finalizzati'!H134-'Cons spec tot e finalizzati'!I134</f>
        <v>255</v>
      </c>
      <c r="G134" s="112">
        <f>+'Cons spec tot e finalizzati'!J134-'Cons spec tot e finalizzati'!K134</f>
        <v>829</v>
      </c>
      <c r="H134" s="112">
        <f>+'Cons spec tot e finalizzati'!L134-'Cons spec tot e finalizzati'!M134</f>
        <v>900</v>
      </c>
      <c r="I134" s="112">
        <f>+'Cons spec tot e finalizzati'!N134-'Cons spec tot e finalizzati'!O134</f>
        <v>820</v>
      </c>
      <c r="J134" s="112">
        <f>+'Cons spec tot e finalizzati'!P134-'Cons spec tot e finalizzati'!Q134</f>
        <v>563</v>
      </c>
      <c r="K134" s="112">
        <f>+'Cons spec tot e finalizzati'!R134-'Cons spec tot e finalizzati'!S134</f>
        <v>633</v>
      </c>
      <c r="L134" s="112">
        <f>+'Cons spec tot e finalizzati'!T134-'Cons spec tot e finalizzati'!U134</f>
        <v>547</v>
      </c>
      <c r="M134" s="112">
        <f>+'Cons spec tot e finalizzati'!V134-'Cons spec tot e finalizzati'!W134</f>
        <v>1021</v>
      </c>
    </row>
    <row r="135" spans="1:32" s="2" customFormat="1" ht="12.75">
      <c r="A135" s="37"/>
      <c r="B135" s="10" t="s">
        <v>3</v>
      </c>
      <c r="C135" s="11"/>
      <c r="D135" s="43">
        <f>+'Cons spec tot e finalizzati'!D135-'Cons spec tot e finalizzati'!E135</f>
        <v>79</v>
      </c>
      <c r="E135" s="43">
        <f>+'Cons spec tot e finalizzati'!F135-'Cons spec tot e finalizzati'!G135</f>
        <v>98</v>
      </c>
      <c r="F135" s="43">
        <f>+'Cons spec tot e finalizzati'!H135-'Cons spec tot e finalizzati'!I135</f>
        <v>66</v>
      </c>
      <c r="G135" s="46">
        <f>+'Cons spec tot e finalizzati'!J135-'Cons spec tot e finalizzati'!K135</f>
        <v>57</v>
      </c>
      <c r="H135" s="43">
        <f>+'Cons spec tot e finalizzati'!L135-'Cons spec tot e finalizzati'!M135</f>
        <v>60</v>
      </c>
      <c r="I135" s="43">
        <f>+'Cons spec tot e finalizzati'!N135-'Cons spec tot e finalizzati'!O135</f>
        <v>33</v>
      </c>
      <c r="J135" s="43">
        <f>+'Cons spec tot e finalizzati'!P135-'Cons spec tot e finalizzati'!Q135</f>
        <v>25</v>
      </c>
      <c r="K135" s="43">
        <f>+'Cons spec tot e finalizzati'!R135-'Cons spec tot e finalizzati'!S135</f>
        <v>137</v>
      </c>
      <c r="L135" s="43">
        <f>+'Cons spec tot e finalizzati'!T135-'Cons spec tot e finalizzati'!U135</f>
        <v>69</v>
      </c>
      <c r="M135" s="43">
        <f>+'Cons spec tot e finalizzati'!V135-'Cons spec tot e finalizzati'!W135</f>
        <v>28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s="2" customFormat="1" ht="12.75">
      <c r="A136" s="37"/>
      <c r="B136" s="10" t="s">
        <v>167</v>
      </c>
      <c r="C136" s="11"/>
      <c r="D136" s="43">
        <f>+'Cons spec tot e finalizzati'!D136-'Cons spec tot e finalizzati'!E136</f>
        <v>0</v>
      </c>
      <c r="E136" s="43">
        <f>+'Cons spec tot e finalizzati'!F136-'Cons spec tot e finalizzati'!G136</f>
        <v>0</v>
      </c>
      <c r="F136" s="43">
        <f>+'Cons spec tot e finalizzati'!H136-'Cons spec tot e finalizzati'!I136</f>
        <v>0</v>
      </c>
      <c r="G136" s="46">
        <f>+'Cons spec tot e finalizzati'!J136-'Cons spec tot e finalizzati'!K136</f>
        <v>570</v>
      </c>
      <c r="H136" s="43">
        <f>+'Cons spec tot e finalizzati'!L136-'Cons spec tot e finalizzati'!M136</f>
        <v>633</v>
      </c>
      <c r="I136" s="43">
        <f>+'Cons spec tot e finalizzati'!N136-'Cons spec tot e finalizzati'!O136</f>
        <v>668</v>
      </c>
      <c r="J136" s="43">
        <f>+'Cons spec tot e finalizzati'!P136-'Cons spec tot e finalizzati'!Q136</f>
        <v>425</v>
      </c>
      <c r="K136" s="43">
        <f>+'Cons spec tot e finalizzati'!R136-'Cons spec tot e finalizzati'!S136</f>
        <v>424</v>
      </c>
      <c r="L136" s="43">
        <f>+'Cons spec tot e finalizzati'!T136-'Cons spec tot e finalizzati'!U136</f>
        <v>424</v>
      </c>
      <c r="M136" s="43">
        <f>+'Cons spec tot e finalizzati'!V136-'Cons spec tot e finalizzati'!W136</f>
        <v>383</v>
      </c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s="2" customFormat="1" ht="12.75">
      <c r="A137" s="37"/>
      <c r="B137" s="10" t="s">
        <v>91</v>
      </c>
      <c r="C137" s="11"/>
      <c r="D137" s="43">
        <f>+'Cons spec tot e finalizzati'!D137-'Cons spec tot e finalizzati'!E137</f>
        <v>156</v>
      </c>
      <c r="E137" s="43">
        <f>+'Cons spec tot e finalizzati'!F137-'Cons spec tot e finalizzati'!G137</f>
        <v>127</v>
      </c>
      <c r="F137" s="43">
        <f>+'Cons spec tot e finalizzati'!H137-'Cons spec tot e finalizzati'!I137</f>
        <v>116</v>
      </c>
      <c r="G137" s="46">
        <f>+'Cons spec tot e finalizzati'!J137-'Cons spec tot e finalizzati'!K137</f>
        <v>131</v>
      </c>
      <c r="H137" s="43">
        <f>+'Cons spec tot e finalizzati'!L137-'Cons spec tot e finalizzati'!M137</f>
        <v>83</v>
      </c>
      <c r="I137" s="43">
        <f>+'Cons spec tot e finalizzati'!N137-'Cons spec tot e finalizzati'!O137</f>
        <v>56</v>
      </c>
      <c r="J137" s="43">
        <f>+'Cons spec tot e finalizzati'!P137-'Cons spec tot e finalizzati'!Q137</f>
        <v>23</v>
      </c>
      <c r="K137" s="43">
        <f>+'Cons spec tot e finalizzati'!R137-'Cons spec tot e finalizzati'!S137</f>
        <v>21</v>
      </c>
      <c r="L137" s="43">
        <f>+'Cons spec tot e finalizzati'!T137-'Cons spec tot e finalizzati'!U137</f>
        <v>1</v>
      </c>
      <c r="M137" s="43">
        <f>+'Cons spec tot e finalizzati'!V137-'Cons spec tot e finalizzati'!W137</f>
        <v>33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s="2" customFormat="1" ht="12.75">
      <c r="A138" s="37"/>
      <c r="B138" s="10" t="s">
        <v>103</v>
      </c>
      <c r="C138" s="11"/>
      <c r="D138" s="43">
        <f>+'Cons spec tot e finalizzati'!D138-'Cons spec tot e finalizzati'!E138</f>
        <v>0</v>
      </c>
      <c r="E138" s="43">
        <f>+'Cons spec tot e finalizzati'!F138-'Cons spec tot e finalizzati'!G138</f>
        <v>0</v>
      </c>
      <c r="F138" s="43">
        <f>+'Cons spec tot e finalizzati'!H138-'Cons spec tot e finalizzati'!I138</f>
        <v>0</v>
      </c>
      <c r="G138" s="46">
        <f>+'Cons spec tot e finalizzati'!J138-'Cons spec tot e finalizzati'!K138</f>
        <v>0</v>
      </c>
      <c r="H138" s="43">
        <f>+'Cons spec tot e finalizzati'!L138-'Cons spec tot e finalizzati'!M138</f>
        <v>0</v>
      </c>
      <c r="I138" s="43">
        <f>+'Cons spec tot e finalizzati'!N138-'Cons spec tot e finalizzati'!O138</f>
        <v>0</v>
      </c>
      <c r="J138" s="43">
        <f>+'Cons spec tot e finalizzati'!P138-'Cons spec tot e finalizzati'!Q138</f>
        <v>0</v>
      </c>
      <c r="K138" s="43">
        <f>+'Cons spec tot e finalizzati'!R138-'Cons spec tot e finalizzati'!S138</f>
        <v>0</v>
      </c>
      <c r="L138" s="43">
        <f>+'Cons spec tot e finalizzati'!T138-'Cons spec tot e finalizzati'!U138</f>
        <v>0</v>
      </c>
      <c r="M138" s="43">
        <f>+'Cons spec tot e finalizzati'!V138-'Cons spec tot e finalizzati'!W138</f>
        <v>0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13" s="22" customFormat="1" ht="12.75">
      <c r="A139" s="134"/>
      <c r="B139" s="16" t="s">
        <v>82</v>
      </c>
      <c r="C139" s="16"/>
      <c r="D139" s="61">
        <f>+'Cons spec tot e finalizzati'!D139-'Cons spec tot e finalizzati'!E139</f>
        <v>150</v>
      </c>
      <c r="E139" s="61">
        <f>+'Cons spec tot e finalizzati'!F139-'Cons spec tot e finalizzati'!G139</f>
        <v>127</v>
      </c>
      <c r="F139" s="61">
        <f>+'Cons spec tot e finalizzati'!H139-'Cons spec tot e finalizzati'!I139</f>
        <v>73</v>
      </c>
      <c r="G139" s="61">
        <f>+'Cons spec tot e finalizzati'!J139-'Cons spec tot e finalizzati'!K139</f>
        <v>71</v>
      </c>
      <c r="H139" s="61">
        <f>+'Cons spec tot e finalizzati'!L139-'Cons spec tot e finalizzati'!M139</f>
        <v>124</v>
      </c>
      <c r="I139" s="61">
        <f>+'Cons spec tot e finalizzati'!N139-'Cons spec tot e finalizzati'!O139</f>
        <v>63</v>
      </c>
      <c r="J139" s="61">
        <f>+'Cons spec tot e finalizzati'!P139-'Cons spec tot e finalizzati'!Q139</f>
        <v>90</v>
      </c>
      <c r="K139" s="61">
        <f>+'Cons spec tot e finalizzati'!R139-'Cons spec tot e finalizzati'!S139</f>
        <v>51</v>
      </c>
      <c r="L139" s="61">
        <f>+'Cons spec tot e finalizzati'!T139-'Cons spec tot e finalizzati'!U139</f>
        <v>53</v>
      </c>
      <c r="M139" s="61">
        <f>+'Cons spec tot e finalizzati'!V139-'Cons spec tot e finalizzati'!W139</f>
        <v>577</v>
      </c>
    </row>
    <row r="140" spans="1:13" s="22" customFormat="1" ht="12.75">
      <c r="A140" s="113" t="s">
        <v>47</v>
      </c>
      <c r="B140" s="93"/>
      <c r="C140" s="93"/>
      <c r="D140" s="112">
        <f>+'Cons spec tot e finalizzati'!D140-'Cons spec tot e finalizzati'!E140</f>
        <v>42137.5</v>
      </c>
      <c r="E140" s="112">
        <f>+'Cons spec tot e finalizzati'!F140-'Cons spec tot e finalizzati'!G140</f>
        <v>44669.89109473369</v>
      </c>
      <c r="F140" s="112">
        <f>+'Cons spec tot e finalizzati'!H140-'Cons spec tot e finalizzati'!I140</f>
        <v>46267</v>
      </c>
      <c r="G140" s="112">
        <f>+'Cons spec tot e finalizzati'!J140-'Cons spec tot e finalizzati'!K140</f>
        <v>49133</v>
      </c>
      <c r="H140" s="112">
        <f>+'Cons spec tot e finalizzati'!L140-'Cons spec tot e finalizzati'!M140</f>
        <v>54814</v>
      </c>
      <c r="I140" s="112">
        <f>+'Cons spec tot e finalizzati'!N140-'Cons spec tot e finalizzati'!O140</f>
        <v>53649</v>
      </c>
      <c r="J140" s="112">
        <f>+'Cons spec tot e finalizzati'!P140-'Cons spec tot e finalizzati'!Q140</f>
        <v>57976</v>
      </c>
      <c r="K140" s="112">
        <f>+'Cons spec tot e finalizzati'!R140-'Cons spec tot e finalizzati'!S140</f>
        <v>59121</v>
      </c>
      <c r="L140" s="112">
        <f>+'Cons spec tot e finalizzati'!T140-'Cons spec tot e finalizzati'!U140</f>
        <v>61304</v>
      </c>
      <c r="M140" s="112">
        <f>+'Cons spec tot e finalizzati'!V140-'Cons spec tot e finalizzati'!W140</f>
        <v>58413</v>
      </c>
    </row>
    <row r="141" spans="1:32" s="2" customFormat="1" ht="12.75">
      <c r="A141" s="96" t="s">
        <v>168</v>
      </c>
      <c r="B141" s="91"/>
      <c r="C141" s="91"/>
      <c r="D141" s="55">
        <f>+'Cons spec tot e finalizzati'!D141-'Cons spec tot e finalizzati'!E141</f>
        <v>15265</v>
      </c>
      <c r="E141" s="55">
        <f>+'Cons spec tot e finalizzati'!F141-'Cons spec tot e finalizzati'!G141</f>
        <v>16062</v>
      </c>
      <c r="F141" s="55">
        <f>+'Cons spec tot e finalizzati'!H141-'Cons spec tot e finalizzati'!I141</f>
        <v>16185</v>
      </c>
      <c r="G141" s="55">
        <f>+'Cons spec tot e finalizzati'!J141-'Cons spec tot e finalizzati'!K141</f>
        <v>16707</v>
      </c>
      <c r="H141" s="55">
        <f>+'Cons spec tot e finalizzati'!L141-'Cons spec tot e finalizzati'!M141</f>
        <v>21990</v>
      </c>
      <c r="I141" s="55">
        <f>+'Cons spec tot e finalizzati'!N141-'Cons spec tot e finalizzati'!O141</f>
        <v>19368</v>
      </c>
      <c r="J141" s="55">
        <f>+'Cons spec tot e finalizzati'!P141-'Cons spec tot e finalizzati'!Q141</f>
        <v>23518</v>
      </c>
      <c r="K141" s="55">
        <f>+'Cons spec tot e finalizzati'!R141-'Cons spec tot e finalizzati'!S141</f>
        <v>24220</v>
      </c>
      <c r="L141" s="55">
        <f>+'Cons spec tot e finalizzati'!T141-'Cons spec tot e finalizzati'!U141</f>
        <v>25673</v>
      </c>
      <c r="M141" s="55">
        <f>+'Cons spec tot e finalizzati'!V141-'Cons spec tot e finalizzati'!W141</f>
        <v>25430</v>
      </c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s="2" customFormat="1" ht="12.75">
      <c r="A142" s="37"/>
      <c r="B142" s="10" t="s">
        <v>4</v>
      </c>
      <c r="C142" s="11"/>
      <c r="D142" s="43">
        <f>+'Cons spec tot e finalizzati'!D142-'Cons spec tot e finalizzati'!E142</f>
        <v>959</v>
      </c>
      <c r="E142" s="43">
        <f>+'Cons spec tot e finalizzati'!F142-'Cons spec tot e finalizzati'!G142</f>
        <v>876</v>
      </c>
      <c r="F142" s="43">
        <f>+'Cons spec tot e finalizzati'!H142-'Cons spec tot e finalizzati'!I142</f>
        <v>912</v>
      </c>
      <c r="G142" s="46">
        <f>+'Cons spec tot e finalizzati'!J142-'Cons spec tot e finalizzati'!K142</f>
        <v>53</v>
      </c>
      <c r="H142" s="43">
        <f>+'Cons spec tot e finalizzati'!L142-'Cons spec tot e finalizzati'!M142</f>
        <v>0</v>
      </c>
      <c r="I142" s="43">
        <f>+'Cons spec tot e finalizzati'!N142-'Cons spec tot e finalizzati'!O142</f>
        <v>19</v>
      </c>
      <c r="J142" s="43">
        <f>+'Cons spec tot e finalizzati'!P142-'Cons spec tot e finalizzati'!Q142</f>
        <v>0</v>
      </c>
      <c r="K142" s="43">
        <f>+'Cons spec tot e finalizzati'!R142-'Cons spec tot e finalizzati'!S142</f>
        <v>74</v>
      </c>
      <c r="L142" s="43">
        <f>+'Cons spec tot e finalizzati'!T142-'Cons spec tot e finalizzati'!U142</f>
        <v>3</v>
      </c>
      <c r="M142" s="43">
        <f>+'Cons spec tot e finalizzati'!V142-'Cons spec tot e finalizzati'!W142</f>
        <v>0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s="2" customFormat="1" ht="12.75">
      <c r="A143" s="37"/>
      <c r="B143" s="10" t="s">
        <v>61</v>
      </c>
      <c r="C143" s="11"/>
      <c r="D143" s="43">
        <f>+'Cons spec tot e finalizzati'!D143-'Cons spec tot e finalizzati'!E143</f>
        <v>915</v>
      </c>
      <c r="E143" s="43">
        <f>+'Cons spec tot e finalizzati'!F143-'Cons spec tot e finalizzati'!G143</f>
        <v>1697</v>
      </c>
      <c r="F143" s="43">
        <f>+'Cons spec tot e finalizzati'!H143-'Cons spec tot e finalizzati'!I143</f>
        <v>1978</v>
      </c>
      <c r="G143" s="46">
        <f>+'Cons spec tot e finalizzati'!J143-'Cons spec tot e finalizzati'!K143</f>
        <v>1924</v>
      </c>
      <c r="H143" s="43">
        <f>+'Cons spec tot e finalizzati'!L143-'Cons spec tot e finalizzati'!M143</f>
        <v>2095</v>
      </c>
      <c r="I143" s="43">
        <f>+'Cons spec tot e finalizzati'!N143-'Cons spec tot e finalizzati'!O143</f>
        <v>2520</v>
      </c>
      <c r="J143" s="43">
        <f>+'Cons spec tot e finalizzati'!P143-'Cons spec tot e finalizzati'!Q143</f>
        <v>2444</v>
      </c>
      <c r="K143" s="43">
        <f>+'Cons spec tot e finalizzati'!R143-'Cons spec tot e finalizzati'!S143</f>
        <v>1928</v>
      </c>
      <c r="L143" s="43">
        <f>+'Cons spec tot e finalizzati'!T143-'Cons spec tot e finalizzati'!U143</f>
        <v>1501</v>
      </c>
      <c r="M143" s="43">
        <f>+'Cons spec tot e finalizzati'!V143-'Cons spec tot e finalizzati'!W143</f>
        <v>1731</v>
      </c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2" customFormat="1" ht="12.75">
      <c r="A144" s="37"/>
      <c r="B144" s="10" t="s">
        <v>59</v>
      </c>
      <c r="C144" s="11"/>
      <c r="D144" s="43">
        <f>+'Cons spec tot e finalizzati'!D144-'Cons spec tot e finalizzati'!E144</f>
        <v>0</v>
      </c>
      <c r="E144" s="43">
        <f>+'Cons spec tot e finalizzati'!F144-'Cons spec tot e finalizzati'!G144</f>
        <v>0</v>
      </c>
      <c r="F144" s="43">
        <f>+'Cons spec tot e finalizzati'!H144-'Cons spec tot e finalizzati'!I144</f>
        <v>368</v>
      </c>
      <c r="G144" s="46">
        <f>+'Cons spec tot e finalizzati'!J144-'Cons spec tot e finalizzati'!K144</f>
        <v>832</v>
      </c>
      <c r="H144" s="43">
        <f>+'Cons spec tot e finalizzati'!L144-'Cons spec tot e finalizzati'!M144</f>
        <v>906</v>
      </c>
      <c r="I144" s="43">
        <f>+'Cons spec tot e finalizzati'!N144-'Cons spec tot e finalizzati'!O144</f>
        <v>755</v>
      </c>
      <c r="J144" s="43">
        <f>+'Cons spec tot e finalizzati'!P144-'Cons spec tot e finalizzati'!Q144</f>
        <v>626</v>
      </c>
      <c r="K144" s="43">
        <f>+'Cons spec tot e finalizzati'!R144-'Cons spec tot e finalizzati'!S144</f>
        <v>699</v>
      </c>
      <c r="L144" s="43">
        <f>+'Cons spec tot e finalizzati'!T144-'Cons spec tot e finalizzati'!U144</f>
        <v>326</v>
      </c>
      <c r="M144" s="43">
        <f>+'Cons spec tot e finalizzati'!V144-'Cons spec tot e finalizzati'!W144</f>
        <v>474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2" customFormat="1" ht="12.75">
      <c r="A145" s="37"/>
      <c r="B145" s="10" t="s">
        <v>16</v>
      </c>
      <c r="C145" s="11"/>
      <c r="D145" s="43">
        <f>+'Cons spec tot e finalizzati'!D145-'Cons spec tot e finalizzati'!E145</f>
        <v>5645</v>
      </c>
      <c r="E145" s="43">
        <f>+'Cons spec tot e finalizzati'!F145-'Cons spec tot e finalizzati'!G145</f>
        <v>5456</v>
      </c>
      <c r="F145" s="43">
        <f>+'Cons spec tot e finalizzati'!H145-'Cons spec tot e finalizzati'!I145</f>
        <v>5293</v>
      </c>
      <c r="G145" s="46">
        <f>+'Cons spec tot e finalizzati'!J145-'Cons spec tot e finalizzati'!K145</f>
        <v>5262</v>
      </c>
      <c r="H145" s="43">
        <f>+'Cons spec tot e finalizzati'!L145-'Cons spec tot e finalizzati'!M145</f>
        <v>6864</v>
      </c>
      <c r="I145" s="43">
        <f>+'Cons spec tot e finalizzati'!N145-'Cons spec tot e finalizzati'!O145</f>
        <v>6597</v>
      </c>
      <c r="J145" s="43">
        <f>+'Cons spec tot e finalizzati'!P145-'Cons spec tot e finalizzati'!Q145</f>
        <v>7017</v>
      </c>
      <c r="K145" s="43">
        <f>+'Cons spec tot e finalizzati'!R145-'Cons spec tot e finalizzati'!S145</f>
        <v>8632</v>
      </c>
      <c r="L145" s="43">
        <f>+'Cons spec tot e finalizzati'!T145-'Cons spec tot e finalizzati'!U145</f>
        <v>9903</v>
      </c>
      <c r="M145" s="43">
        <f>+'Cons spec tot e finalizzati'!V145-'Cons spec tot e finalizzati'!W145</f>
        <v>10701</v>
      </c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2" customFormat="1" ht="12.75">
      <c r="A146" s="37"/>
      <c r="B146" s="10" t="s">
        <v>60</v>
      </c>
      <c r="C146" s="11"/>
      <c r="D146" s="43">
        <f>+'Cons spec tot e finalizzati'!D146-'Cons spec tot e finalizzati'!E146</f>
        <v>0</v>
      </c>
      <c r="E146" s="43">
        <f>+'Cons spec tot e finalizzati'!F146-'Cons spec tot e finalizzati'!G146</f>
        <v>0</v>
      </c>
      <c r="F146" s="43">
        <f>+'Cons spec tot e finalizzati'!H146-'Cons spec tot e finalizzati'!I146</f>
        <v>617</v>
      </c>
      <c r="G146" s="46">
        <f>+'Cons spec tot e finalizzati'!J146-'Cons spec tot e finalizzati'!K146</f>
        <v>1080</v>
      </c>
      <c r="H146" s="43">
        <f>+'Cons spec tot e finalizzati'!L146-'Cons spec tot e finalizzati'!M146</f>
        <v>964</v>
      </c>
      <c r="I146" s="43">
        <f>+'Cons spec tot e finalizzati'!N146-'Cons spec tot e finalizzati'!O146</f>
        <v>88</v>
      </c>
      <c r="J146" s="43">
        <f>+'Cons spec tot e finalizzati'!P146-'Cons spec tot e finalizzati'!Q146</f>
        <v>840</v>
      </c>
      <c r="K146" s="43">
        <f>+'Cons spec tot e finalizzati'!R146-'Cons spec tot e finalizzati'!S146</f>
        <v>979</v>
      </c>
      <c r="L146" s="43">
        <f>+'Cons spec tot e finalizzati'!T146-'Cons spec tot e finalizzati'!U146</f>
        <v>946</v>
      </c>
      <c r="M146" s="43">
        <f>+'Cons spec tot e finalizzati'!V146-'Cons spec tot e finalizzati'!W146</f>
        <v>934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s="2" customFormat="1" ht="12.75">
      <c r="A147" s="37"/>
      <c r="B147" s="10" t="s">
        <v>50</v>
      </c>
      <c r="C147" s="11"/>
      <c r="D147" s="43">
        <f>+'Cons spec tot e finalizzati'!D147-'Cons spec tot e finalizzati'!E147</f>
        <v>4036</v>
      </c>
      <c r="E147" s="43">
        <f>+'Cons spec tot e finalizzati'!F147-'Cons spec tot e finalizzati'!G147</f>
        <v>4063</v>
      </c>
      <c r="F147" s="43">
        <f>+'Cons spec tot e finalizzati'!H147-'Cons spec tot e finalizzati'!I147</f>
        <v>4413</v>
      </c>
      <c r="G147" s="46">
        <f>+'Cons spec tot e finalizzati'!J147-'Cons spec tot e finalizzati'!K147</f>
        <v>4585</v>
      </c>
      <c r="H147" s="43">
        <f>+'Cons spec tot e finalizzati'!L147-'Cons spec tot e finalizzati'!M147</f>
        <v>7468</v>
      </c>
      <c r="I147" s="43">
        <f>+'Cons spec tot e finalizzati'!N147-'Cons spec tot e finalizzati'!O147</f>
        <v>5006</v>
      </c>
      <c r="J147" s="43">
        <f>+'Cons spec tot e finalizzati'!P147-'Cons spec tot e finalizzati'!Q147</f>
        <v>7258</v>
      </c>
      <c r="K147" s="43">
        <f>+'Cons spec tot e finalizzati'!R147-'Cons spec tot e finalizzati'!S147</f>
        <v>6993</v>
      </c>
      <c r="L147" s="43">
        <f>+'Cons spec tot e finalizzati'!T147-'Cons spec tot e finalizzati'!U147</f>
        <v>7207</v>
      </c>
      <c r="M147" s="43">
        <f>+'Cons spec tot e finalizzati'!V147-'Cons spec tot e finalizzati'!W147</f>
        <v>4518</v>
      </c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s="2" customFormat="1" ht="12.75">
      <c r="A148" s="37"/>
      <c r="B148" s="10" t="s">
        <v>17</v>
      </c>
      <c r="C148" s="11"/>
      <c r="D148" s="43">
        <f>+'Cons spec tot e finalizzati'!D148-'Cons spec tot e finalizzati'!E148</f>
        <v>2584</v>
      </c>
      <c r="E148" s="43">
        <f>+'Cons spec tot e finalizzati'!F148-'Cons spec tot e finalizzati'!G148</f>
        <v>2394</v>
      </c>
      <c r="F148" s="43">
        <f>+'Cons spec tot e finalizzati'!H148-'Cons spec tot e finalizzati'!I148</f>
        <v>2604</v>
      </c>
      <c r="G148" s="46">
        <f>+'Cons spec tot e finalizzati'!J148-'Cons spec tot e finalizzati'!K148</f>
        <v>1814</v>
      </c>
      <c r="H148" s="43">
        <f>+'Cons spec tot e finalizzati'!L148-'Cons spec tot e finalizzati'!M148</f>
        <v>2034</v>
      </c>
      <c r="I148" s="43">
        <f>+'Cons spec tot e finalizzati'!N148-'Cons spec tot e finalizzati'!O148</f>
        <v>2089</v>
      </c>
      <c r="J148" s="43">
        <f>+'Cons spec tot e finalizzati'!P148-'Cons spec tot e finalizzati'!Q148</f>
        <v>1692</v>
      </c>
      <c r="K148" s="43">
        <f>+'Cons spec tot e finalizzati'!R148-'Cons spec tot e finalizzati'!S148</f>
        <v>1182</v>
      </c>
      <c r="L148" s="43">
        <f>+'Cons spec tot e finalizzati'!T148-'Cons spec tot e finalizzati'!U148</f>
        <v>1122</v>
      </c>
      <c r="M148" s="43">
        <f>+'Cons spec tot e finalizzati'!V148-'Cons spec tot e finalizzati'!W148</f>
        <v>1286</v>
      </c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s="2" customFormat="1" ht="12.75">
      <c r="A149" s="37"/>
      <c r="B149" s="10" t="s">
        <v>109</v>
      </c>
      <c r="C149" s="11"/>
      <c r="D149" s="43">
        <f>+'Cons spec tot e finalizzati'!D149-'Cons spec tot e finalizzati'!E149</f>
        <v>0</v>
      </c>
      <c r="E149" s="43">
        <f>+'Cons spec tot e finalizzati'!F149-'Cons spec tot e finalizzati'!G149</f>
        <v>0</v>
      </c>
      <c r="F149" s="43">
        <f>+'Cons spec tot e finalizzati'!H149-'Cons spec tot e finalizzati'!I149</f>
        <v>0</v>
      </c>
      <c r="G149" s="46">
        <f>+'Cons spec tot e finalizzati'!J149-'Cons spec tot e finalizzati'!K149</f>
        <v>396</v>
      </c>
      <c r="H149" s="43">
        <f>+'Cons spec tot e finalizzati'!L149-'Cons spec tot e finalizzati'!M149</f>
        <v>869</v>
      </c>
      <c r="I149" s="43">
        <f>+'Cons spec tot e finalizzati'!N149-'Cons spec tot e finalizzati'!O149</f>
        <v>1845</v>
      </c>
      <c r="J149" s="43">
        <f>+'Cons spec tot e finalizzati'!P149-'Cons spec tot e finalizzati'!Q149</f>
        <v>3040</v>
      </c>
      <c r="K149" s="43">
        <f>+'Cons spec tot e finalizzati'!R149-'Cons spec tot e finalizzati'!S149</f>
        <v>3306</v>
      </c>
      <c r="L149" s="43">
        <f>+'Cons spec tot e finalizzati'!T149-'Cons spec tot e finalizzati'!U149</f>
        <v>4123</v>
      </c>
      <c r="M149" s="43">
        <f>+'Cons spec tot e finalizzati'!V149-'Cons spec tot e finalizzati'!W149</f>
        <v>5172</v>
      </c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s="2" customFormat="1" ht="12.75">
      <c r="A150" s="37"/>
      <c r="B150" s="10" t="s">
        <v>108</v>
      </c>
      <c r="C150" s="11"/>
      <c r="D150" s="43">
        <f>+'Cons spec tot e finalizzati'!D150-'Cons spec tot e finalizzati'!E150</f>
        <v>0</v>
      </c>
      <c r="E150" s="43">
        <f>+'Cons spec tot e finalizzati'!F150-'Cons spec tot e finalizzati'!G150</f>
        <v>0</v>
      </c>
      <c r="F150" s="43">
        <f>+'Cons spec tot e finalizzati'!H150-'Cons spec tot e finalizzati'!I150</f>
        <v>0</v>
      </c>
      <c r="G150" s="46">
        <f>+'Cons spec tot e finalizzati'!J150-'Cons spec tot e finalizzati'!K150</f>
        <v>0</v>
      </c>
      <c r="H150" s="43">
        <f>+'Cons spec tot e finalizzati'!L150-'Cons spec tot e finalizzati'!M150</f>
        <v>0</v>
      </c>
      <c r="I150" s="43">
        <f>+'Cons spec tot e finalizzati'!N150-'Cons spec tot e finalizzati'!O150</f>
        <v>0</v>
      </c>
      <c r="J150" s="43">
        <f>+'Cons spec tot e finalizzati'!P150-'Cons spec tot e finalizzati'!Q150</f>
        <v>0</v>
      </c>
      <c r="K150" s="43">
        <f>+'Cons spec tot e finalizzati'!R150-'Cons spec tot e finalizzati'!S150</f>
        <v>0</v>
      </c>
      <c r="L150" s="43">
        <f>+'Cons spec tot e finalizzati'!T150-'Cons spec tot e finalizzati'!U150</f>
        <v>100</v>
      </c>
      <c r="M150" s="43">
        <f>+'Cons spec tot e finalizzati'!V150-'Cons spec tot e finalizzati'!W150</f>
        <v>100</v>
      </c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s="2" customFormat="1" ht="12.75">
      <c r="A151" s="37"/>
      <c r="B151" s="10" t="s">
        <v>87</v>
      </c>
      <c r="C151" s="11"/>
      <c r="D151" s="43">
        <f>+'Cons spec tot e finalizzati'!D151-'Cons spec tot e finalizzati'!E151</f>
        <v>0</v>
      </c>
      <c r="E151" s="43">
        <f>+'Cons spec tot e finalizzati'!F151-'Cons spec tot e finalizzati'!G151</f>
        <v>0</v>
      </c>
      <c r="F151" s="43">
        <f>+'Cons spec tot e finalizzati'!H151-'Cons spec tot e finalizzati'!I151</f>
        <v>0</v>
      </c>
      <c r="G151" s="46">
        <f>+'Cons spec tot e finalizzati'!J151-'Cons spec tot e finalizzati'!K151</f>
        <v>761</v>
      </c>
      <c r="H151" s="43">
        <f>+'Cons spec tot e finalizzati'!L151-'Cons spec tot e finalizzati'!M151</f>
        <v>790</v>
      </c>
      <c r="I151" s="43">
        <f>+'Cons spec tot e finalizzati'!N151-'Cons spec tot e finalizzati'!O151</f>
        <v>449</v>
      </c>
      <c r="J151" s="43">
        <f>+'Cons spec tot e finalizzati'!P151-'Cons spec tot e finalizzati'!Q151</f>
        <v>601</v>
      </c>
      <c r="K151" s="43">
        <f>+'Cons spec tot e finalizzati'!R151-'Cons spec tot e finalizzati'!S151</f>
        <v>427</v>
      </c>
      <c r="L151" s="43">
        <f>+'Cons spec tot e finalizzati'!T151-'Cons spec tot e finalizzati'!U151</f>
        <v>442</v>
      </c>
      <c r="M151" s="43">
        <f>+'Cons spec tot e finalizzati'!V151-'Cons spec tot e finalizzati'!W151</f>
        <v>514</v>
      </c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13" s="137" customFormat="1" ht="12.75">
      <c r="A152" s="139"/>
      <c r="B152" s="140" t="s">
        <v>57</v>
      </c>
      <c r="C152" s="140"/>
      <c r="D152" s="141">
        <f>+'Cons spec tot e finalizzati'!D152-'Cons spec tot e finalizzati'!E152</f>
        <v>1126</v>
      </c>
      <c r="E152" s="141">
        <f>+'Cons spec tot e finalizzati'!F152-'Cons spec tot e finalizzati'!G152</f>
        <v>1576</v>
      </c>
      <c r="F152" s="141">
        <f>+'Cons spec tot e finalizzati'!H152-'Cons spec tot e finalizzati'!I152</f>
        <v>0</v>
      </c>
      <c r="G152" s="141">
        <f>+'Cons spec tot e finalizzati'!J152-'Cons spec tot e finalizzati'!K152</f>
        <v>0</v>
      </c>
      <c r="H152" s="141">
        <f>+'Cons spec tot e finalizzati'!L152-'Cons spec tot e finalizzati'!M152</f>
        <v>0</v>
      </c>
      <c r="I152" s="141">
        <f>+'Cons spec tot e finalizzati'!N152-'Cons spec tot e finalizzati'!O152</f>
        <v>0</v>
      </c>
      <c r="J152" s="141">
        <f>+'Cons spec tot e finalizzati'!P152-'Cons spec tot e finalizzati'!Q152</f>
        <v>0</v>
      </c>
      <c r="K152" s="141">
        <f>+'Cons spec tot e finalizzati'!R152-'Cons spec tot e finalizzati'!S152</f>
        <v>0</v>
      </c>
      <c r="L152" s="141">
        <f>+'Cons spec tot e finalizzati'!T152-'Cons spec tot e finalizzati'!U152</f>
        <v>0</v>
      </c>
      <c r="M152" s="141">
        <f>+'Cons spec tot e finalizzati'!V152-'Cons spec tot e finalizzati'!W152</f>
        <v>0</v>
      </c>
    </row>
    <row r="153" spans="1:32" s="2" customFormat="1" ht="12.75">
      <c r="A153" s="96" t="s">
        <v>19</v>
      </c>
      <c r="B153" s="91"/>
      <c r="C153" s="91"/>
      <c r="D153" s="55">
        <f>+'Cons spec tot e finalizzati'!D153-'Cons spec tot e finalizzati'!E153</f>
        <v>1577</v>
      </c>
      <c r="E153" s="55">
        <f>+'Cons spec tot e finalizzati'!F153-'Cons spec tot e finalizzati'!G153</f>
        <v>1657</v>
      </c>
      <c r="F153" s="55">
        <f>+'Cons spec tot e finalizzati'!H153-'Cons spec tot e finalizzati'!I153</f>
        <v>1762</v>
      </c>
      <c r="G153" s="55">
        <f>+'Cons spec tot e finalizzati'!J153-'Cons spec tot e finalizzati'!K153</f>
        <v>1827</v>
      </c>
      <c r="H153" s="55">
        <f>+'Cons spec tot e finalizzati'!L153-'Cons spec tot e finalizzati'!M153</f>
        <v>1854</v>
      </c>
      <c r="I153" s="55">
        <f>+'Cons spec tot e finalizzati'!N153-'Cons spec tot e finalizzati'!O153</f>
        <v>2122</v>
      </c>
      <c r="J153" s="55">
        <f>+'Cons spec tot e finalizzati'!P153-'Cons spec tot e finalizzati'!Q153</f>
        <v>2133</v>
      </c>
      <c r="K153" s="55">
        <f>+'Cons spec tot e finalizzati'!R153-'Cons spec tot e finalizzati'!S153</f>
        <v>2143</v>
      </c>
      <c r="L153" s="55">
        <f>+'Cons spec tot e finalizzati'!T153-'Cons spec tot e finalizzati'!U153</f>
        <v>2177</v>
      </c>
      <c r="M153" s="55">
        <f>+'Cons spec tot e finalizzati'!V153-'Cons spec tot e finalizzati'!W153</f>
        <v>2383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s="2" customFormat="1" ht="12.75">
      <c r="A154" s="37"/>
      <c r="B154" s="10" t="s">
        <v>20</v>
      </c>
      <c r="C154" s="11"/>
      <c r="D154" s="43">
        <f>+'Cons spec tot e finalizzati'!D154-'Cons spec tot e finalizzati'!E154</f>
        <v>245</v>
      </c>
      <c r="E154" s="43">
        <f>+'Cons spec tot e finalizzati'!F154-'Cons spec tot e finalizzati'!G154</f>
        <v>262</v>
      </c>
      <c r="F154" s="43">
        <f>+'Cons spec tot e finalizzati'!H154-'Cons spec tot e finalizzati'!I154</f>
        <v>281</v>
      </c>
      <c r="G154" s="46">
        <f>+'Cons spec tot e finalizzati'!J154-'Cons spec tot e finalizzati'!K154</f>
        <v>229</v>
      </c>
      <c r="H154" s="43">
        <f>+'Cons spec tot e finalizzati'!L154-'Cons spec tot e finalizzati'!M154</f>
        <v>259</v>
      </c>
      <c r="I154" s="43">
        <f>+'Cons spec tot e finalizzati'!N154-'Cons spec tot e finalizzati'!O154</f>
        <v>306</v>
      </c>
      <c r="J154" s="43">
        <f>+'Cons spec tot e finalizzati'!P154-'Cons spec tot e finalizzati'!Q154</f>
        <v>225</v>
      </c>
      <c r="K154" s="43">
        <f>+'Cons spec tot e finalizzati'!R154-'Cons spec tot e finalizzati'!S154</f>
        <v>225</v>
      </c>
      <c r="L154" s="43">
        <f>+'Cons spec tot e finalizzati'!T154-'Cons spec tot e finalizzati'!U154</f>
        <v>255</v>
      </c>
      <c r="M154" s="43">
        <f>+'Cons spec tot e finalizzati'!V154-'Cons spec tot e finalizzati'!W154</f>
        <v>131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s="2" customFormat="1" ht="12.75">
      <c r="A155" s="37"/>
      <c r="B155" s="10" t="s">
        <v>21</v>
      </c>
      <c r="C155" s="11"/>
      <c r="D155" s="43">
        <f>+'Cons spec tot e finalizzati'!D155-'Cons spec tot e finalizzati'!E155</f>
        <v>943</v>
      </c>
      <c r="E155" s="43">
        <f>+'Cons spec tot e finalizzati'!F155-'Cons spec tot e finalizzati'!G155</f>
        <v>947</v>
      </c>
      <c r="F155" s="43">
        <f>+'Cons spec tot e finalizzati'!H155-'Cons spec tot e finalizzati'!I155</f>
        <v>959</v>
      </c>
      <c r="G155" s="46">
        <f>+'Cons spec tot e finalizzati'!J155-'Cons spec tot e finalizzati'!K155</f>
        <v>1093</v>
      </c>
      <c r="H155" s="43">
        <f>+'Cons spec tot e finalizzati'!L155-'Cons spec tot e finalizzati'!M155</f>
        <v>1088</v>
      </c>
      <c r="I155" s="43">
        <f>+'Cons spec tot e finalizzati'!N155-'Cons spec tot e finalizzati'!O155</f>
        <v>1286</v>
      </c>
      <c r="J155" s="43">
        <f>+'Cons spec tot e finalizzati'!P155-'Cons spec tot e finalizzati'!Q155</f>
        <v>1230</v>
      </c>
      <c r="K155" s="43">
        <f>+'Cons spec tot e finalizzati'!R155-'Cons spec tot e finalizzati'!S155</f>
        <v>1210</v>
      </c>
      <c r="L155" s="43">
        <f>+'Cons spec tot e finalizzati'!T155-'Cons spec tot e finalizzati'!U155</f>
        <v>1090</v>
      </c>
      <c r="M155" s="43">
        <f>+'Cons spec tot e finalizzati'!V155-'Cons spec tot e finalizzati'!W155</f>
        <v>1224</v>
      </c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s="2" customFormat="1" ht="12.75">
      <c r="A156" s="37"/>
      <c r="B156" s="10" t="s">
        <v>169</v>
      </c>
      <c r="C156" s="11"/>
      <c r="D156" s="43">
        <f>+'Cons spec tot e finalizzati'!D156-'Cons spec tot e finalizzati'!E156</f>
        <v>0</v>
      </c>
      <c r="E156" s="43">
        <f>+'Cons spec tot e finalizzati'!F156-'Cons spec tot e finalizzati'!G156</f>
        <v>0</v>
      </c>
      <c r="F156" s="43">
        <f>+'Cons spec tot e finalizzati'!H156-'Cons spec tot e finalizzati'!I156</f>
        <v>0</v>
      </c>
      <c r="G156" s="46">
        <f>+'Cons spec tot e finalizzati'!J156-'Cons spec tot e finalizzati'!K156</f>
        <v>0</v>
      </c>
      <c r="H156" s="43">
        <f>+'Cons spec tot e finalizzati'!L156-'Cons spec tot e finalizzati'!M156</f>
        <v>0</v>
      </c>
      <c r="I156" s="43">
        <f>+'Cons spec tot e finalizzati'!N156-'Cons spec tot e finalizzati'!O156</f>
        <v>0</v>
      </c>
      <c r="J156" s="43">
        <f>+'Cons spec tot e finalizzati'!P156-'Cons spec tot e finalizzati'!Q156</f>
        <v>20</v>
      </c>
      <c r="K156" s="43">
        <f>+'Cons spec tot e finalizzati'!R156-'Cons spec tot e finalizzati'!S156</f>
        <v>0</v>
      </c>
      <c r="L156" s="43">
        <f>+'Cons spec tot e finalizzati'!T156-'Cons spec tot e finalizzati'!U156</f>
        <v>0</v>
      </c>
      <c r="M156" s="43">
        <f>+'Cons spec tot e finalizzati'!V156-'Cons spec tot e finalizzati'!W156</f>
        <v>5</v>
      </c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s="2" customFormat="1" ht="12.75">
      <c r="A157" s="37"/>
      <c r="B157" s="10" t="s">
        <v>22</v>
      </c>
      <c r="C157" s="11"/>
      <c r="D157" s="43">
        <f>+'Cons spec tot e finalizzati'!D157-'Cons spec tot e finalizzati'!E157</f>
        <v>0</v>
      </c>
      <c r="E157" s="43">
        <f>+'Cons spec tot e finalizzati'!F157-'Cons spec tot e finalizzati'!G157</f>
        <v>0</v>
      </c>
      <c r="F157" s="43">
        <f>+'Cons spec tot e finalizzati'!H157-'Cons spec tot e finalizzati'!I157</f>
        <v>7</v>
      </c>
      <c r="G157" s="46">
        <f>+'Cons spec tot e finalizzati'!J157-'Cons spec tot e finalizzati'!K157</f>
        <v>7</v>
      </c>
      <c r="H157" s="43">
        <f>+'Cons spec tot e finalizzati'!L157-'Cons spec tot e finalizzati'!M157</f>
        <v>1</v>
      </c>
      <c r="I157" s="43">
        <f>+'Cons spec tot e finalizzati'!N157-'Cons spec tot e finalizzati'!O157</f>
        <v>7</v>
      </c>
      <c r="J157" s="43">
        <f>+'Cons spec tot e finalizzati'!P157-'Cons spec tot e finalizzati'!Q157</f>
        <v>0</v>
      </c>
      <c r="K157" s="43">
        <f>+'Cons spec tot e finalizzati'!R157-'Cons spec tot e finalizzati'!S157</f>
        <v>0</v>
      </c>
      <c r="L157" s="43">
        <f>+'Cons spec tot e finalizzati'!T157-'Cons spec tot e finalizzati'!U157</f>
        <v>0</v>
      </c>
      <c r="M157" s="43">
        <f>+'Cons spec tot e finalizzati'!V157-'Cons spec tot e finalizzati'!W157</f>
        <v>10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s="2" customFormat="1" ht="12.75">
      <c r="A158" s="37"/>
      <c r="B158" s="10" t="s">
        <v>23</v>
      </c>
      <c r="C158" s="11"/>
      <c r="D158" s="43">
        <f>+'Cons spec tot e finalizzati'!D158-'Cons spec tot e finalizzati'!E158</f>
        <v>14</v>
      </c>
      <c r="E158" s="43">
        <f>+'Cons spec tot e finalizzati'!F158-'Cons spec tot e finalizzati'!G158</f>
        <v>15</v>
      </c>
      <c r="F158" s="43">
        <f>+'Cons spec tot e finalizzati'!H158-'Cons spec tot e finalizzati'!I158</f>
        <v>15</v>
      </c>
      <c r="G158" s="46">
        <f>+'Cons spec tot e finalizzati'!J158-'Cons spec tot e finalizzati'!K158</f>
        <v>63</v>
      </c>
      <c r="H158" s="43">
        <f>+'Cons spec tot e finalizzati'!L158-'Cons spec tot e finalizzati'!M158</f>
        <v>66</v>
      </c>
      <c r="I158" s="43">
        <f>+'Cons spec tot e finalizzati'!N158-'Cons spec tot e finalizzati'!O158</f>
        <v>63</v>
      </c>
      <c r="J158" s="43">
        <f>+'Cons spec tot e finalizzati'!P158-'Cons spec tot e finalizzati'!Q158</f>
        <v>67</v>
      </c>
      <c r="K158" s="43">
        <f>+'Cons spec tot e finalizzati'!R158-'Cons spec tot e finalizzati'!S158</f>
        <v>68</v>
      </c>
      <c r="L158" s="43">
        <f>+'Cons spec tot e finalizzati'!T158-'Cons spec tot e finalizzati'!U158</f>
        <v>92</v>
      </c>
      <c r="M158" s="43">
        <f>+'Cons spec tot e finalizzati'!V158-'Cons spec tot e finalizzati'!W158</f>
        <v>92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s="2" customFormat="1" ht="12.75">
      <c r="A159" s="37"/>
      <c r="B159" s="10" t="s">
        <v>87</v>
      </c>
      <c r="C159" s="11"/>
      <c r="D159" s="43">
        <f>+'Cons spec tot e finalizzati'!D159-'Cons spec tot e finalizzati'!E159</f>
        <v>297</v>
      </c>
      <c r="E159" s="43">
        <f>+'Cons spec tot e finalizzati'!F159-'Cons spec tot e finalizzati'!G159</f>
        <v>343</v>
      </c>
      <c r="F159" s="43">
        <f>+'Cons spec tot e finalizzati'!H159-'Cons spec tot e finalizzati'!I159</f>
        <v>262</v>
      </c>
      <c r="G159" s="46">
        <f>+'Cons spec tot e finalizzati'!J159-'Cons spec tot e finalizzati'!K159</f>
        <v>256</v>
      </c>
      <c r="H159" s="43">
        <f>+'Cons spec tot e finalizzati'!L159-'Cons spec tot e finalizzati'!M159</f>
        <v>311</v>
      </c>
      <c r="I159" s="43">
        <f>+'Cons spec tot e finalizzati'!N159-'Cons spec tot e finalizzati'!O159</f>
        <v>330</v>
      </c>
      <c r="J159" s="43">
        <f>+'Cons spec tot e finalizzati'!P159-'Cons spec tot e finalizzati'!Q159</f>
        <v>461</v>
      </c>
      <c r="K159" s="43">
        <f>+'Cons spec tot e finalizzati'!R159-'Cons spec tot e finalizzati'!S159</f>
        <v>508</v>
      </c>
      <c r="L159" s="43">
        <f>+'Cons spec tot e finalizzati'!T159-'Cons spec tot e finalizzati'!U159</f>
        <v>610</v>
      </c>
      <c r="M159" s="43">
        <f>+'Cons spec tot e finalizzati'!V159-'Cons spec tot e finalizzati'!W159</f>
        <v>791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13" s="22" customFormat="1" ht="12.75">
      <c r="A160" s="134"/>
      <c r="B160" s="16" t="s">
        <v>88</v>
      </c>
      <c r="C160" s="16"/>
      <c r="D160" s="61">
        <f>+'Cons spec tot e finalizzati'!D160-'Cons spec tot e finalizzati'!E160</f>
        <v>78</v>
      </c>
      <c r="E160" s="61">
        <f>+'Cons spec tot e finalizzati'!F160-'Cons spec tot e finalizzati'!G160</f>
        <v>89</v>
      </c>
      <c r="F160" s="61">
        <f>+'Cons spec tot e finalizzati'!H160-'Cons spec tot e finalizzati'!I160</f>
        <v>238</v>
      </c>
      <c r="G160" s="61">
        <f>+'Cons spec tot e finalizzati'!J160-'Cons spec tot e finalizzati'!K160</f>
        <v>179</v>
      </c>
      <c r="H160" s="61">
        <f>+'Cons spec tot e finalizzati'!L160-'Cons spec tot e finalizzati'!M160</f>
        <v>129</v>
      </c>
      <c r="I160" s="61">
        <f>+'Cons spec tot e finalizzati'!N160-'Cons spec tot e finalizzati'!O160</f>
        <v>130</v>
      </c>
      <c r="J160" s="61">
        <f>+'Cons spec tot e finalizzati'!P160-'Cons spec tot e finalizzati'!Q160</f>
        <v>130</v>
      </c>
      <c r="K160" s="61">
        <f>+'Cons spec tot e finalizzati'!R160-'Cons spec tot e finalizzati'!S160</f>
        <v>132</v>
      </c>
      <c r="L160" s="61">
        <f>+'Cons spec tot e finalizzati'!T160-'Cons spec tot e finalizzati'!U160</f>
        <v>130</v>
      </c>
      <c r="M160" s="61">
        <f>+'Cons spec tot e finalizzati'!V160-'Cons spec tot e finalizzati'!W160</f>
        <v>130</v>
      </c>
    </row>
    <row r="161" spans="1:32" s="2" customFormat="1" ht="12.75">
      <c r="A161" s="96" t="s">
        <v>24</v>
      </c>
      <c r="B161" s="91"/>
      <c r="C161" s="91"/>
      <c r="D161" s="55">
        <f>+'Cons spec tot e finalizzati'!D161-'Cons spec tot e finalizzati'!E161</f>
        <v>4395</v>
      </c>
      <c r="E161" s="55">
        <f>+'Cons spec tot e finalizzati'!F161-'Cons spec tot e finalizzati'!G161</f>
        <v>4774.384801706374</v>
      </c>
      <c r="F161" s="55">
        <f>+'Cons spec tot e finalizzati'!H161-'Cons spec tot e finalizzati'!I161</f>
        <v>5164</v>
      </c>
      <c r="G161" s="55">
        <f>+'Cons spec tot e finalizzati'!J161-'Cons spec tot e finalizzati'!K161</f>
        <v>5327</v>
      </c>
      <c r="H161" s="55">
        <f>+'Cons spec tot e finalizzati'!L161-'Cons spec tot e finalizzati'!M161</f>
        <v>5355</v>
      </c>
      <c r="I161" s="55">
        <f>+'Cons spec tot e finalizzati'!N161-'Cons spec tot e finalizzati'!O161</f>
        <v>5862</v>
      </c>
      <c r="J161" s="55">
        <f>+'Cons spec tot e finalizzati'!P161-'Cons spec tot e finalizzati'!Q161</f>
        <v>6118</v>
      </c>
      <c r="K161" s="55">
        <f>+'Cons spec tot e finalizzati'!R161-'Cons spec tot e finalizzati'!S161</f>
        <v>6214</v>
      </c>
      <c r="L161" s="55">
        <f>+'Cons spec tot e finalizzati'!T161-'Cons spec tot e finalizzati'!U161</f>
        <v>6094</v>
      </c>
      <c r="M161" s="55">
        <f>+'Cons spec tot e finalizzati'!V161-'Cons spec tot e finalizzati'!W161</f>
        <v>5501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s="2" customFormat="1" ht="12.75">
      <c r="A162" s="37"/>
      <c r="B162" s="10" t="s">
        <v>20</v>
      </c>
      <c r="C162" s="11"/>
      <c r="D162" s="43">
        <f>+'Cons spec tot e finalizzati'!D162-'Cons spec tot e finalizzati'!E162</f>
        <v>194</v>
      </c>
      <c r="E162" s="43">
        <f>+'Cons spec tot e finalizzati'!F162-'Cons spec tot e finalizzati'!G162</f>
        <v>264.3848017063736</v>
      </c>
      <c r="F162" s="43">
        <f>+'Cons spec tot e finalizzati'!H162-'Cons spec tot e finalizzati'!I162</f>
        <v>205</v>
      </c>
      <c r="G162" s="46">
        <f>+'Cons spec tot e finalizzati'!J162-'Cons spec tot e finalizzati'!K162</f>
        <v>155</v>
      </c>
      <c r="H162" s="43">
        <f>+'Cons spec tot e finalizzati'!L162-'Cons spec tot e finalizzati'!M162</f>
        <v>165</v>
      </c>
      <c r="I162" s="43">
        <f>+'Cons spec tot e finalizzati'!N162-'Cons spec tot e finalizzati'!O162</f>
        <v>163</v>
      </c>
      <c r="J162" s="43">
        <f>+'Cons spec tot e finalizzati'!P162-'Cons spec tot e finalizzati'!Q162</f>
        <v>202</v>
      </c>
      <c r="K162" s="43">
        <f>+'Cons spec tot e finalizzati'!R162-'Cons spec tot e finalizzati'!S162</f>
        <v>181</v>
      </c>
      <c r="L162" s="43">
        <f>+'Cons spec tot e finalizzati'!T162-'Cons spec tot e finalizzati'!U162</f>
        <v>152</v>
      </c>
      <c r="M162" s="43">
        <f>+'Cons spec tot e finalizzati'!V162-'Cons spec tot e finalizzati'!W162</f>
        <v>125</v>
      </c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s="2" customFormat="1" ht="12.75">
      <c r="A163" s="37"/>
      <c r="B163" s="10" t="s">
        <v>21</v>
      </c>
      <c r="C163" s="11"/>
      <c r="D163" s="43">
        <f>+'Cons spec tot e finalizzati'!D163-'Cons spec tot e finalizzati'!E163</f>
        <v>3173</v>
      </c>
      <c r="E163" s="43">
        <f>+'Cons spec tot e finalizzati'!F163-'Cons spec tot e finalizzati'!G163</f>
        <v>3300</v>
      </c>
      <c r="F163" s="43">
        <f>+'Cons spec tot e finalizzati'!H163-'Cons spec tot e finalizzati'!I163</f>
        <v>3244</v>
      </c>
      <c r="G163" s="46">
        <f>+'Cons spec tot e finalizzati'!J163-'Cons spec tot e finalizzati'!K163</f>
        <v>3393</v>
      </c>
      <c r="H163" s="43">
        <f>+'Cons spec tot e finalizzati'!L163-'Cons spec tot e finalizzati'!M163</f>
        <v>3171</v>
      </c>
      <c r="I163" s="43">
        <f>+'Cons spec tot e finalizzati'!N163-'Cons spec tot e finalizzati'!O163</f>
        <v>3290</v>
      </c>
      <c r="J163" s="43">
        <f>+'Cons spec tot e finalizzati'!P163-'Cons spec tot e finalizzati'!Q163</f>
        <v>3320</v>
      </c>
      <c r="K163" s="43">
        <f>+'Cons spec tot e finalizzati'!R163-'Cons spec tot e finalizzati'!S163</f>
        <v>3303</v>
      </c>
      <c r="L163" s="43">
        <f>+'Cons spec tot e finalizzati'!T163-'Cons spec tot e finalizzati'!U163</f>
        <v>3286</v>
      </c>
      <c r="M163" s="43">
        <f>+'Cons spec tot e finalizzati'!V163-'Cons spec tot e finalizzati'!W163</f>
        <v>2864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s="2" customFormat="1" ht="12.75">
      <c r="A164" s="37"/>
      <c r="B164" s="10" t="s">
        <v>170</v>
      </c>
      <c r="C164" s="11"/>
      <c r="D164" s="43">
        <f>+'Cons spec tot e finalizzati'!D164-'Cons spec tot e finalizzati'!E164</f>
        <v>0</v>
      </c>
      <c r="E164" s="43">
        <f>+'Cons spec tot e finalizzati'!F164-'Cons spec tot e finalizzati'!G164</f>
        <v>0</v>
      </c>
      <c r="F164" s="43">
        <f>+'Cons spec tot e finalizzati'!H164-'Cons spec tot e finalizzati'!I164</f>
        <v>0</v>
      </c>
      <c r="G164" s="46">
        <f>+'Cons spec tot e finalizzati'!J164-'Cons spec tot e finalizzati'!K164</f>
        <v>0</v>
      </c>
      <c r="H164" s="43">
        <f>+'Cons spec tot e finalizzati'!L164-'Cons spec tot e finalizzati'!M164</f>
        <v>0</v>
      </c>
      <c r="I164" s="43">
        <f>+'Cons spec tot e finalizzati'!N164-'Cons spec tot e finalizzati'!O164</f>
        <v>0</v>
      </c>
      <c r="J164" s="43">
        <f>+'Cons spec tot e finalizzati'!P164-'Cons spec tot e finalizzati'!Q164</f>
        <v>0</v>
      </c>
      <c r="K164" s="43">
        <f>+'Cons spec tot e finalizzati'!R164-'Cons spec tot e finalizzati'!S164</f>
        <v>0</v>
      </c>
      <c r="L164" s="43">
        <f>+'Cons spec tot e finalizzati'!T164-'Cons spec tot e finalizzati'!U164</f>
        <v>0</v>
      </c>
      <c r="M164" s="43">
        <f>+'Cons spec tot e finalizzati'!V164-'Cons spec tot e finalizzati'!W164</f>
        <v>26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s="2" customFormat="1" ht="12.75">
      <c r="A165" s="37"/>
      <c r="B165" s="10" t="s">
        <v>169</v>
      </c>
      <c r="C165" s="11"/>
      <c r="D165" s="43">
        <f>+'Cons spec tot e finalizzati'!D165-'Cons spec tot e finalizzati'!E165</f>
        <v>0</v>
      </c>
      <c r="E165" s="43">
        <f>+'Cons spec tot e finalizzati'!F165-'Cons spec tot e finalizzati'!G165</f>
        <v>0</v>
      </c>
      <c r="F165" s="43">
        <f>+'Cons spec tot e finalizzati'!H165-'Cons spec tot e finalizzati'!I165</f>
        <v>0</v>
      </c>
      <c r="G165" s="46">
        <f>+'Cons spec tot e finalizzati'!J165-'Cons spec tot e finalizzati'!K165</f>
        <v>2</v>
      </c>
      <c r="H165" s="43">
        <f>+'Cons spec tot e finalizzati'!L165-'Cons spec tot e finalizzati'!M165</f>
        <v>70</v>
      </c>
      <c r="I165" s="43">
        <f>+'Cons spec tot e finalizzati'!N165-'Cons spec tot e finalizzati'!O165</f>
        <v>400</v>
      </c>
      <c r="J165" s="43">
        <f>+'Cons spec tot e finalizzati'!P165-'Cons spec tot e finalizzati'!Q165</f>
        <v>689</v>
      </c>
      <c r="K165" s="43">
        <f>+'Cons spec tot e finalizzati'!R165-'Cons spec tot e finalizzati'!S165</f>
        <v>789</v>
      </c>
      <c r="L165" s="43">
        <f>+'Cons spec tot e finalizzati'!T165-'Cons spec tot e finalizzati'!U165</f>
        <v>607</v>
      </c>
      <c r="M165" s="43">
        <f>+'Cons spec tot e finalizzati'!V165-'Cons spec tot e finalizzati'!W165</f>
        <v>450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s="2" customFormat="1" ht="12.75">
      <c r="A166" s="37"/>
      <c r="B166" s="10" t="s">
        <v>22</v>
      </c>
      <c r="C166" s="11"/>
      <c r="D166" s="43">
        <f>+'Cons spec tot e finalizzati'!D166-'Cons spec tot e finalizzati'!E166</f>
        <v>0</v>
      </c>
      <c r="E166" s="43">
        <f>+'Cons spec tot e finalizzati'!F166-'Cons spec tot e finalizzati'!G166</f>
        <v>0</v>
      </c>
      <c r="F166" s="43">
        <f>+'Cons spec tot e finalizzati'!H166-'Cons spec tot e finalizzati'!I166</f>
        <v>22</v>
      </c>
      <c r="G166" s="46">
        <f>+'Cons spec tot e finalizzati'!J166-'Cons spec tot e finalizzati'!K166</f>
        <v>26</v>
      </c>
      <c r="H166" s="43">
        <f>+'Cons spec tot e finalizzati'!L166-'Cons spec tot e finalizzati'!M166</f>
        <v>36</v>
      </c>
      <c r="I166" s="43">
        <f>+'Cons spec tot e finalizzati'!N166-'Cons spec tot e finalizzati'!O166</f>
        <v>43</v>
      </c>
      <c r="J166" s="43">
        <f>+'Cons spec tot e finalizzati'!P166-'Cons spec tot e finalizzati'!Q166</f>
        <v>0</v>
      </c>
      <c r="K166" s="43">
        <f>+'Cons spec tot e finalizzati'!R166-'Cons spec tot e finalizzati'!S166</f>
        <v>0</v>
      </c>
      <c r="L166" s="43">
        <f>+'Cons spec tot e finalizzati'!T166-'Cons spec tot e finalizzati'!U166</f>
        <v>0</v>
      </c>
      <c r="M166" s="43">
        <f>+'Cons spec tot e finalizzati'!V166-'Cons spec tot e finalizzati'!W166</f>
        <v>0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s="2" customFormat="1" ht="12.75">
      <c r="A167" s="37"/>
      <c r="B167" s="10" t="s">
        <v>23</v>
      </c>
      <c r="C167" s="11"/>
      <c r="D167" s="43">
        <f>+'Cons spec tot e finalizzati'!D167-'Cons spec tot e finalizzati'!E167</f>
        <v>51</v>
      </c>
      <c r="E167" s="43">
        <f>+'Cons spec tot e finalizzati'!F167-'Cons spec tot e finalizzati'!G167</f>
        <v>51</v>
      </c>
      <c r="F167" s="43">
        <f>+'Cons spec tot e finalizzati'!H167-'Cons spec tot e finalizzati'!I167</f>
        <v>97</v>
      </c>
      <c r="G167" s="46">
        <f>+'Cons spec tot e finalizzati'!J167-'Cons spec tot e finalizzati'!K167</f>
        <v>66</v>
      </c>
      <c r="H167" s="43">
        <f>+'Cons spec tot e finalizzati'!L167-'Cons spec tot e finalizzati'!M167</f>
        <v>76</v>
      </c>
      <c r="I167" s="43">
        <f>+'Cons spec tot e finalizzati'!N167-'Cons spec tot e finalizzati'!O167</f>
        <v>85</v>
      </c>
      <c r="J167" s="43">
        <f>+'Cons spec tot e finalizzati'!P167-'Cons spec tot e finalizzati'!Q167</f>
        <v>92</v>
      </c>
      <c r="K167" s="43">
        <f>+'Cons spec tot e finalizzati'!R167-'Cons spec tot e finalizzati'!S167</f>
        <v>92</v>
      </c>
      <c r="L167" s="43">
        <f>+'Cons spec tot e finalizzati'!T167-'Cons spec tot e finalizzati'!U167</f>
        <v>92</v>
      </c>
      <c r="M167" s="43">
        <f>+'Cons spec tot e finalizzati'!V167-'Cons spec tot e finalizzati'!W167</f>
        <v>104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s="2" customFormat="1" ht="12.75">
      <c r="A168" s="37"/>
      <c r="B168" s="10" t="s">
        <v>87</v>
      </c>
      <c r="C168" s="11"/>
      <c r="D168" s="43">
        <f>+'Cons spec tot e finalizzati'!D168-'Cons spec tot e finalizzati'!E168</f>
        <v>798</v>
      </c>
      <c r="E168" s="43">
        <f>+'Cons spec tot e finalizzati'!F168-'Cons spec tot e finalizzati'!G168</f>
        <v>948</v>
      </c>
      <c r="F168" s="43">
        <f>+'Cons spec tot e finalizzati'!H168-'Cons spec tot e finalizzati'!I168</f>
        <v>1085</v>
      </c>
      <c r="G168" s="46">
        <f>+'Cons spec tot e finalizzati'!J168-'Cons spec tot e finalizzati'!K168</f>
        <v>1128</v>
      </c>
      <c r="H168" s="43">
        <f>+'Cons spec tot e finalizzati'!L168-'Cons spec tot e finalizzati'!M168</f>
        <v>1324</v>
      </c>
      <c r="I168" s="43">
        <f>+'Cons spec tot e finalizzati'!N168-'Cons spec tot e finalizzati'!O168</f>
        <v>1397</v>
      </c>
      <c r="J168" s="43">
        <f>+'Cons spec tot e finalizzati'!P168-'Cons spec tot e finalizzati'!Q168</f>
        <v>1334</v>
      </c>
      <c r="K168" s="43">
        <f>+'Cons spec tot e finalizzati'!R168-'Cons spec tot e finalizzati'!S168</f>
        <v>1375</v>
      </c>
      <c r="L168" s="43">
        <f>+'Cons spec tot e finalizzati'!T168-'Cons spec tot e finalizzati'!U168</f>
        <v>1456</v>
      </c>
      <c r="M168" s="43">
        <f>+'Cons spec tot e finalizzati'!V168-'Cons spec tot e finalizzati'!W168</f>
        <v>1514</v>
      </c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13" s="22" customFormat="1" ht="12.75">
      <c r="A169" s="134"/>
      <c r="B169" s="16" t="s">
        <v>88</v>
      </c>
      <c r="C169" s="16"/>
      <c r="D169" s="61">
        <f>+'Cons spec tot e finalizzati'!D169-'Cons spec tot e finalizzati'!E169</f>
        <v>179</v>
      </c>
      <c r="E169" s="61">
        <f>+'Cons spec tot e finalizzati'!F169-'Cons spec tot e finalizzati'!G169</f>
        <v>211</v>
      </c>
      <c r="F169" s="61">
        <f>+'Cons spec tot e finalizzati'!H169-'Cons spec tot e finalizzati'!I169</f>
        <v>511</v>
      </c>
      <c r="G169" s="61">
        <f>+'Cons spec tot e finalizzati'!J169-'Cons spec tot e finalizzati'!K169</f>
        <v>557</v>
      </c>
      <c r="H169" s="61">
        <f>+'Cons spec tot e finalizzati'!L169-'Cons spec tot e finalizzati'!M169</f>
        <v>513</v>
      </c>
      <c r="I169" s="61">
        <f>+'Cons spec tot e finalizzati'!N169-'Cons spec tot e finalizzati'!O169</f>
        <v>484</v>
      </c>
      <c r="J169" s="61">
        <f>+'Cons spec tot e finalizzati'!P169-'Cons spec tot e finalizzati'!Q169</f>
        <v>481</v>
      </c>
      <c r="K169" s="61">
        <f>+'Cons spec tot e finalizzati'!R169-'Cons spec tot e finalizzati'!S169</f>
        <v>474</v>
      </c>
      <c r="L169" s="61">
        <f>+'Cons spec tot e finalizzati'!T169-'Cons spec tot e finalizzati'!U169</f>
        <v>501</v>
      </c>
      <c r="M169" s="61">
        <f>+'Cons spec tot e finalizzati'!V169-'Cons spec tot e finalizzati'!W169</f>
        <v>418</v>
      </c>
    </row>
    <row r="170" spans="1:32" s="2" customFormat="1" ht="12.75">
      <c r="A170" s="96" t="s">
        <v>25</v>
      </c>
      <c r="B170" s="91"/>
      <c r="C170" s="91"/>
      <c r="D170" s="55">
        <f>+'Cons spec tot e finalizzati'!D170-'Cons spec tot e finalizzati'!E170</f>
        <v>2656</v>
      </c>
      <c r="E170" s="55">
        <f>+'Cons spec tot e finalizzati'!F170-'Cons spec tot e finalizzati'!G170</f>
        <v>2762</v>
      </c>
      <c r="F170" s="55">
        <f>+'Cons spec tot e finalizzati'!H170-'Cons spec tot e finalizzati'!I170</f>
        <v>2844</v>
      </c>
      <c r="G170" s="55">
        <f>+'Cons spec tot e finalizzati'!J170-'Cons spec tot e finalizzati'!K170</f>
        <v>3042</v>
      </c>
      <c r="H170" s="55">
        <f>+'Cons spec tot e finalizzati'!L170-'Cons spec tot e finalizzati'!M170</f>
        <v>3176</v>
      </c>
      <c r="I170" s="55">
        <f>+'Cons spec tot e finalizzati'!N170-'Cons spec tot e finalizzati'!O170</f>
        <v>3094</v>
      </c>
      <c r="J170" s="55">
        <f>+'Cons spec tot e finalizzati'!P170-'Cons spec tot e finalizzati'!Q170</f>
        <v>3223</v>
      </c>
      <c r="K170" s="55">
        <f>+'Cons spec tot e finalizzati'!R170-'Cons spec tot e finalizzati'!S170</f>
        <v>3282</v>
      </c>
      <c r="L170" s="55">
        <f>+'Cons spec tot e finalizzati'!T170-'Cons spec tot e finalizzati'!U170</f>
        <v>3619</v>
      </c>
      <c r="M170" s="55">
        <f>+'Cons spec tot e finalizzati'!V170-'Cons spec tot e finalizzati'!W170</f>
        <v>2902</v>
      </c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s="2" customFormat="1" ht="12.75">
      <c r="A171" s="37"/>
      <c r="B171" s="10" t="s">
        <v>20</v>
      </c>
      <c r="C171" s="11"/>
      <c r="D171" s="43">
        <f>+'Cons spec tot e finalizzati'!D171-'Cons spec tot e finalizzati'!E171</f>
        <v>244</v>
      </c>
      <c r="E171" s="43">
        <f>+'Cons spec tot e finalizzati'!F171-'Cons spec tot e finalizzati'!G171</f>
        <v>244</v>
      </c>
      <c r="F171" s="43">
        <f>+'Cons spec tot e finalizzati'!H171-'Cons spec tot e finalizzati'!I171</f>
        <v>170</v>
      </c>
      <c r="G171" s="46">
        <f>+'Cons spec tot e finalizzati'!J171-'Cons spec tot e finalizzati'!K171</f>
        <v>178</v>
      </c>
      <c r="H171" s="43">
        <f>+'Cons spec tot e finalizzati'!L171-'Cons spec tot e finalizzati'!M171</f>
        <v>156</v>
      </c>
      <c r="I171" s="43">
        <f>+'Cons spec tot e finalizzati'!N171-'Cons spec tot e finalizzati'!O171</f>
        <v>112</v>
      </c>
      <c r="J171" s="43">
        <f>+'Cons spec tot e finalizzati'!P171-'Cons spec tot e finalizzati'!Q171</f>
        <v>136</v>
      </c>
      <c r="K171" s="43">
        <f>+'Cons spec tot e finalizzati'!R171-'Cons spec tot e finalizzati'!S171</f>
        <v>100</v>
      </c>
      <c r="L171" s="43">
        <f>+'Cons spec tot e finalizzati'!T171-'Cons spec tot e finalizzati'!U171</f>
        <v>79</v>
      </c>
      <c r="M171" s="43">
        <f>+'Cons spec tot e finalizzati'!V171-'Cons spec tot e finalizzati'!W171</f>
        <v>52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s="2" customFormat="1" ht="12.75">
      <c r="A172" s="37"/>
      <c r="B172" s="10" t="s">
        <v>21</v>
      </c>
      <c r="C172" s="11"/>
      <c r="D172" s="43">
        <f>+'Cons spec tot e finalizzati'!D172-'Cons spec tot e finalizzati'!E172</f>
        <v>1954</v>
      </c>
      <c r="E172" s="43">
        <f>+'Cons spec tot e finalizzati'!F172-'Cons spec tot e finalizzati'!G172</f>
        <v>2005</v>
      </c>
      <c r="F172" s="43">
        <f>+'Cons spec tot e finalizzati'!H172-'Cons spec tot e finalizzati'!I172</f>
        <v>2041</v>
      </c>
      <c r="G172" s="46">
        <f>+'Cons spec tot e finalizzati'!J172-'Cons spec tot e finalizzati'!K172</f>
        <v>1975</v>
      </c>
      <c r="H172" s="43">
        <f>+'Cons spec tot e finalizzati'!L172-'Cons spec tot e finalizzati'!M172</f>
        <v>2090</v>
      </c>
      <c r="I172" s="43">
        <f>+'Cons spec tot e finalizzati'!N172-'Cons spec tot e finalizzati'!O172</f>
        <v>2118</v>
      </c>
      <c r="J172" s="43">
        <f>+'Cons spec tot e finalizzati'!P172-'Cons spec tot e finalizzati'!Q172</f>
        <v>2162</v>
      </c>
      <c r="K172" s="43">
        <f>+'Cons spec tot e finalizzati'!R172-'Cons spec tot e finalizzati'!S172</f>
        <v>2114</v>
      </c>
      <c r="L172" s="43">
        <f>+'Cons spec tot e finalizzati'!T172-'Cons spec tot e finalizzati'!U172</f>
        <v>2110</v>
      </c>
      <c r="M172" s="43">
        <f>+'Cons spec tot e finalizzati'!V172-'Cons spec tot e finalizzati'!W172</f>
        <v>1705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s="2" customFormat="1" ht="12.75">
      <c r="A173" s="37"/>
      <c r="B173" s="10" t="s">
        <v>170</v>
      </c>
      <c r="C173" s="11"/>
      <c r="D173" s="43">
        <f>+'Cons spec tot e finalizzati'!D173-'Cons spec tot e finalizzati'!E173</f>
        <v>0</v>
      </c>
      <c r="E173" s="43">
        <f>+'Cons spec tot e finalizzati'!F173-'Cons spec tot e finalizzati'!G173</f>
        <v>0</v>
      </c>
      <c r="F173" s="43">
        <f>+'Cons spec tot e finalizzati'!H173-'Cons spec tot e finalizzati'!I173</f>
        <v>0</v>
      </c>
      <c r="G173" s="46">
        <f>+'Cons spec tot e finalizzati'!J173-'Cons spec tot e finalizzati'!K173</f>
        <v>0</v>
      </c>
      <c r="H173" s="43">
        <f>+'Cons spec tot e finalizzati'!L173-'Cons spec tot e finalizzati'!M173</f>
        <v>0</v>
      </c>
      <c r="I173" s="43">
        <f>+'Cons spec tot e finalizzati'!N173-'Cons spec tot e finalizzati'!O173</f>
        <v>0</v>
      </c>
      <c r="J173" s="43">
        <f>+'Cons spec tot e finalizzati'!P173-'Cons spec tot e finalizzati'!Q173</f>
        <v>0</v>
      </c>
      <c r="K173" s="43">
        <f>+'Cons spec tot e finalizzati'!R173-'Cons spec tot e finalizzati'!S173</f>
        <v>0</v>
      </c>
      <c r="L173" s="43">
        <f>+'Cons spec tot e finalizzati'!T173-'Cons spec tot e finalizzati'!U173</f>
        <v>0</v>
      </c>
      <c r="M173" s="43">
        <f>+'Cons spec tot e finalizzati'!V173-'Cons spec tot e finalizzati'!W173</f>
        <v>5</v>
      </c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s="2" customFormat="1" ht="12.75">
      <c r="A174" s="37"/>
      <c r="B174" s="10" t="s">
        <v>169</v>
      </c>
      <c r="C174" s="11"/>
      <c r="D174" s="43">
        <f>+'Cons spec tot e finalizzati'!D174-'Cons spec tot e finalizzati'!E174</f>
        <v>0</v>
      </c>
      <c r="E174" s="43">
        <f>+'Cons spec tot e finalizzati'!F174-'Cons spec tot e finalizzati'!G174</f>
        <v>0</v>
      </c>
      <c r="F174" s="43">
        <f>+'Cons spec tot e finalizzati'!H174-'Cons spec tot e finalizzati'!I174</f>
        <v>0</v>
      </c>
      <c r="G174" s="46">
        <f>+'Cons spec tot e finalizzati'!J174-'Cons spec tot e finalizzati'!K174</f>
        <v>275</v>
      </c>
      <c r="H174" s="43">
        <f>+'Cons spec tot e finalizzati'!L174-'Cons spec tot e finalizzati'!M174</f>
        <v>324</v>
      </c>
      <c r="I174" s="43">
        <f>+'Cons spec tot e finalizzati'!N174-'Cons spec tot e finalizzati'!O174</f>
        <v>265</v>
      </c>
      <c r="J174" s="43">
        <f>+'Cons spec tot e finalizzati'!P174-'Cons spec tot e finalizzati'!Q174</f>
        <v>327</v>
      </c>
      <c r="K174" s="43">
        <f>+'Cons spec tot e finalizzati'!R174-'Cons spec tot e finalizzati'!S174</f>
        <v>416</v>
      </c>
      <c r="L174" s="43">
        <f>+'Cons spec tot e finalizzati'!T174-'Cons spec tot e finalizzati'!U174</f>
        <v>719</v>
      </c>
      <c r="M174" s="43">
        <f>+'Cons spec tot e finalizzati'!V174-'Cons spec tot e finalizzati'!W174</f>
        <v>388</v>
      </c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s="2" customFormat="1" ht="12.75">
      <c r="A175" s="37"/>
      <c r="B175" s="10" t="s">
        <v>22</v>
      </c>
      <c r="C175" s="11"/>
      <c r="D175" s="43">
        <f>+'Cons spec tot e finalizzati'!D175-'Cons spec tot e finalizzati'!E175</f>
        <v>0</v>
      </c>
      <c r="E175" s="43">
        <f>+'Cons spec tot e finalizzati'!F175-'Cons spec tot e finalizzati'!G175</f>
        <v>0</v>
      </c>
      <c r="F175" s="43">
        <f>+'Cons spec tot e finalizzati'!H175-'Cons spec tot e finalizzati'!I175</f>
        <v>26</v>
      </c>
      <c r="G175" s="46">
        <f>+'Cons spec tot e finalizzati'!J175-'Cons spec tot e finalizzati'!K175</f>
        <v>26</v>
      </c>
      <c r="H175" s="43">
        <f>+'Cons spec tot e finalizzati'!L175-'Cons spec tot e finalizzati'!M175</f>
        <v>27</v>
      </c>
      <c r="I175" s="43">
        <f>+'Cons spec tot e finalizzati'!N175-'Cons spec tot e finalizzati'!O175</f>
        <v>2</v>
      </c>
      <c r="J175" s="43">
        <f>+'Cons spec tot e finalizzati'!P175-'Cons spec tot e finalizzati'!Q175</f>
        <v>0</v>
      </c>
      <c r="K175" s="43">
        <f>+'Cons spec tot e finalizzati'!R175-'Cons spec tot e finalizzati'!S175</f>
        <v>0</v>
      </c>
      <c r="L175" s="43">
        <f>+'Cons spec tot e finalizzati'!T175-'Cons spec tot e finalizzati'!U175</f>
        <v>0</v>
      </c>
      <c r="M175" s="43">
        <f>+'Cons spec tot e finalizzati'!V175-'Cons spec tot e finalizzati'!W175</f>
        <v>0</v>
      </c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s="2" customFormat="1" ht="12.75">
      <c r="A176" s="37"/>
      <c r="B176" s="10" t="s">
        <v>23</v>
      </c>
      <c r="C176" s="11"/>
      <c r="D176" s="43">
        <f>+'Cons spec tot e finalizzati'!D176-'Cons spec tot e finalizzati'!E176</f>
        <v>42</v>
      </c>
      <c r="E176" s="43">
        <f>+'Cons spec tot e finalizzati'!F176-'Cons spec tot e finalizzati'!G176</f>
        <v>51</v>
      </c>
      <c r="F176" s="43">
        <f>+'Cons spec tot e finalizzati'!H176-'Cons spec tot e finalizzati'!I176</f>
        <v>50</v>
      </c>
      <c r="G176" s="46">
        <f>+'Cons spec tot e finalizzati'!J176-'Cons spec tot e finalizzati'!K176</f>
        <v>60</v>
      </c>
      <c r="H176" s="43">
        <f>+'Cons spec tot e finalizzati'!L176-'Cons spec tot e finalizzati'!M176</f>
        <v>76</v>
      </c>
      <c r="I176" s="43">
        <f>+'Cons spec tot e finalizzati'!N176-'Cons spec tot e finalizzati'!O176</f>
        <v>85</v>
      </c>
      <c r="J176" s="43">
        <f>+'Cons spec tot e finalizzati'!P176-'Cons spec tot e finalizzati'!Q176</f>
        <v>92</v>
      </c>
      <c r="K176" s="43">
        <f>+'Cons spec tot e finalizzati'!R176-'Cons spec tot e finalizzati'!S176</f>
        <v>92</v>
      </c>
      <c r="L176" s="43">
        <f>+'Cons spec tot e finalizzati'!T176-'Cons spec tot e finalizzati'!U176</f>
        <v>92</v>
      </c>
      <c r="M176" s="43">
        <f>+'Cons spec tot e finalizzati'!V176-'Cons spec tot e finalizzati'!W176</f>
        <v>80</v>
      </c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s="2" customFormat="1" ht="12.75">
      <c r="A177" s="37"/>
      <c r="B177" s="10" t="s">
        <v>87</v>
      </c>
      <c r="C177" s="11"/>
      <c r="D177" s="43">
        <f>+'Cons spec tot e finalizzati'!D177-'Cons spec tot e finalizzati'!E177</f>
        <v>270</v>
      </c>
      <c r="E177" s="43">
        <f>+'Cons spec tot e finalizzati'!F177-'Cons spec tot e finalizzati'!G177</f>
        <v>338</v>
      </c>
      <c r="F177" s="43">
        <f>+'Cons spec tot e finalizzati'!H177-'Cons spec tot e finalizzati'!I177</f>
        <v>387</v>
      </c>
      <c r="G177" s="46">
        <f>+'Cons spec tot e finalizzati'!J177-'Cons spec tot e finalizzati'!K177</f>
        <v>417</v>
      </c>
      <c r="H177" s="43">
        <f>+'Cons spec tot e finalizzati'!L177-'Cons spec tot e finalizzati'!M177</f>
        <v>437</v>
      </c>
      <c r="I177" s="43">
        <f>+'Cons spec tot e finalizzati'!N177-'Cons spec tot e finalizzati'!O177</f>
        <v>446</v>
      </c>
      <c r="J177" s="43">
        <f>+'Cons spec tot e finalizzati'!P177-'Cons spec tot e finalizzati'!Q177</f>
        <v>438</v>
      </c>
      <c r="K177" s="43">
        <f>+'Cons spec tot e finalizzati'!R177-'Cons spec tot e finalizzati'!S177</f>
        <v>492</v>
      </c>
      <c r="L177" s="43">
        <f>+'Cons spec tot e finalizzati'!T177-'Cons spec tot e finalizzati'!U177</f>
        <v>561</v>
      </c>
      <c r="M177" s="43">
        <f>+'Cons spec tot e finalizzati'!V177-'Cons spec tot e finalizzati'!W177</f>
        <v>609</v>
      </c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13" s="22" customFormat="1" ht="12.75">
      <c r="A178" s="134"/>
      <c r="B178" s="16" t="s">
        <v>88</v>
      </c>
      <c r="C178" s="16"/>
      <c r="D178" s="61">
        <f>+'Cons spec tot e finalizzati'!D178-'Cons spec tot e finalizzati'!E178</f>
        <v>146</v>
      </c>
      <c r="E178" s="61">
        <f>+'Cons spec tot e finalizzati'!F178-'Cons spec tot e finalizzati'!G178</f>
        <v>124</v>
      </c>
      <c r="F178" s="61">
        <f>+'Cons spec tot e finalizzati'!H178-'Cons spec tot e finalizzati'!I178</f>
        <v>170</v>
      </c>
      <c r="G178" s="61">
        <f>+'Cons spec tot e finalizzati'!J178-'Cons spec tot e finalizzati'!K178</f>
        <v>111</v>
      </c>
      <c r="H178" s="61">
        <f>+'Cons spec tot e finalizzati'!L178-'Cons spec tot e finalizzati'!M178</f>
        <v>66</v>
      </c>
      <c r="I178" s="61">
        <f>+'Cons spec tot e finalizzati'!N178-'Cons spec tot e finalizzati'!O178</f>
        <v>66</v>
      </c>
      <c r="J178" s="61">
        <f>+'Cons spec tot e finalizzati'!P178-'Cons spec tot e finalizzati'!Q178</f>
        <v>68</v>
      </c>
      <c r="K178" s="61">
        <f>+'Cons spec tot e finalizzati'!R178-'Cons spec tot e finalizzati'!S178</f>
        <v>68</v>
      </c>
      <c r="L178" s="61">
        <f>+'Cons spec tot e finalizzati'!T178-'Cons spec tot e finalizzati'!U178</f>
        <v>58</v>
      </c>
      <c r="M178" s="61">
        <f>+'Cons spec tot e finalizzati'!V178-'Cons spec tot e finalizzati'!W178</f>
        <v>63</v>
      </c>
    </row>
    <row r="179" spans="1:32" s="2" customFormat="1" ht="12.75">
      <c r="A179" s="96" t="s">
        <v>26</v>
      </c>
      <c r="B179" s="91"/>
      <c r="C179" s="91"/>
      <c r="D179" s="55">
        <f>+'Cons spec tot e finalizzati'!D179-'Cons spec tot e finalizzati'!E179</f>
        <v>2175</v>
      </c>
      <c r="E179" s="55">
        <f>+'Cons spec tot e finalizzati'!F179-'Cons spec tot e finalizzati'!G179</f>
        <v>2364</v>
      </c>
      <c r="F179" s="55">
        <f>+'Cons spec tot e finalizzati'!H179-'Cons spec tot e finalizzati'!I179</f>
        <v>2542</v>
      </c>
      <c r="G179" s="55">
        <f>+'Cons spec tot e finalizzati'!J179-'Cons spec tot e finalizzati'!K179</f>
        <v>2791</v>
      </c>
      <c r="H179" s="55">
        <f>+'Cons spec tot e finalizzati'!L179-'Cons spec tot e finalizzati'!M179</f>
        <v>2940</v>
      </c>
      <c r="I179" s="55">
        <f>+'Cons spec tot e finalizzati'!N179-'Cons spec tot e finalizzati'!O179</f>
        <v>3095</v>
      </c>
      <c r="J179" s="55">
        <f>+'Cons spec tot e finalizzati'!P179-'Cons spec tot e finalizzati'!Q179</f>
        <v>3122</v>
      </c>
      <c r="K179" s="55">
        <f>+'Cons spec tot e finalizzati'!R179-'Cons spec tot e finalizzati'!S179</f>
        <v>3176</v>
      </c>
      <c r="L179" s="55">
        <f>+'Cons spec tot e finalizzati'!T179-'Cons spec tot e finalizzati'!U179</f>
        <v>3081</v>
      </c>
      <c r="M179" s="55">
        <f>+'Cons spec tot e finalizzati'!V179-'Cons spec tot e finalizzati'!W179</f>
        <v>2814</v>
      </c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s="2" customFormat="1" ht="12.75">
      <c r="A180" s="37"/>
      <c r="B180" s="10" t="s">
        <v>20</v>
      </c>
      <c r="C180" s="11"/>
      <c r="D180" s="43">
        <f>+'Cons spec tot e finalizzati'!D180-'Cons spec tot e finalizzati'!E180</f>
        <v>104</v>
      </c>
      <c r="E180" s="43">
        <f>+'Cons spec tot e finalizzati'!F180-'Cons spec tot e finalizzati'!G180</f>
        <v>102</v>
      </c>
      <c r="F180" s="43">
        <f>+'Cons spec tot e finalizzati'!H180-'Cons spec tot e finalizzati'!I180</f>
        <v>159</v>
      </c>
      <c r="G180" s="46">
        <f>+'Cons spec tot e finalizzati'!J180-'Cons spec tot e finalizzati'!K180</f>
        <v>115</v>
      </c>
      <c r="H180" s="43">
        <f>+'Cons spec tot e finalizzati'!L180-'Cons spec tot e finalizzati'!M180</f>
        <v>144</v>
      </c>
      <c r="I180" s="43">
        <f>+'Cons spec tot e finalizzati'!N180-'Cons spec tot e finalizzati'!O180</f>
        <v>126</v>
      </c>
      <c r="J180" s="43">
        <f>+'Cons spec tot e finalizzati'!P180-'Cons spec tot e finalizzati'!Q180</f>
        <v>174</v>
      </c>
      <c r="K180" s="43">
        <f>+'Cons spec tot e finalizzati'!R180-'Cons spec tot e finalizzati'!S180</f>
        <v>112</v>
      </c>
      <c r="L180" s="43">
        <f>+'Cons spec tot e finalizzati'!T180-'Cons spec tot e finalizzati'!U180</f>
        <v>86</v>
      </c>
      <c r="M180" s="43">
        <f>+'Cons spec tot e finalizzati'!V180-'Cons spec tot e finalizzati'!W180</f>
        <v>64</v>
      </c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s="2" customFormat="1" ht="12.75">
      <c r="A181" s="37"/>
      <c r="B181" s="10" t="s">
        <v>21</v>
      </c>
      <c r="C181" s="11"/>
      <c r="D181" s="43">
        <f>+'Cons spec tot e finalizzati'!D181-'Cons spec tot e finalizzati'!E181</f>
        <v>1402</v>
      </c>
      <c r="E181" s="43">
        <f>+'Cons spec tot e finalizzati'!F181-'Cons spec tot e finalizzati'!G181</f>
        <v>1526</v>
      </c>
      <c r="F181" s="43">
        <f>+'Cons spec tot e finalizzati'!H181-'Cons spec tot e finalizzati'!I181</f>
        <v>1516</v>
      </c>
      <c r="G181" s="46">
        <f>+'Cons spec tot e finalizzati'!J181-'Cons spec tot e finalizzati'!K181</f>
        <v>1708</v>
      </c>
      <c r="H181" s="43">
        <f>+'Cons spec tot e finalizzati'!L181-'Cons spec tot e finalizzati'!M181</f>
        <v>1805</v>
      </c>
      <c r="I181" s="43">
        <f>+'Cons spec tot e finalizzati'!N181-'Cons spec tot e finalizzati'!O181</f>
        <v>1929</v>
      </c>
      <c r="J181" s="43">
        <f>+'Cons spec tot e finalizzati'!P181-'Cons spec tot e finalizzati'!Q181</f>
        <v>1862</v>
      </c>
      <c r="K181" s="43">
        <f>+'Cons spec tot e finalizzati'!R181-'Cons spec tot e finalizzati'!S181</f>
        <v>1992</v>
      </c>
      <c r="L181" s="43">
        <f>+'Cons spec tot e finalizzati'!T181-'Cons spec tot e finalizzati'!U181</f>
        <v>1912</v>
      </c>
      <c r="M181" s="43">
        <f>+'Cons spec tot e finalizzati'!V181-'Cons spec tot e finalizzati'!W181</f>
        <v>1644</v>
      </c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s="2" customFormat="1" ht="12.75">
      <c r="A182" s="37"/>
      <c r="B182" s="10" t="s">
        <v>170</v>
      </c>
      <c r="C182" s="11"/>
      <c r="D182" s="43">
        <f>+'Cons spec tot e finalizzati'!D182-'Cons spec tot e finalizzati'!E182</f>
        <v>0</v>
      </c>
      <c r="E182" s="43">
        <f>+'Cons spec tot e finalizzati'!F182-'Cons spec tot e finalizzati'!G182</f>
        <v>0</v>
      </c>
      <c r="F182" s="43">
        <f>+'Cons spec tot e finalizzati'!H182-'Cons spec tot e finalizzati'!I182</f>
        <v>0</v>
      </c>
      <c r="G182" s="46">
        <f>+'Cons spec tot e finalizzati'!J182-'Cons spec tot e finalizzati'!K182</f>
        <v>0</v>
      </c>
      <c r="H182" s="43">
        <f>+'Cons spec tot e finalizzati'!L182-'Cons spec tot e finalizzati'!M182</f>
        <v>0</v>
      </c>
      <c r="I182" s="43">
        <f>+'Cons spec tot e finalizzati'!N182-'Cons spec tot e finalizzati'!O182</f>
        <v>0</v>
      </c>
      <c r="J182" s="43">
        <f>+'Cons spec tot e finalizzati'!P182-'Cons spec tot e finalizzati'!Q182</f>
        <v>0</v>
      </c>
      <c r="K182" s="43">
        <f>+'Cons spec tot e finalizzati'!R182-'Cons spec tot e finalizzati'!S182</f>
        <v>0</v>
      </c>
      <c r="L182" s="43">
        <f>+'Cons spec tot e finalizzati'!T182-'Cons spec tot e finalizzati'!U182</f>
        <v>0</v>
      </c>
      <c r="M182" s="43">
        <f>+'Cons spec tot e finalizzati'!V182-'Cons spec tot e finalizzati'!W182</f>
        <v>16</v>
      </c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s="2" customFormat="1" ht="12.75">
      <c r="A183" s="37"/>
      <c r="B183" s="10" t="s">
        <v>22</v>
      </c>
      <c r="C183" s="11"/>
      <c r="D183" s="43">
        <f>+'Cons spec tot e finalizzati'!D183-'Cons spec tot e finalizzati'!E183</f>
        <v>0</v>
      </c>
      <c r="E183" s="43">
        <f>+'Cons spec tot e finalizzati'!F183-'Cons spec tot e finalizzati'!G183</f>
        <v>0</v>
      </c>
      <c r="F183" s="43">
        <f>+'Cons spec tot e finalizzati'!H183-'Cons spec tot e finalizzati'!I183</f>
        <v>26</v>
      </c>
      <c r="G183" s="46">
        <f>+'Cons spec tot e finalizzati'!J183-'Cons spec tot e finalizzati'!K183</f>
        <v>30</v>
      </c>
      <c r="H183" s="43">
        <f>+'Cons spec tot e finalizzati'!L183-'Cons spec tot e finalizzati'!M183</f>
        <v>40</v>
      </c>
      <c r="I183" s="43">
        <f>+'Cons spec tot e finalizzati'!N183-'Cons spec tot e finalizzati'!O183</f>
        <v>29</v>
      </c>
      <c r="J183" s="43">
        <f>+'Cons spec tot e finalizzati'!P183-'Cons spec tot e finalizzati'!Q183</f>
        <v>0</v>
      </c>
      <c r="K183" s="43">
        <f>+'Cons spec tot e finalizzati'!R183-'Cons spec tot e finalizzati'!S183</f>
        <v>0</v>
      </c>
      <c r="L183" s="43">
        <f>+'Cons spec tot e finalizzati'!T183-'Cons spec tot e finalizzati'!U183</f>
        <v>0</v>
      </c>
      <c r="M183" s="43">
        <f>+'Cons spec tot e finalizzati'!V183-'Cons spec tot e finalizzati'!W183</f>
        <v>0</v>
      </c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s="2" customFormat="1" ht="12.75">
      <c r="A184" s="37"/>
      <c r="B184" s="10" t="s">
        <v>23</v>
      </c>
      <c r="C184" s="11"/>
      <c r="D184" s="43">
        <f>+'Cons spec tot e finalizzati'!D184-'Cons spec tot e finalizzati'!E184</f>
        <v>29</v>
      </c>
      <c r="E184" s="43">
        <f>+'Cons spec tot e finalizzati'!F184-'Cons spec tot e finalizzati'!G184</f>
        <v>29</v>
      </c>
      <c r="F184" s="43">
        <f>+'Cons spec tot e finalizzati'!H184-'Cons spec tot e finalizzati'!I184</f>
        <v>29</v>
      </c>
      <c r="G184" s="46">
        <f>+'Cons spec tot e finalizzati'!J184-'Cons spec tot e finalizzati'!K184</f>
        <v>35</v>
      </c>
      <c r="H184" s="43">
        <f>+'Cons spec tot e finalizzati'!L184-'Cons spec tot e finalizzati'!M184</f>
        <v>44</v>
      </c>
      <c r="I184" s="43">
        <f>+'Cons spec tot e finalizzati'!N184-'Cons spec tot e finalizzati'!O184</f>
        <v>49</v>
      </c>
      <c r="J184" s="43">
        <f>+'Cons spec tot e finalizzati'!P184-'Cons spec tot e finalizzati'!Q184</f>
        <v>53</v>
      </c>
      <c r="K184" s="43">
        <f>+'Cons spec tot e finalizzati'!R184-'Cons spec tot e finalizzati'!S184</f>
        <v>53</v>
      </c>
      <c r="L184" s="43">
        <f>+'Cons spec tot e finalizzati'!T184-'Cons spec tot e finalizzati'!U184</f>
        <v>53</v>
      </c>
      <c r="M184" s="43">
        <f>+'Cons spec tot e finalizzati'!V184-'Cons spec tot e finalizzati'!W184</f>
        <v>53</v>
      </c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s="2" customFormat="1" ht="12.75">
      <c r="A185" s="37"/>
      <c r="B185" s="10" t="s">
        <v>87</v>
      </c>
      <c r="C185" s="11"/>
      <c r="D185" s="43">
        <f>+'Cons spec tot e finalizzati'!D185-'Cons spec tot e finalizzati'!E185</f>
        <v>329</v>
      </c>
      <c r="E185" s="43">
        <f>+'Cons spec tot e finalizzati'!F185-'Cons spec tot e finalizzati'!G185</f>
        <v>393</v>
      </c>
      <c r="F185" s="43">
        <f>+'Cons spec tot e finalizzati'!H185-'Cons spec tot e finalizzati'!I185</f>
        <v>441</v>
      </c>
      <c r="G185" s="46">
        <f>+'Cons spec tot e finalizzati'!J185-'Cons spec tot e finalizzati'!K185</f>
        <v>474</v>
      </c>
      <c r="H185" s="43">
        <f>+'Cons spec tot e finalizzati'!L185-'Cons spec tot e finalizzati'!M185</f>
        <v>506</v>
      </c>
      <c r="I185" s="43">
        <f>+'Cons spec tot e finalizzati'!N185-'Cons spec tot e finalizzati'!O185</f>
        <v>566</v>
      </c>
      <c r="J185" s="43">
        <f>+'Cons spec tot e finalizzati'!P185-'Cons spec tot e finalizzati'!Q185</f>
        <v>619</v>
      </c>
      <c r="K185" s="43">
        <f>+'Cons spec tot e finalizzati'!R185-'Cons spec tot e finalizzati'!S185</f>
        <v>637</v>
      </c>
      <c r="L185" s="43">
        <f>+'Cons spec tot e finalizzati'!T185-'Cons spec tot e finalizzati'!U185</f>
        <v>663</v>
      </c>
      <c r="M185" s="43">
        <f>+'Cons spec tot e finalizzati'!V185-'Cons spec tot e finalizzati'!W185</f>
        <v>691</v>
      </c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13" s="22" customFormat="1" ht="12.75">
      <c r="A186" s="134"/>
      <c r="B186" s="16" t="s">
        <v>88</v>
      </c>
      <c r="C186" s="16"/>
      <c r="D186" s="61">
        <f>+'Cons spec tot e finalizzati'!D186-'Cons spec tot e finalizzati'!E186</f>
        <v>311</v>
      </c>
      <c r="E186" s="61">
        <f>+'Cons spec tot e finalizzati'!F186-'Cons spec tot e finalizzati'!G186</f>
        <v>315</v>
      </c>
      <c r="F186" s="61">
        <f>+'Cons spec tot e finalizzati'!H186-'Cons spec tot e finalizzati'!I186</f>
        <v>371</v>
      </c>
      <c r="G186" s="61">
        <f>+'Cons spec tot e finalizzati'!J186-'Cons spec tot e finalizzati'!K186</f>
        <v>429</v>
      </c>
      <c r="H186" s="61">
        <f>+'Cons spec tot e finalizzati'!L186-'Cons spec tot e finalizzati'!M186</f>
        <v>401</v>
      </c>
      <c r="I186" s="61">
        <f>+'Cons spec tot e finalizzati'!N186-'Cons spec tot e finalizzati'!O186</f>
        <v>396</v>
      </c>
      <c r="J186" s="61">
        <f>+'Cons spec tot e finalizzati'!P186-'Cons spec tot e finalizzati'!Q186</f>
        <v>414</v>
      </c>
      <c r="K186" s="61">
        <f>+'Cons spec tot e finalizzati'!R186-'Cons spec tot e finalizzati'!S186</f>
        <v>382</v>
      </c>
      <c r="L186" s="61">
        <f>+'Cons spec tot e finalizzati'!T186-'Cons spec tot e finalizzati'!U186</f>
        <v>367</v>
      </c>
      <c r="M186" s="61">
        <f>+'Cons spec tot e finalizzati'!V186-'Cons spec tot e finalizzati'!W186</f>
        <v>346</v>
      </c>
    </row>
    <row r="187" spans="1:32" s="2" customFormat="1" ht="12.75">
      <c r="A187" s="96" t="s">
        <v>27</v>
      </c>
      <c r="B187" s="91"/>
      <c r="C187" s="91"/>
      <c r="D187" s="55">
        <f>+'Cons spec tot e finalizzati'!D187-'Cons spec tot e finalizzati'!E187</f>
        <v>2288</v>
      </c>
      <c r="E187" s="55">
        <f>+'Cons spec tot e finalizzati'!F187-'Cons spec tot e finalizzati'!G187</f>
        <v>2609</v>
      </c>
      <c r="F187" s="55">
        <f>+'Cons spec tot e finalizzati'!H187-'Cons spec tot e finalizzati'!I187</f>
        <v>2694</v>
      </c>
      <c r="G187" s="55">
        <f>+'Cons spec tot e finalizzati'!J187-'Cons spec tot e finalizzati'!K187</f>
        <v>2968</v>
      </c>
      <c r="H187" s="55">
        <f>+'Cons spec tot e finalizzati'!L187-'Cons spec tot e finalizzati'!M187</f>
        <v>2980</v>
      </c>
      <c r="I187" s="55">
        <f>+'Cons spec tot e finalizzati'!N187-'Cons spec tot e finalizzati'!O187</f>
        <v>3172</v>
      </c>
      <c r="J187" s="55">
        <f>+'Cons spec tot e finalizzati'!P187-'Cons spec tot e finalizzati'!Q187</f>
        <v>3159</v>
      </c>
      <c r="K187" s="55">
        <f>+'Cons spec tot e finalizzati'!R187-'Cons spec tot e finalizzati'!S187</f>
        <v>3030</v>
      </c>
      <c r="L187" s="55">
        <f>+'Cons spec tot e finalizzati'!T187-'Cons spec tot e finalizzati'!U187</f>
        <v>3076</v>
      </c>
      <c r="M187" s="55">
        <f>+'Cons spec tot e finalizzati'!V187-'Cons spec tot e finalizzati'!W187</f>
        <v>2952</v>
      </c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s="2" customFormat="1" ht="12.75">
      <c r="A188" s="37"/>
      <c r="B188" s="10" t="s">
        <v>20</v>
      </c>
      <c r="C188" s="11"/>
      <c r="D188" s="43">
        <f>+'Cons spec tot e finalizzati'!D188-'Cons spec tot e finalizzati'!E188</f>
        <v>149</v>
      </c>
      <c r="E188" s="43">
        <f>+'Cons spec tot e finalizzati'!F188-'Cons spec tot e finalizzati'!G188</f>
        <v>145</v>
      </c>
      <c r="F188" s="43">
        <f>+'Cons spec tot e finalizzati'!H188-'Cons spec tot e finalizzati'!I188</f>
        <v>89</v>
      </c>
      <c r="G188" s="46">
        <f>+'Cons spec tot e finalizzati'!J188-'Cons spec tot e finalizzati'!K188</f>
        <v>70</v>
      </c>
      <c r="H188" s="43">
        <f>+'Cons spec tot e finalizzati'!L188-'Cons spec tot e finalizzati'!M188</f>
        <v>138</v>
      </c>
      <c r="I188" s="43">
        <f>+'Cons spec tot e finalizzati'!N188-'Cons spec tot e finalizzati'!O188</f>
        <v>155</v>
      </c>
      <c r="J188" s="43">
        <f>+'Cons spec tot e finalizzati'!P188-'Cons spec tot e finalizzati'!Q188</f>
        <v>224</v>
      </c>
      <c r="K188" s="43">
        <f>+'Cons spec tot e finalizzati'!R188-'Cons spec tot e finalizzati'!S188</f>
        <v>148</v>
      </c>
      <c r="L188" s="43">
        <f>+'Cons spec tot e finalizzati'!T188-'Cons spec tot e finalizzati'!U188</f>
        <v>102</v>
      </c>
      <c r="M188" s="43">
        <f>+'Cons spec tot e finalizzati'!V188-'Cons spec tot e finalizzati'!W188</f>
        <v>47</v>
      </c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s="2" customFormat="1" ht="12.75">
      <c r="A189" s="37"/>
      <c r="B189" s="10" t="s">
        <v>21</v>
      </c>
      <c r="C189" s="11"/>
      <c r="D189" s="43">
        <f>+'Cons spec tot e finalizzati'!D189-'Cons spec tot e finalizzati'!E189</f>
        <v>1628</v>
      </c>
      <c r="E189" s="43">
        <f>+'Cons spec tot e finalizzati'!F189-'Cons spec tot e finalizzati'!G189</f>
        <v>1858</v>
      </c>
      <c r="F189" s="43">
        <f>+'Cons spec tot e finalizzati'!H189-'Cons spec tot e finalizzati'!I189</f>
        <v>1753</v>
      </c>
      <c r="G189" s="46">
        <f>+'Cons spec tot e finalizzati'!J189-'Cons spec tot e finalizzati'!K189</f>
        <v>2070</v>
      </c>
      <c r="H189" s="43">
        <f>+'Cons spec tot e finalizzati'!L189-'Cons spec tot e finalizzati'!M189</f>
        <v>1922</v>
      </c>
      <c r="I189" s="43">
        <f>+'Cons spec tot e finalizzati'!N189-'Cons spec tot e finalizzati'!O189</f>
        <v>2060</v>
      </c>
      <c r="J189" s="43">
        <f>+'Cons spec tot e finalizzati'!P189-'Cons spec tot e finalizzati'!Q189</f>
        <v>2090</v>
      </c>
      <c r="K189" s="43">
        <f>+'Cons spec tot e finalizzati'!R189-'Cons spec tot e finalizzati'!S189</f>
        <v>2059</v>
      </c>
      <c r="L189" s="43">
        <f>+'Cons spec tot e finalizzati'!T189-'Cons spec tot e finalizzati'!U189</f>
        <v>2066</v>
      </c>
      <c r="M189" s="43">
        <f>+'Cons spec tot e finalizzati'!V189-'Cons spec tot e finalizzati'!W189</f>
        <v>1877</v>
      </c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s="2" customFormat="1" ht="12.75">
      <c r="A190" s="37"/>
      <c r="B190" s="10" t="s">
        <v>170</v>
      </c>
      <c r="C190" s="11"/>
      <c r="D190" s="43">
        <f>+'Cons spec tot e finalizzati'!D190-'Cons spec tot e finalizzati'!E190</f>
        <v>0</v>
      </c>
      <c r="E190" s="43">
        <f>+'Cons spec tot e finalizzati'!F190-'Cons spec tot e finalizzati'!G190</f>
        <v>0</v>
      </c>
      <c r="F190" s="43">
        <f>+'Cons spec tot e finalizzati'!H190-'Cons spec tot e finalizzati'!I190</f>
        <v>0</v>
      </c>
      <c r="G190" s="46">
        <f>+'Cons spec tot e finalizzati'!J190-'Cons spec tot e finalizzati'!K190</f>
        <v>0</v>
      </c>
      <c r="H190" s="43">
        <f>+'Cons spec tot e finalizzati'!L190-'Cons spec tot e finalizzati'!M190</f>
        <v>0</v>
      </c>
      <c r="I190" s="43">
        <f>+'Cons spec tot e finalizzati'!N190-'Cons spec tot e finalizzati'!O190</f>
        <v>0</v>
      </c>
      <c r="J190" s="43">
        <f>+'Cons spec tot e finalizzati'!P190-'Cons spec tot e finalizzati'!Q190</f>
        <v>0</v>
      </c>
      <c r="K190" s="43">
        <f>+'Cons spec tot e finalizzati'!R190-'Cons spec tot e finalizzati'!S190</f>
        <v>0</v>
      </c>
      <c r="L190" s="43">
        <f>+'Cons spec tot e finalizzati'!T190-'Cons spec tot e finalizzati'!U190</f>
        <v>0</v>
      </c>
      <c r="M190" s="43">
        <f>+'Cons spec tot e finalizzati'!V190-'Cons spec tot e finalizzati'!W190</f>
        <v>18</v>
      </c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s="2" customFormat="1" ht="12.75">
      <c r="A191" s="37"/>
      <c r="B191" s="10" t="s">
        <v>22</v>
      </c>
      <c r="C191" s="11"/>
      <c r="D191" s="43">
        <f>+'Cons spec tot e finalizzati'!D191-'Cons spec tot e finalizzati'!E191</f>
        <v>0</v>
      </c>
      <c r="E191" s="43">
        <f>+'Cons spec tot e finalizzati'!F191-'Cons spec tot e finalizzati'!G191</f>
        <v>0</v>
      </c>
      <c r="F191" s="43">
        <f>+'Cons spec tot e finalizzati'!H191-'Cons spec tot e finalizzati'!I191</f>
        <v>24</v>
      </c>
      <c r="G191" s="46">
        <f>+'Cons spec tot e finalizzati'!J191-'Cons spec tot e finalizzati'!K191</f>
        <v>39</v>
      </c>
      <c r="H191" s="43">
        <f>+'Cons spec tot e finalizzati'!L191-'Cons spec tot e finalizzati'!M191</f>
        <v>41</v>
      </c>
      <c r="I191" s="43">
        <f>+'Cons spec tot e finalizzati'!N191-'Cons spec tot e finalizzati'!O191</f>
        <v>32</v>
      </c>
      <c r="J191" s="43">
        <f>+'Cons spec tot e finalizzati'!P191-'Cons spec tot e finalizzati'!Q191</f>
        <v>0</v>
      </c>
      <c r="K191" s="43">
        <f>+'Cons spec tot e finalizzati'!R191-'Cons spec tot e finalizzati'!S191</f>
        <v>0</v>
      </c>
      <c r="L191" s="43">
        <f>+'Cons spec tot e finalizzati'!T191-'Cons spec tot e finalizzati'!U191</f>
        <v>0</v>
      </c>
      <c r="M191" s="43">
        <f>+'Cons spec tot e finalizzati'!V191-'Cons spec tot e finalizzati'!W191</f>
        <v>0</v>
      </c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s="2" customFormat="1" ht="12.75">
      <c r="A192" s="37"/>
      <c r="B192" s="10" t="s">
        <v>87</v>
      </c>
      <c r="C192" s="11"/>
      <c r="D192" s="43">
        <f>+'Cons spec tot e finalizzati'!D192-'Cons spec tot e finalizzati'!E192</f>
        <v>478</v>
      </c>
      <c r="E192" s="43">
        <f>+'Cons spec tot e finalizzati'!F192-'Cons spec tot e finalizzati'!G192</f>
        <v>588</v>
      </c>
      <c r="F192" s="43">
        <f>+'Cons spec tot e finalizzati'!H192-'Cons spec tot e finalizzati'!I192</f>
        <v>634</v>
      </c>
      <c r="G192" s="46">
        <f>+'Cons spec tot e finalizzati'!J192-'Cons spec tot e finalizzati'!K192</f>
        <v>622</v>
      </c>
      <c r="H192" s="43">
        <f>+'Cons spec tot e finalizzati'!L192-'Cons spec tot e finalizzati'!M192</f>
        <v>741</v>
      </c>
      <c r="I192" s="43">
        <f>+'Cons spec tot e finalizzati'!N192-'Cons spec tot e finalizzati'!O192</f>
        <v>828</v>
      </c>
      <c r="J192" s="43">
        <f>+'Cons spec tot e finalizzati'!P192-'Cons spec tot e finalizzati'!Q192</f>
        <v>771</v>
      </c>
      <c r="K192" s="43">
        <f>+'Cons spec tot e finalizzati'!R192-'Cons spec tot e finalizzati'!S192</f>
        <v>748</v>
      </c>
      <c r="L192" s="43">
        <f>+'Cons spec tot e finalizzati'!T192-'Cons spec tot e finalizzati'!U192</f>
        <v>800</v>
      </c>
      <c r="M192" s="43">
        <f>+'Cons spec tot e finalizzati'!V192-'Cons spec tot e finalizzati'!W192</f>
        <v>919</v>
      </c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13" s="22" customFormat="1" ht="12.75">
      <c r="A193" s="134"/>
      <c r="B193" s="16" t="s">
        <v>88</v>
      </c>
      <c r="C193" s="16"/>
      <c r="D193" s="61">
        <f>+'Cons spec tot e finalizzati'!D193-'Cons spec tot e finalizzati'!E193</f>
        <v>33</v>
      </c>
      <c r="E193" s="61">
        <f>+'Cons spec tot e finalizzati'!F193-'Cons spec tot e finalizzati'!G193</f>
        <v>18</v>
      </c>
      <c r="F193" s="61">
        <f>+'Cons spec tot e finalizzati'!H193-'Cons spec tot e finalizzati'!I193</f>
        <v>194</v>
      </c>
      <c r="G193" s="61">
        <f>+'Cons spec tot e finalizzati'!J193-'Cons spec tot e finalizzati'!K193</f>
        <v>167</v>
      </c>
      <c r="H193" s="61">
        <f>+'Cons spec tot e finalizzati'!L193-'Cons spec tot e finalizzati'!M193</f>
        <v>138</v>
      </c>
      <c r="I193" s="61">
        <f>+'Cons spec tot e finalizzati'!N193-'Cons spec tot e finalizzati'!O193</f>
        <v>97</v>
      </c>
      <c r="J193" s="61">
        <f>+'Cons spec tot e finalizzati'!P193-'Cons spec tot e finalizzati'!Q193</f>
        <v>74</v>
      </c>
      <c r="K193" s="61">
        <f>+'Cons spec tot e finalizzati'!R193-'Cons spec tot e finalizzati'!S193</f>
        <v>75</v>
      </c>
      <c r="L193" s="61">
        <f>+'Cons spec tot e finalizzati'!T193-'Cons spec tot e finalizzati'!U193</f>
        <v>108</v>
      </c>
      <c r="M193" s="61">
        <f>+'Cons spec tot e finalizzati'!V193-'Cons spec tot e finalizzati'!W193</f>
        <v>91</v>
      </c>
    </row>
    <row r="194" spans="1:32" s="2" customFormat="1" ht="12.75">
      <c r="A194" s="96" t="s">
        <v>28</v>
      </c>
      <c r="B194" s="91"/>
      <c r="C194" s="91"/>
      <c r="D194" s="55">
        <f>+'Cons spec tot e finalizzati'!D194-'Cons spec tot e finalizzati'!E194</f>
        <v>3287</v>
      </c>
      <c r="E194" s="55">
        <f>+'Cons spec tot e finalizzati'!F194-'Cons spec tot e finalizzati'!G194</f>
        <v>3312</v>
      </c>
      <c r="F194" s="55">
        <f>+'Cons spec tot e finalizzati'!H194-'Cons spec tot e finalizzati'!I194</f>
        <v>3424</v>
      </c>
      <c r="G194" s="55">
        <f>+'Cons spec tot e finalizzati'!J194-'Cons spec tot e finalizzati'!K194</f>
        <v>3530</v>
      </c>
      <c r="H194" s="55">
        <f>+'Cons spec tot e finalizzati'!L194-'Cons spec tot e finalizzati'!M194</f>
        <v>3386</v>
      </c>
      <c r="I194" s="55">
        <f>+'Cons spec tot e finalizzati'!N194-'Cons spec tot e finalizzati'!O194</f>
        <v>3492</v>
      </c>
      <c r="J194" s="55">
        <f>+'Cons spec tot e finalizzati'!P194-'Cons spec tot e finalizzati'!Q194</f>
        <v>3382</v>
      </c>
      <c r="K194" s="55">
        <f>+'Cons spec tot e finalizzati'!R194-'Cons spec tot e finalizzati'!S194</f>
        <v>3482</v>
      </c>
      <c r="L194" s="55">
        <f>+'Cons spec tot e finalizzati'!T194-'Cons spec tot e finalizzati'!U194</f>
        <v>3705</v>
      </c>
      <c r="M194" s="55">
        <f>+'Cons spec tot e finalizzati'!V194-'Cons spec tot e finalizzati'!W194</f>
        <v>3325</v>
      </c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s="2" customFormat="1" ht="12.75">
      <c r="A195" s="37"/>
      <c r="B195" s="10" t="s">
        <v>20</v>
      </c>
      <c r="C195" s="11"/>
      <c r="D195" s="43">
        <f>+'Cons spec tot e finalizzati'!D195-'Cons spec tot e finalizzati'!E195</f>
        <v>212</v>
      </c>
      <c r="E195" s="43">
        <f>+'Cons spec tot e finalizzati'!F195-'Cons spec tot e finalizzati'!G195</f>
        <v>259</v>
      </c>
      <c r="F195" s="43">
        <f>+'Cons spec tot e finalizzati'!H195-'Cons spec tot e finalizzati'!I195</f>
        <v>206</v>
      </c>
      <c r="G195" s="46">
        <f>+'Cons spec tot e finalizzati'!J195-'Cons spec tot e finalizzati'!K195</f>
        <v>158</v>
      </c>
      <c r="H195" s="43">
        <f>+'Cons spec tot e finalizzati'!L195-'Cons spec tot e finalizzati'!M195</f>
        <v>156</v>
      </c>
      <c r="I195" s="43">
        <f>+'Cons spec tot e finalizzati'!N195-'Cons spec tot e finalizzati'!O195</f>
        <v>184</v>
      </c>
      <c r="J195" s="43">
        <f>+'Cons spec tot e finalizzati'!P195-'Cons spec tot e finalizzati'!Q195</f>
        <v>137</v>
      </c>
      <c r="K195" s="43">
        <f>+'Cons spec tot e finalizzati'!R195-'Cons spec tot e finalizzati'!S195</f>
        <v>147</v>
      </c>
      <c r="L195" s="43">
        <f>+'Cons spec tot e finalizzati'!T195-'Cons spec tot e finalizzati'!U195</f>
        <v>103</v>
      </c>
      <c r="M195" s="43">
        <f>+'Cons spec tot e finalizzati'!V195-'Cons spec tot e finalizzati'!W195</f>
        <v>73</v>
      </c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s="2" customFormat="1" ht="12.75">
      <c r="A196" s="37"/>
      <c r="B196" s="10" t="s">
        <v>21</v>
      </c>
      <c r="C196" s="11"/>
      <c r="D196" s="43">
        <f>+'Cons spec tot e finalizzati'!D196-'Cons spec tot e finalizzati'!E196</f>
        <v>2328</v>
      </c>
      <c r="E196" s="43">
        <f>+'Cons spec tot e finalizzati'!F196-'Cons spec tot e finalizzati'!G196</f>
        <v>2228</v>
      </c>
      <c r="F196" s="43">
        <f>+'Cons spec tot e finalizzati'!H196-'Cons spec tot e finalizzati'!I196</f>
        <v>2309</v>
      </c>
      <c r="G196" s="46">
        <f>+'Cons spec tot e finalizzati'!J196-'Cons spec tot e finalizzati'!K196</f>
        <v>2417</v>
      </c>
      <c r="H196" s="43">
        <f>+'Cons spec tot e finalizzati'!L196-'Cons spec tot e finalizzati'!M196</f>
        <v>2305</v>
      </c>
      <c r="I196" s="43">
        <f>+'Cons spec tot e finalizzati'!N196-'Cons spec tot e finalizzati'!O196</f>
        <v>2281</v>
      </c>
      <c r="J196" s="43">
        <f>+'Cons spec tot e finalizzati'!P196-'Cons spec tot e finalizzati'!Q196</f>
        <v>2093</v>
      </c>
      <c r="K196" s="43">
        <f>+'Cons spec tot e finalizzati'!R196-'Cons spec tot e finalizzati'!S196</f>
        <v>2048</v>
      </c>
      <c r="L196" s="43">
        <f>+'Cons spec tot e finalizzati'!T196-'Cons spec tot e finalizzati'!U196</f>
        <v>2116</v>
      </c>
      <c r="M196" s="43">
        <f>+'Cons spec tot e finalizzati'!V196-'Cons spec tot e finalizzati'!W196</f>
        <v>1797</v>
      </c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s="2" customFormat="1" ht="12.75">
      <c r="A197" s="37"/>
      <c r="B197" s="10" t="s">
        <v>170</v>
      </c>
      <c r="C197" s="11"/>
      <c r="D197" s="43">
        <f>+'Cons spec tot e finalizzati'!D197-'Cons spec tot e finalizzati'!E197</f>
        <v>0</v>
      </c>
      <c r="E197" s="43">
        <f>+'Cons spec tot e finalizzati'!F197-'Cons spec tot e finalizzati'!G197</f>
        <v>0</v>
      </c>
      <c r="F197" s="43">
        <f>+'Cons spec tot e finalizzati'!H197-'Cons spec tot e finalizzati'!I197</f>
        <v>0</v>
      </c>
      <c r="G197" s="46">
        <f>+'Cons spec tot e finalizzati'!J197-'Cons spec tot e finalizzati'!K197</f>
        <v>0</v>
      </c>
      <c r="H197" s="43">
        <f>+'Cons spec tot e finalizzati'!L197-'Cons spec tot e finalizzati'!M197</f>
        <v>0</v>
      </c>
      <c r="I197" s="43">
        <f>+'Cons spec tot e finalizzati'!N197-'Cons spec tot e finalizzati'!O197</f>
        <v>0</v>
      </c>
      <c r="J197" s="43">
        <f>+'Cons spec tot e finalizzati'!P197-'Cons spec tot e finalizzati'!Q197</f>
        <v>0</v>
      </c>
      <c r="K197" s="43">
        <f>+'Cons spec tot e finalizzati'!R197-'Cons spec tot e finalizzati'!S197</f>
        <v>0</v>
      </c>
      <c r="L197" s="43">
        <f>+'Cons spec tot e finalizzati'!T197-'Cons spec tot e finalizzati'!U197</f>
        <v>0</v>
      </c>
      <c r="M197" s="43">
        <f>+'Cons spec tot e finalizzati'!V197-'Cons spec tot e finalizzati'!W197</f>
        <v>12</v>
      </c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s="2" customFormat="1" ht="12.75">
      <c r="A198" s="37"/>
      <c r="B198" s="10" t="s">
        <v>22</v>
      </c>
      <c r="C198" s="11"/>
      <c r="D198" s="43">
        <f>+'Cons spec tot e finalizzati'!D198-'Cons spec tot e finalizzati'!E198</f>
        <v>0</v>
      </c>
      <c r="E198" s="43">
        <f>+'Cons spec tot e finalizzati'!F198-'Cons spec tot e finalizzati'!G198</f>
        <v>0</v>
      </c>
      <c r="F198" s="43">
        <f>+'Cons spec tot e finalizzati'!H198-'Cons spec tot e finalizzati'!I198</f>
        <v>46</v>
      </c>
      <c r="G198" s="46">
        <f>+'Cons spec tot e finalizzati'!J198-'Cons spec tot e finalizzati'!K198</f>
        <v>56</v>
      </c>
      <c r="H198" s="43">
        <f>+'Cons spec tot e finalizzati'!L198-'Cons spec tot e finalizzati'!M198</f>
        <v>47</v>
      </c>
      <c r="I198" s="43">
        <f>+'Cons spec tot e finalizzati'!N198-'Cons spec tot e finalizzati'!O198</f>
        <v>50</v>
      </c>
      <c r="J198" s="43">
        <f>+'Cons spec tot e finalizzati'!P198-'Cons spec tot e finalizzati'!Q198</f>
        <v>0</v>
      </c>
      <c r="K198" s="43">
        <f>+'Cons spec tot e finalizzati'!R198-'Cons spec tot e finalizzati'!S198</f>
        <v>0</v>
      </c>
      <c r="L198" s="43">
        <f>+'Cons spec tot e finalizzati'!T198-'Cons spec tot e finalizzati'!U198</f>
        <v>0</v>
      </c>
      <c r="M198" s="43">
        <f>+'Cons spec tot e finalizzati'!V198-'Cons spec tot e finalizzati'!W198</f>
        <v>0</v>
      </c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s="2" customFormat="1" ht="12.75">
      <c r="A199" s="37"/>
      <c r="B199" s="10" t="s">
        <v>23</v>
      </c>
      <c r="C199" s="11"/>
      <c r="D199" s="43">
        <f>+'Cons spec tot e finalizzati'!D199-'Cons spec tot e finalizzati'!E199</f>
        <v>135</v>
      </c>
      <c r="E199" s="43">
        <f>+'Cons spec tot e finalizzati'!F199-'Cons spec tot e finalizzati'!G199</f>
        <v>135</v>
      </c>
      <c r="F199" s="43">
        <f>+'Cons spec tot e finalizzati'!H199-'Cons spec tot e finalizzati'!I199</f>
        <v>135</v>
      </c>
      <c r="G199" s="46">
        <f>+'Cons spec tot e finalizzati'!J199-'Cons spec tot e finalizzati'!K199</f>
        <v>169</v>
      </c>
      <c r="H199" s="43">
        <f>+'Cons spec tot e finalizzati'!L199-'Cons spec tot e finalizzati'!M199</f>
        <v>214</v>
      </c>
      <c r="I199" s="43">
        <f>+'Cons spec tot e finalizzati'!N199-'Cons spec tot e finalizzati'!O199</f>
        <v>238</v>
      </c>
      <c r="J199" s="43">
        <f>+'Cons spec tot e finalizzati'!P199-'Cons spec tot e finalizzati'!Q199</f>
        <v>258</v>
      </c>
      <c r="K199" s="43">
        <f>+'Cons spec tot e finalizzati'!R199-'Cons spec tot e finalizzati'!S199</f>
        <v>248</v>
      </c>
      <c r="L199" s="43">
        <f>+'Cons spec tot e finalizzati'!T199-'Cons spec tot e finalizzati'!U199</f>
        <v>260</v>
      </c>
      <c r="M199" s="43">
        <f>+'Cons spec tot e finalizzati'!V199-'Cons spec tot e finalizzati'!W199</f>
        <v>254</v>
      </c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s="2" customFormat="1" ht="12.75">
      <c r="A200" s="37"/>
      <c r="B200" s="10" t="s">
        <v>87</v>
      </c>
      <c r="C200" s="11"/>
      <c r="D200" s="43">
        <f>+'Cons spec tot e finalizzati'!D200-'Cons spec tot e finalizzati'!E200</f>
        <v>590</v>
      </c>
      <c r="E200" s="43">
        <f>+'Cons spec tot e finalizzati'!F200-'Cons spec tot e finalizzati'!G200</f>
        <v>669</v>
      </c>
      <c r="F200" s="43">
        <f>+'Cons spec tot e finalizzati'!H200-'Cons spec tot e finalizzati'!I200</f>
        <v>656</v>
      </c>
      <c r="G200" s="46">
        <f>+'Cons spec tot e finalizzati'!J200-'Cons spec tot e finalizzati'!K200</f>
        <v>650</v>
      </c>
      <c r="H200" s="43">
        <f>+'Cons spec tot e finalizzati'!L200-'Cons spec tot e finalizzati'!M200</f>
        <v>584</v>
      </c>
      <c r="I200" s="43">
        <f>+'Cons spec tot e finalizzati'!N200-'Cons spec tot e finalizzati'!O200</f>
        <v>662</v>
      </c>
      <c r="J200" s="43">
        <f>+'Cons spec tot e finalizzati'!P200-'Cons spec tot e finalizzati'!Q200</f>
        <v>835</v>
      </c>
      <c r="K200" s="43">
        <f>+'Cons spec tot e finalizzati'!R200-'Cons spec tot e finalizzati'!S200</f>
        <v>977</v>
      </c>
      <c r="L200" s="43">
        <f>+'Cons spec tot e finalizzati'!T200-'Cons spec tot e finalizzati'!U200</f>
        <v>1163</v>
      </c>
      <c r="M200" s="43">
        <f>+'Cons spec tot e finalizzati'!V200-'Cons spec tot e finalizzati'!W200</f>
        <v>1129</v>
      </c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13" s="22" customFormat="1" ht="12.75">
      <c r="A201" s="134"/>
      <c r="B201" s="16" t="s">
        <v>88</v>
      </c>
      <c r="C201" s="16"/>
      <c r="D201" s="61">
        <f>+'Cons spec tot e finalizzati'!D201-'Cons spec tot e finalizzati'!E201</f>
        <v>22</v>
      </c>
      <c r="E201" s="61">
        <f>+'Cons spec tot e finalizzati'!F201-'Cons spec tot e finalizzati'!G201</f>
        <v>21</v>
      </c>
      <c r="F201" s="61">
        <f>+'Cons spec tot e finalizzati'!H201-'Cons spec tot e finalizzati'!I201</f>
        <v>72</v>
      </c>
      <c r="G201" s="61">
        <f>+'Cons spec tot e finalizzati'!J201-'Cons spec tot e finalizzati'!K201</f>
        <v>80</v>
      </c>
      <c r="H201" s="61">
        <f>+'Cons spec tot e finalizzati'!L201-'Cons spec tot e finalizzati'!M201</f>
        <v>80</v>
      </c>
      <c r="I201" s="61">
        <f>+'Cons spec tot e finalizzati'!N201-'Cons spec tot e finalizzati'!O201</f>
        <v>77</v>
      </c>
      <c r="J201" s="61">
        <f>+'Cons spec tot e finalizzati'!P201-'Cons spec tot e finalizzati'!Q201</f>
        <v>59</v>
      </c>
      <c r="K201" s="61">
        <f>+'Cons spec tot e finalizzati'!R201-'Cons spec tot e finalizzati'!S201</f>
        <v>62</v>
      </c>
      <c r="L201" s="61">
        <f>+'Cons spec tot e finalizzati'!T201-'Cons spec tot e finalizzati'!U201</f>
        <v>63</v>
      </c>
      <c r="M201" s="61">
        <f>+'Cons spec tot e finalizzati'!V201-'Cons spec tot e finalizzati'!W201</f>
        <v>60</v>
      </c>
    </row>
    <row r="202" spans="1:32" s="2" customFormat="1" ht="12.75">
      <c r="A202" s="96" t="s">
        <v>29</v>
      </c>
      <c r="B202" s="91"/>
      <c r="C202" s="91"/>
      <c r="D202" s="55">
        <f>+'Cons spec tot e finalizzati'!D202-'Cons spec tot e finalizzati'!E202</f>
        <v>3170</v>
      </c>
      <c r="E202" s="55">
        <f>+'Cons spec tot e finalizzati'!F202-'Cons spec tot e finalizzati'!G202</f>
        <v>3484</v>
      </c>
      <c r="F202" s="55">
        <f>+'Cons spec tot e finalizzati'!H202-'Cons spec tot e finalizzati'!I202</f>
        <v>3564</v>
      </c>
      <c r="G202" s="55">
        <f>+'Cons spec tot e finalizzati'!J202-'Cons spec tot e finalizzati'!K202</f>
        <v>4497</v>
      </c>
      <c r="H202" s="55">
        <f>+'Cons spec tot e finalizzati'!L202-'Cons spec tot e finalizzati'!M202</f>
        <v>4538</v>
      </c>
      <c r="I202" s="55">
        <f>+'Cons spec tot e finalizzati'!N202-'Cons spec tot e finalizzati'!O202</f>
        <v>4811</v>
      </c>
      <c r="J202" s="55">
        <f>+'Cons spec tot e finalizzati'!P202-'Cons spec tot e finalizzati'!Q202</f>
        <v>4696</v>
      </c>
      <c r="K202" s="55">
        <f>+'Cons spec tot e finalizzati'!R202-'Cons spec tot e finalizzati'!S202</f>
        <v>4916</v>
      </c>
      <c r="L202" s="55">
        <f>+'Cons spec tot e finalizzati'!T202-'Cons spec tot e finalizzati'!U202</f>
        <v>5069</v>
      </c>
      <c r="M202" s="55">
        <f>+'Cons spec tot e finalizzati'!V202-'Cons spec tot e finalizzati'!W202</f>
        <v>4656</v>
      </c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s="2" customFormat="1" ht="12.75">
      <c r="A203" s="37"/>
      <c r="B203" s="10" t="s">
        <v>20</v>
      </c>
      <c r="C203" s="11"/>
      <c r="D203" s="43">
        <f>+'Cons spec tot e finalizzati'!D203-'Cons spec tot e finalizzati'!E203</f>
        <v>158</v>
      </c>
      <c r="E203" s="43">
        <f>+'Cons spec tot e finalizzati'!F203-'Cons spec tot e finalizzati'!G203</f>
        <v>159</v>
      </c>
      <c r="F203" s="43">
        <f>+'Cons spec tot e finalizzati'!H203-'Cons spec tot e finalizzati'!I203</f>
        <v>192</v>
      </c>
      <c r="G203" s="46">
        <f>+'Cons spec tot e finalizzati'!J203-'Cons spec tot e finalizzati'!K203</f>
        <v>198</v>
      </c>
      <c r="H203" s="43">
        <f>+'Cons spec tot e finalizzati'!L203-'Cons spec tot e finalizzati'!M203</f>
        <v>187</v>
      </c>
      <c r="I203" s="43">
        <f>+'Cons spec tot e finalizzati'!N203-'Cons spec tot e finalizzati'!O203</f>
        <v>182</v>
      </c>
      <c r="J203" s="43">
        <f>+'Cons spec tot e finalizzati'!P203-'Cons spec tot e finalizzati'!Q203</f>
        <v>153</v>
      </c>
      <c r="K203" s="43">
        <f>+'Cons spec tot e finalizzati'!R203-'Cons spec tot e finalizzati'!S203</f>
        <v>109</v>
      </c>
      <c r="L203" s="43">
        <f>+'Cons spec tot e finalizzati'!T203-'Cons spec tot e finalizzati'!U203</f>
        <v>109</v>
      </c>
      <c r="M203" s="43">
        <f>+'Cons spec tot e finalizzati'!V203-'Cons spec tot e finalizzati'!W203</f>
        <v>112</v>
      </c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s="2" customFormat="1" ht="12.75">
      <c r="A204" s="37"/>
      <c r="B204" s="10" t="s">
        <v>21</v>
      </c>
      <c r="C204" s="11"/>
      <c r="D204" s="43">
        <f>+'Cons spec tot e finalizzati'!D204-'Cons spec tot e finalizzati'!E204</f>
        <v>2411</v>
      </c>
      <c r="E204" s="43">
        <f>+'Cons spec tot e finalizzati'!F204-'Cons spec tot e finalizzati'!G204</f>
        <v>2573</v>
      </c>
      <c r="F204" s="43">
        <f>+'Cons spec tot e finalizzati'!H204-'Cons spec tot e finalizzati'!I204</f>
        <v>2528</v>
      </c>
      <c r="G204" s="46">
        <f>+'Cons spec tot e finalizzati'!J204-'Cons spec tot e finalizzati'!K204</f>
        <v>2798</v>
      </c>
      <c r="H204" s="43">
        <f>+'Cons spec tot e finalizzati'!L204-'Cons spec tot e finalizzati'!M204</f>
        <v>2787</v>
      </c>
      <c r="I204" s="43">
        <f>+'Cons spec tot e finalizzati'!N204-'Cons spec tot e finalizzati'!O204</f>
        <v>3043</v>
      </c>
      <c r="J204" s="43">
        <f>+'Cons spec tot e finalizzati'!P204-'Cons spec tot e finalizzati'!Q204</f>
        <v>2951</v>
      </c>
      <c r="K204" s="43">
        <f>+'Cons spec tot e finalizzati'!R204-'Cons spec tot e finalizzati'!S204</f>
        <v>2913</v>
      </c>
      <c r="L204" s="43">
        <f>+'Cons spec tot e finalizzati'!T204-'Cons spec tot e finalizzati'!U204</f>
        <v>2831</v>
      </c>
      <c r="M204" s="43">
        <f>+'Cons spec tot e finalizzati'!V204-'Cons spec tot e finalizzati'!W204</f>
        <v>2647</v>
      </c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s="2" customFormat="1" ht="12.75">
      <c r="A205" s="37"/>
      <c r="B205" s="10" t="s">
        <v>169</v>
      </c>
      <c r="C205" s="11"/>
      <c r="D205" s="43">
        <f>+'Cons spec tot e finalizzati'!D205-'Cons spec tot e finalizzati'!E205</f>
        <v>0</v>
      </c>
      <c r="E205" s="43">
        <f>+'Cons spec tot e finalizzati'!F205-'Cons spec tot e finalizzati'!G205</f>
        <v>0</v>
      </c>
      <c r="F205" s="43">
        <f>+'Cons spec tot e finalizzati'!H205-'Cons spec tot e finalizzati'!I205</f>
        <v>0</v>
      </c>
      <c r="G205" s="46">
        <f>+'Cons spec tot e finalizzati'!J205-'Cons spec tot e finalizzati'!K205</f>
        <v>551</v>
      </c>
      <c r="H205" s="43">
        <f>+'Cons spec tot e finalizzati'!L205-'Cons spec tot e finalizzati'!M205</f>
        <v>548</v>
      </c>
      <c r="I205" s="43">
        <f>+'Cons spec tot e finalizzati'!N205-'Cons spec tot e finalizzati'!O205</f>
        <v>563</v>
      </c>
      <c r="J205" s="43">
        <f>+'Cons spec tot e finalizzati'!P205-'Cons spec tot e finalizzati'!Q205</f>
        <v>542</v>
      </c>
      <c r="K205" s="43">
        <f>+'Cons spec tot e finalizzati'!R205-'Cons spec tot e finalizzati'!S205</f>
        <v>712</v>
      </c>
      <c r="L205" s="43">
        <f>+'Cons spec tot e finalizzati'!T205-'Cons spec tot e finalizzati'!U205</f>
        <v>887</v>
      </c>
      <c r="M205" s="43">
        <f>+'Cons spec tot e finalizzati'!V205-'Cons spec tot e finalizzati'!W205</f>
        <v>727</v>
      </c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s="2" customFormat="1" ht="12.75">
      <c r="A206" s="37"/>
      <c r="B206" s="10" t="s">
        <v>22</v>
      </c>
      <c r="C206" s="11"/>
      <c r="D206" s="43">
        <f>+'Cons spec tot e finalizzati'!D206-'Cons spec tot e finalizzati'!E206</f>
        <v>0</v>
      </c>
      <c r="E206" s="43">
        <f>+'Cons spec tot e finalizzati'!F206-'Cons spec tot e finalizzati'!G206</f>
        <v>0</v>
      </c>
      <c r="F206" s="43">
        <f>+'Cons spec tot e finalizzati'!H206-'Cons spec tot e finalizzati'!I206</f>
        <v>59</v>
      </c>
      <c r="G206" s="46">
        <f>+'Cons spec tot e finalizzati'!J206-'Cons spec tot e finalizzati'!K206</f>
        <v>46</v>
      </c>
      <c r="H206" s="43">
        <f>+'Cons spec tot e finalizzati'!L206-'Cons spec tot e finalizzati'!M206</f>
        <v>78</v>
      </c>
      <c r="I206" s="43">
        <f>+'Cons spec tot e finalizzati'!N206-'Cons spec tot e finalizzati'!O206</f>
        <v>63</v>
      </c>
      <c r="J206" s="43">
        <f>+'Cons spec tot e finalizzati'!P206-'Cons spec tot e finalizzati'!Q206</f>
        <v>0</v>
      </c>
      <c r="K206" s="43">
        <f>+'Cons spec tot e finalizzati'!R206-'Cons spec tot e finalizzati'!S206</f>
        <v>0</v>
      </c>
      <c r="L206" s="43">
        <f>+'Cons spec tot e finalizzati'!T206-'Cons spec tot e finalizzati'!U206</f>
        <v>0</v>
      </c>
      <c r="M206" s="43">
        <f>+'Cons spec tot e finalizzati'!V206-'Cons spec tot e finalizzati'!W206</f>
        <v>0</v>
      </c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s="2" customFormat="1" ht="12.75">
      <c r="A207" s="37"/>
      <c r="B207" s="10" t="s">
        <v>23</v>
      </c>
      <c r="C207" s="11"/>
      <c r="D207" s="43">
        <f>+'Cons spec tot e finalizzati'!D207-'Cons spec tot e finalizzati'!E207</f>
        <v>58</v>
      </c>
      <c r="E207" s="43">
        <f>+'Cons spec tot e finalizzati'!F207-'Cons spec tot e finalizzati'!G207</f>
        <v>51</v>
      </c>
      <c r="F207" s="43">
        <f>+'Cons spec tot e finalizzati'!H207-'Cons spec tot e finalizzati'!I207</f>
        <v>108</v>
      </c>
      <c r="G207" s="46">
        <f>+'Cons spec tot e finalizzati'!J207-'Cons spec tot e finalizzati'!K207</f>
        <v>83</v>
      </c>
      <c r="H207" s="43">
        <f>+'Cons spec tot e finalizzati'!L207-'Cons spec tot e finalizzati'!M207</f>
        <v>123</v>
      </c>
      <c r="I207" s="43">
        <f>+'Cons spec tot e finalizzati'!N207-'Cons spec tot e finalizzati'!O207</f>
        <v>127</v>
      </c>
      <c r="J207" s="43">
        <f>+'Cons spec tot e finalizzati'!P207-'Cons spec tot e finalizzati'!Q207</f>
        <v>104</v>
      </c>
      <c r="K207" s="43">
        <f>+'Cons spec tot e finalizzati'!R207-'Cons spec tot e finalizzati'!S207</f>
        <v>104</v>
      </c>
      <c r="L207" s="43">
        <f>+'Cons spec tot e finalizzati'!T207-'Cons spec tot e finalizzati'!U207</f>
        <v>104</v>
      </c>
      <c r="M207" s="43">
        <f>+'Cons spec tot e finalizzati'!V207-'Cons spec tot e finalizzati'!W207</f>
        <v>104</v>
      </c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s="2" customFormat="1" ht="12.75">
      <c r="A208" s="37"/>
      <c r="B208" s="10" t="s">
        <v>87</v>
      </c>
      <c r="C208" s="11"/>
      <c r="D208" s="43">
        <f>+'Cons spec tot e finalizzati'!D208-'Cons spec tot e finalizzati'!E208</f>
        <v>445</v>
      </c>
      <c r="E208" s="43">
        <f>+'Cons spec tot e finalizzati'!F208-'Cons spec tot e finalizzati'!G208</f>
        <v>590</v>
      </c>
      <c r="F208" s="43">
        <f>+'Cons spec tot e finalizzati'!H208-'Cons spec tot e finalizzati'!I208</f>
        <v>583</v>
      </c>
      <c r="G208" s="46">
        <f>+'Cons spec tot e finalizzati'!J208-'Cons spec tot e finalizzati'!K208</f>
        <v>718</v>
      </c>
      <c r="H208" s="43">
        <f>+'Cons spec tot e finalizzati'!L208-'Cons spec tot e finalizzati'!M208</f>
        <v>730</v>
      </c>
      <c r="I208" s="43">
        <f>+'Cons spec tot e finalizzati'!N208-'Cons spec tot e finalizzati'!O208</f>
        <v>757</v>
      </c>
      <c r="J208" s="43">
        <f>+'Cons spec tot e finalizzati'!P208-'Cons spec tot e finalizzati'!Q208</f>
        <v>872</v>
      </c>
      <c r="K208" s="43">
        <f>+'Cons spec tot e finalizzati'!R208-'Cons spec tot e finalizzati'!S208</f>
        <v>1007</v>
      </c>
      <c r="L208" s="43">
        <f>+'Cons spec tot e finalizzati'!T208-'Cons spec tot e finalizzati'!U208</f>
        <v>1067</v>
      </c>
      <c r="M208" s="43">
        <f>+'Cons spec tot e finalizzati'!V208-'Cons spec tot e finalizzati'!W208</f>
        <v>995</v>
      </c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13" s="22" customFormat="1" ht="12.75">
      <c r="A209" s="134"/>
      <c r="B209" s="16" t="s">
        <v>88</v>
      </c>
      <c r="C209" s="16"/>
      <c r="D209" s="61">
        <f>+'Cons spec tot e finalizzati'!D209-'Cons spec tot e finalizzati'!E209</f>
        <v>98</v>
      </c>
      <c r="E209" s="61">
        <f>+'Cons spec tot e finalizzati'!F209-'Cons spec tot e finalizzati'!G209</f>
        <v>111</v>
      </c>
      <c r="F209" s="61">
        <f>+'Cons spec tot e finalizzati'!H209-'Cons spec tot e finalizzati'!I209</f>
        <v>94</v>
      </c>
      <c r="G209" s="61">
        <f>+'Cons spec tot e finalizzati'!J209-'Cons spec tot e finalizzati'!K209</f>
        <v>103</v>
      </c>
      <c r="H209" s="61">
        <f>+'Cons spec tot e finalizzati'!L209-'Cons spec tot e finalizzati'!M209</f>
        <v>85</v>
      </c>
      <c r="I209" s="61">
        <f>+'Cons spec tot e finalizzati'!N209-'Cons spec tot e finalizzati'!O209</f>
        <v>76</v>
      </c>
      <c r="J209" s="61">
        <f>+'Cons spec tot e finalizzati'!P209-'Cons spec tot e finalizzati'!Q209</f>
        <v>74</v>
      </c>
      <c r="K209" s="61">
        <f>+'Cons spec tot e finalizzati'!R209-'Cons spec tot e finalizzati'!S209</f>
        <v>71</v>
      </c>
      <c r="L209" s="61">
        <f>+'Cons spec tot e finalizzati'!T209-'Cons spec tot e finalizzati'!U209</f>
        <v>71</v>
      </c>
      <c r="M209" s="61">
        <f>+'Cons spec tot e finalizzati'!V209-'Cons spec tot e finalizzati'!W209</f>
        <v>71</v>
      </c>
    </row>
    <row r="210" spans="1:32" s="2" customFormat="1" ht="12.75">
      <c r="A210" s="96" t="s">
        <v>30</v>
      </c>
      <c r="B210" s="91"/>
      <c r="C210" s="91"/>
      <c r="D210" s="55">
        <f>+'Cons spec tot e finalizzati'!D210-'Cons spec tot e finalizzati'!E210</f>
        <v>3371.5</v>
      </c>
      <c r="E210" s="55">
        <f>+'Cons spec tot e finalizzati'!F210-'Cons spec tot e finalizzati'!G210</f>
        <v>3499</v>
      </c>
      <c r="F210" s="55">
        <f>+'Cons spec tot e finalizzati'!H210-'Cons spec tot e finalizzati'!I210</f>
        <v>3534</v>
      </c>
      <c r="G210" s="55">
        <f>+'Cons spec tot e finalizzati'!J210-'Cons spec tot e finalizzati'!K210</f>
        <v>3683</v>
      </c>
      <c r="H210" s="55">
        <f>+'Cons spec tot e finalizzati'!L210-'Cons spec tot e finalizzati'!M210</f>
        <v>3773</v>
      </c>
      <c r="I210" s="55">
        <f>+'Cons spec tot e finalizzati'!N210-'Cons spec tot e finalizzati'!O210</f>
        <v>3779</v>
      </c>
      <c r="J210" s="55">
        <f>+'Cons spec tot e finalizzati'!P210-'Cons spec tot e finalizzati'!Q210</f>
        <v>3827</v>
      </c>
      <c r="K210" s="55">
        <f>+'Cons spec tot e finalizzati'!R210-'Cons spec tot e finalizzati'!S210</f>
        <v>3799</v>
      </c>
      <c r="L210" s="55">
        <f>+'Cons spec tot e finalizzati'!T210-'Cons spec tot e finalizzati'!U210</f>
        <v>3823</v>
      </c>
      <c r="M210" s="55">
        <f>+'Cons spec tot e finalizzati'!V210-'Cons spec tot e finalizzati'!W210</f>
        <v>3589</v>
      </c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s="2" customFormat="1" ht="12.75">
      <c r="A211" s="37"/>
      <c r="B211" s="10" t="s">
        <v>20</v>
      </c>
      <c r="C211" s="11"/>
      <c r="D211" s="43">
        <f>+'Cons spec tot e finalizzati'!D211-'Cons spec tot e finalizzati'!E211</f>
        <v>205</v>
      </c>
      <c r="E211" s="43">
        <f>+'Cons spec tot e finalizzati'!F211-'Cons spec tot e finalizzati'!G211</f>
        <v>231</v>
      </c>
      <c r="F211" s="43">
        <f>+'Cons spec tot e finalizzati'!H211-'Cons spec tot e finalizzati'!I211</f>
        <v>197</v>
      </c>
      <c r="G211" s="46">
        <f>+'Cons spec tot e finalizzati'!J211-'Cons spec tot e finalizzati'!K211</f>
        <v>211</v>
      </c>
      <c r="H211" s="43">
        <f>+'Cons spec tot e finalizzati'!L211-'Cons spec tot e finalizzati'!M211</f>
        <v>172</v>
      </c>
      <c r="I211" s="43">
        <f>+'Cons spec tot e finalizzati'!N211-'Cons spec tot e finalizzati'!O211</f>
        <v>189</v>
      </c>
      <c r="J211" s="43">
        <f>+'Cons spec tot e finalizzati'!P211-'Cons spec tot e finalizzati'!Q211</f>
        <v>235</v>
      </c>
      <c r="K211" s="43">
        <f>+'Cons spec tot e finalizzati'!R211-'Cons spec tot e finalizzati'!S211</f>
        <v>230</v>
      </c>
      <c r="L211" s="43">
        <f>+'Cons spec tot e finalizzati'!T211-'Cons spec tot e finalizzati'!U211</f>
        <v>194</v>
      </c>
      <c r="M211" s="43">
        <f>+'Cons spec tot e finalizzati'!V211-'Cons spec tot e finalizzati'!W211</f>
        <v>133</v>
      </c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s="2" customFormat="1" ht="12.75">
      <c r="A212" s="37"/>
      <c r="B212" s="10" t="s">
        <v>21</v>
      </c>
      <c r="C212" s="11"/>
      <c r="D212" s="43">
        <f>+'Cons spec tot e finalizzati'!D212-'Cons spec tot e finalizzati'!E212</f>
        <v>2392.5</v>
      </c>
      <c r="E212" s="43">
        <f>+'Cons spec tot e finalizzati'!F212-'Cons spec tot e finalizzati'!G212</f>
        <v>2315</v>
      </c>
      <c r="F212" s="43">
        <f>+'Cons spec tot e finalizzati'!H212-'Cons spec tot e finalizzati'!I212</f>
        <v>2265</v>
      </c>
      <c r="G212" s="46">
        <f>+'Cons spec tot e finalizzati'!J212-'Cons spec tot e finalizzati'!K212</f>
        <v>2499</v>
      </c>
      <c r="H212" s="43">
        <f>+'Cons spec tot e finalizzati'!L212-'Cons spec tot e finalizzati'!M212</f>
        <v>2503</v>
      </c>
      <c r="I212" s="43">
        <f>+'Cons spec tot e finalizzati'!N212-'Cons spec tot e finalizzati'!O212</f>
        <v>2492</v>
      </c>
      <c r="J212" s="43">
        <f>+'Cons spec tot e finalizzati'!P212-'Cons spec tot e finalizzati'!Q212</f>
        <v>2550</v>
      </c>
      <c r="K212" s="43">
        <f>+'Cons spec tot e finalizzati'!R212-'Cons spec tot e finalizzati'!S212</f>
        <v>2491</v>
      </c>
      <c r="L212" s="43">
        <f>+'Cons spec tot e finalizzati'!T212-'Cons spec tot e finalizzati'!U212</f>
        <v>2431</v>
      </c>
      <c r="M212" s="43">
        <f>+'Cons spec tot e finalizzati'!V212-'Cons spec tot e finalizzati'!W212</f>
        <v>2242</v>
      </c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s="2" customFormat="1" ht="12.75">
      <c r="A213" s="37"/>
      <c r="B213" s="10" t="s">
        <v>170</v>
      </c>
      <c r="C213" s="11"/>
      <c r="D213" s="43">
        <f>+'Cons spec tot e finalizzati'!D213-'Cons spec tot e finalizzati'!E213</f>
        <v>0</v>
      </c>
      <c r="E213" s="43">
        <f>+'Cons spec tot e finalizzati'!F213-'Cons spec tot e finalizzati'!G213</f>
        <v>0</v>
      </c>
      <c r="F213" s="43">
        <f>+'Cons spec tot e finalizzati'!H213-'Cons spec tot e finalizzati'!I213</f>
        <v>0</v>
      </c>
      <c r="G213" s="46">
        <f>+'Cons spec tot e finalizzati'!J213-'Cons spec tot e finalizzati'!K213</f>
        <v>0</v>
      </c>
      <c r="H213" s="43">
        <f>+'Cons spec tot e finalizzati'!L213-'Cons spec tot e finalizzati'!M213</f>
        <v>0</v>
      </c>
      <c r="I213" s="43">
        <f>+'Cons spec tot e finalizzati'!N213-'Cons spec tot e finalizzati'!O213</f>
        <v>0</v>
      </c>
      <c r="J213" s="43">
        <f>+'Cons spec tot e finalizzati'!P213-'Cons spec tot e finalizzati'!Q213</f>
        <v>0</v>
      </c>
      <c r="K213" s="43">
        <f>+'Cons spec tot e finalizzati'!R213-'Cons spec tot e finalizzati'!S213</f>
        <v>0</v>
      </c>
      <c r="L213" s="43">
        <f>+'Cons spec tot e finalizzati'!T213-'Cons spec tot e finalizzati'!U213</f>
        <v>0</v>
      </c>
      <c r="M213" s="43">
        <f>+'Cons spec tot e finalizzati'!V213-'Cons spec tot e finalizzati'!W213</f>
        <v>7</v>
      </c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s="2" customFormat="1" ht="12.75">
      <c r="A214" s="37"/>
      <c r="B214" s="10" t="s">
        <v>22</v>
      </c>
      <c r="C214" s="11"/>
      <c r="D214" s="43">
        <f>+'Cons spec tot e finalizzati'!D214-'Cons spec tot e finalizzati'!E214</f>
        <v>0</v>
      </c>
      <c r="E214" s="43">
        <f>+'Cons spec tot e finalizzati'!F214-'Cons spec tot e finalizzati'!G214</f>
        <v>0</v>
      </c>
      <c r="F214" s="43">
        <f>+'Cons spec tot e finalizzati'!H214-'Cons spec tot e finalizzati'!I214</f>
        <v>32</v>
      </c>
      <c r="G214" s="46">
        <f>+'Cons spec tot e finalizzati'!J214-'Cons spec tot e finalizzati'!K214</f>
        <v>40</v>
      </c>
      <c r="H214" s="43">
        <f>+'Cons spec tot e finalizzati'!L214-'Cons spec tot e finalizzati'!M214</f>
        <v>43</v>
      </c>
      <c r="I214" s="43">
        <f>+'Cons spec tot e finalizzati'!N214-'Cons spec tot e finalizzati'!O214</f>
        <v>48</v>
      </c>
      <c r="J214" s="43">
        <f>+'Cons spec tot e finalizzati'!P214-'Cons spec tot e finalizzati'!Q214</f>
        <v>0</v>
      </c>
      <c r="K214" s="43">
        <f>+'Cons spec tot e finalizzati'!R214-'Cons spec tot e finalizzati'!S214</f>
        <v>0</v>
      </c>
      <c r="L214" s="43">
        <f>+'Cons spec tot e finalizzati'!T214-'Cons spec tot e finalizzati'!U214</f>
        <v>0</v>
      </c>
      <c r="M214" s="43">
        <f>+'Cons spec tot e finalizzati'!V214-'Cons spec tot e finalizzati'!W214</f>
        <v>0</v>
      </c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2" customFormat="1" ht="12.75">
      <c r="A215" s="37"/>
      <c r="B215" s="10" t="s">
        <v>23</v>
      </c>
      <c r="C215" s="11"/>
      <c r="D215" s="43">
        <f>+'Cons spec tot e finalizzati'!D215-'Cons spec tot e finalizzati'!E215</f>
        <v>0</v>
      </c>
      <c r="E215" s="43">
        <f>+'Cons spec tot e finalizzati'!F215-'Cons spec tot e finalizzati'!G215</f>
        <v>29</v>
      </c>
      <c r="F215" s="43">
        <f>+'Cons spec tot e finalizzati'!H215-'Cons spec tot e finalizzati'!I215</f>
        <v>29</v>
      </c>
      <c r="G215" s="46">
        <f>+'Cons spec tot e finalizzati'!J215-'Cons spec tot e finalizzati'!K215</f>
        <v>35</v>
      </c>
      <c r="H215" s="43">
        <f>+'Cons spec tot e finalizzati'!L215-'Cons spec tot e finalizzati'!M215</f>
        <v>44</v>
      </c>
      <c r="I215" s="43">
        <f>+'Cons spec tot e finalizzati'!N215-'Cons spec tot e finalizzati'!O215</f>
        <v>60</v>
      </c>
      <c r="J215" s="43">
        <f>+'Cons spec tot e finalizzati'!P215-'Cons spec tot e finalizzati'!Q215</f>
        <v>65</v>
      </c>
      <c r="K215" s="43">
        <f>+'Cons spec tot e finalizzati'!R215-'Cons spec tot e finalizzati'!S215</f>
        <v>65</v>
      </c>
      <c r="L215" s="43">
        <f>+'Cons spec tot e finalizzati'!T215-'Cons spec tot e finalizzati'!U215</f>
        <v>77</v>
      </c>
      <c r="M215" s="43">
        <f>+'Cons spec tot e finalizzati'!V215-'Cons spec tot e finalizzati'!W215</f>
        <v>65</v>
      </c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s="2" customFormat="1" ht="12.75">
      <c r="A216" s="37"/>
      <c r="B216" s="10" t="s">
        <v>87</v>
      </c>
      <c r="C216" s="11"/>
      <c r="D216" s="43">
        <f>+'Cons spec tot e finalizzati'!D216-'Cons spec tot e finalizzati'!E216</f>
        <v>672</v>
      </c>
      <c r="E216" s="43">
        <f>+'Cons spec tot e finalizzati'!F216-'Cons spec tot e finalizzati'!G216</f>
        <v>820</v>
      </c>
      <c r="F216" s="43">
        <f>+'Cons spec tot e finalizzati'!H216-'Cons spec tot e finalizzati'!I216</f>
        <v>849</v>
      </c>
      <c r="G216" s="46">
        <f>+'Cons spec tot e finalizzati'!J216-'Cons spec tot e finalizzati'!K216</f>
        <v>898</v>
      </c>
      <c r="H216" s="43">
        <f>+'Cons spec tot e finalizzati'!L216-'Cons spec tot e finalizzati'!M216</f>
        <v>984</v>
      </c>
      <c r="I216" s="43">
        <f>+'Cons spec tot e finalizzati'!N216-'Cons spec tot e finalizzati'!O216</f>
        <v>938</v>
      </c>
      <c r="J216" s="43">
        <f>+'Cons spec tot e finalizzati'!P216-'Cons spec tot e finalizzati'!Q216</f>
        <v>921</v>
      </c>
      <c r="K216" s="43">
        <f>+'Cons spec tot e finalizzati'!R216-'Cons spec tot e finalizzati'!S216</f>
        <v>938</v>
      </c>
      <c r="L216" s="43">
        <f>+'Cons spec tot e finalizzati'!T216-'Cons spec tot e finalizzati'!U216</f>
        <v>1034</v>
      </c>
      <c r="M216" s="43">
        <f>+'Cons spec tot e finalizzati'!V216-'Cons spec tot e finalizzati'!W216</f>
        <v>1076</v>
      </c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13" s="22" customFormat="1" ht="12.75">
      <c r="A217" s="134"/>
      <c r="B217" s="16" t="s">
        <v>88</v>
      </c>
      <c r="C217" s="16"/>
      <c r="D217" s="61">
        <f>+'Cons spec tot e finalizzati'!D217-'Cons spec tot e finalizzati'!E217</f>
        <v>102</v>
      </c>
      <c r="E217" s="61">
        <f>+'Cons spec tot e finalizzati'!F217-'Cons spec tot e finalizzati'!G217</f>
        <v>105</v>
      </c>
      <c r="F217" s="61">
        <f>+'Cons spec tot e finalizzati'!H217-'Cons spec tot e finalizzati'!I217</f>
        <v>162</v>
      </c>
      <c r="G217" s="61">
        <f>+'Cons spec tot e finalizzati'!J217-'Cons spec tot e finalizzati'!K217</f>
        <v>0</v>
      </c>
      <c r="H217" s="61">
        <f>+'Cons spec tot e finalizzati'!L217-'Cons spec tot e finalizzati'!M217</f>
        <v>27</v>
      </c>
      <c r="I217" s="61">
        <f>+'Cons spec tot e finalizzati'!N217-'Cons spec tot e finalizzati'!O217</f>
        <v>52</v>
      </c>
      <c r="J217" s="61">
        <f>+'Cons spec tot e finalizzati'!P217-'Cons spec tot e finalizzati'!Q217</f>
        <v>56</v>
      </c>
      <c r="K217" s="61">
        <f>+'Cons spec tot e finalizzati'!R217-'Cons spec tot e finalizzati'!S217</f>
        <v>75</v>
      </c>
      <c r="L217" s="61">
        <f>+'Cons spec tot e finalizzati'!T217-'Cons spec tot e finalizzati'!U217</f>
        <v>87</v>
      </c>
      <c r="M217" s="61">
        <f>+'Cons spec tot e finalizzati'!V217-'Cons spec tot e finalizzati'!W217</f>
        <v>66</v>
      </c>
    </row>
    <row r="218" spans="1:32" s="2" customFormat="1" ht="12.75">
      <c r="A218" s="96" t="s">
        <v>31</v>
      </c>
      <c r="B218" s="91"/>
      <c r="C218" s="91"/>
      <c r="D218" s="55">
        <f>+'Cons spec tot e finalizzati'!D218-'Cons spec tot e finalizzati'!E218</f>
        <v>3953</v>
      </c>
      <c r="E218" s="55">
        <f>+'Cons spec tot e finalizzati'!F218-'Cons spec tot e finalizzati'!G218</f>
        <v>4146.506293027315</v>
      </c>
      <c r="F218" s="55">
        <f>+'Cons spec tot e finalizzati'!H218-'Cons spec tot e finalizzati'!I218</f>
        <v>4554</v>
      </c>
      <c r="G218" s="55">
        <f>+'Cons spec tot e finalizzati'!J218-'Cons spec tot e finalizzati'!K218</f>
        <v>4761</v>
      </c>
      <c r="H218" s="55">
        <f>+'Cons spec tot e finalizzati'!L218-'Cons spec tot e finalizzati'!M218</f>
        <v>4822</v>
      </c>
      <c r="I218" s="55">
        <f>+'Cons spec tot e finalizzati'!N218-'Cons spec tot e finalizzati'!O218</f>
        <v>4854</v>
      </c>
      <c r="J218" s="55">
        <f>+'Cons spec tot e finalizzati'!P218-'Cons spec tot e finalizzati'!Q218</f>
        <v>4798</v>
      </c>
      <c r="K218" s="55">
        <f>+'Cons spec tot e finalizzati'!R218-'Cons spec tot e finalizzati'!S218</f>
        <v>4859</v>
      </c>
      <c r="L218" s="55">
        <f>+'Cons spec tot e finalizzati'!T218-'Cons spec tot e finalizzati'!U218</f>
        <v>4987</v>
      </c>
      <c r="M218" s="55">
        <f>+'Cons spec tot e finalizzati'!V218-'Cons spec tot e finalizzati'!W218</f>
        <v>4861</v>
      </c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s="2" customFormat="1" ht="12.75">
      <c r="A219" s="37"/>
      <c r="B219" s="10" t="s">
        <v>20</v>
      </c>
      <c r="C219" s="11"/>
      <c r="D219" s="43">
        <f>+'Cons spec tot e finalizzati'!D219-'Cons spec tot e finalizzati'!E219</f>
        <v>349</v>
      </c>
      <c r="E219" s="43">
        <f>+'Cons spec tot e finalizzati'!F219-'Cons spec tot e finalizzati'!G219</f>
        <v>309</v>
      </c>
      <c r="F219" s="43">
        <f>+'Cons spec tot e finalizzati'!H219-'Cons spec tot e finalizzati'!I219</f>
        <v>289</v>
      </c>
      <c r="G219" s="46">
        <f>+'Cons spec tot e finalizzati'!J219-'Cons spec tot e finalizzati'!K219</f>
        <v>199</v>
      </c>
      <c r="H219" s="43">
        <f>+'Cons spec tot e finalizzati'!L219-'Cons spec tot e finalizzati'!M219</f>
        <v>263</v>
      </c>
      <c r="I219" s="43">
        <f>+'Cons spec tot e finalizzati'!N219-'Cons spec tot e finalizzati'!O219</f>
        <v>275</v>
      </c>
      <c r="J219" s="43">
        <f>+'Cons spec tot e finalizzati'!P219-'Cons spec tot e finalizzati'!Q219</f>
        <v>335</v>
      </c>
      <c r="K219" s="43">
        <f>+'Cons spec tot e finalizzati'!R219-'Cons spec tot e finalizzati'!S219</f>
        <v>222</v>
      </c>
      <c r="L219" s="43">
        <f>+'Cons spec tot e finalizzati'!T219-'Cons spec tot e finalizzati'!U219</f>
        <v>170</v>
      </c>
      <c r="M219" s="43">
        <f>+'Cons spec tot e finalizzati'!V219-'Cons spec tot e finalizzati'!W219</f>
        <v>97</v>
      </c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2" customFormat="1" ht="12.75">
      <c r="A220" s="37"/>
      <c r="B220" s="10" t="s">
        <v>21</v>
      </c>
      <c r="C220" s="11"/>
      <c r="D220" s="43">
        <f>+'Cons spec tot e finalizzati'!D220-'Cons spec tot e finalizzati'!E220</f>
        <v>2684</v>
      </c>
      <c r="E220" s="43">
        <f>+'Cons spec tot e finalizzati'!F220-'Cons spec tot e finalizzati'!G220</f>
        <v>2788.506293027315</v>
      </c>
      <c r="F220" s="43">
        <f>+'Cons spec tot e finalizzati'!H220-'Cons spec tot e finalizzati'!I220</f>
        <v>2883</v>
      </c>
      <c r="G220" s="46">
        <f>+'Cons spec tot e finalizzati'!J220-'Cons spec tot e finalizzati'!K220</f>
        <v>2919</v>
      </c>
      <c r="H220" s="43">
        <f>+'Cons spec tot e finalizzati'!L220-'Cons spec tot e finalizzati'!M220</f>
        <v>2929</v>
      </c>
      <c r="I220" s="43">
        <f>+'Cons spec tot e finalizzati'!N220-'Cons spec tot e finalizzati'!O220</f>
        <v>2719</v>
      </c>
      <c r="J220" s="43">
        <f>+'Cons spec tot e finalizzati'!P220-'Cons spec tot e finalizzati'!Q220</f>
        <v>2686</v>
      </c>
      <c r="K220" s="43">
        <f>+'Cons spec tot e finalizzati'!R220-'Cons spec tot e finalizzati'!S220</f>
        <v>2881</v>
      </c>
      <c r="L220" s="43">
        <f>+'Cons spec tot e finalizzati'!T220-'Cons spec tot e finalizzati'!U220</f>
        <v>3028</v>
      </c>
      <c r="M220" s="43">
        <f>+'Cons spec tot e finalizzati'!V220-'Cons spec tot e finalizzati'!W220</f>
        <v>2717</v>
      </c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s="2" customFormat="1" ht="12.75">
      <c r="A221" s="37"/>
      <c r="B221" s="10" t="s">
        <v>169</v>
      </c>
      <c r="C221" s="11"/>
      <c r="D221" s="43">
        <f>+'Cons spec tot e finalizzati'!D221-'Cons spec tot e finalizzati'!E221</f>
        <v>0</v>
      </c>
      <c r="E221" s="43">
        <f>+'Cons spec tot e finalizzati'!F221-'Cons spec tot e finalizzati'!G221</f>
        <v>0</v>
      </c>
      <c r="F221" s="43">
        <f>+'Cons spec tot e finalizzati'!H221-'Cons spec tot e finalizzati'!I221</f>
        <v>0</v>
      </c>
      <c r="G221" s="46">
        <f>+'Cons spec tot e finalizzati'!J221-'Cons spec tot e finalizzati'!K221</f>
        <v>353</v>
      </c>
      <c r="H221" s="43">
        <f>+'Cons spec tot e finalizzati'!L221-'Cons spec tot e finalizzati'!M221</f>
        <v>304</v>
      </c>
      <c r="I221" s="43">
        <f>+'Cons spec tot e finalizzati'!N221-'Cons spec tot e finalizzati'!O221</f>
        <v>297</v>
      </c>
      <c r="J221" s="43">
        <f>+'Cons spec tot e finalizzati'!P221-'Cons spec tot e finalizzati'!Q221</f>
        <v>291</v>
      </c>
      <c r="K221" s="43">
        <f>+'Cons spec tot e finalizzati'!R221-'Cons spec tot e finalizzati'!S221</f>
        <v>186</v>
      </c>
      <c r="L221" s="43">
        <f>+'Cons spec tot e finalizzati'!T221-'Cons spec tot e finalizzati'!U221</f>
        <v>193</v>
      </c>
      <c r="M221" s="43">
        <f>+'Cons spec tot e finalizzati'!V221-'Cons spec tot e finalizzati'!W221</f>
        <v>555</v>
      </c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s="2" customFormat="1" ht="12.75">
      <c r="A222" s="37"/>
      <c r="B222" s="10" t="s">
        <v>22</v>
      </c>
      <c r="C222" s="11"/>
      <c r="D222" s="43">
        <f>+'Cons spec tot e finalizzati'!D222-'Cons spec tot e finalizzati'!E222</f>
        <v>0</v>
      </c>
      <c r="E222" s="43">
        <f>+'Cons spec tot e finalizzati'!F222-'Cons spec tot e finalizzati'!G222</f>
        <v>0</v>
      </c>
      <c r="F222" s="43">
        <f>+'Cons spec tot e finalizzati'!H222-'Cons spec tot e finalizzati'!I222</f>
        <v>58</v>
      </c>
      <c r="G222" s="46">
        <f>+'Cons spec tot e finalizzati'!J222-'Cons spec tot e finalizzati'!K222</f>
        <v>79</v>
      </c>
      <c r="H222" s="43">
        <f>+'Cons spec tot e finalizzati'!L222-'Cons spec tot e finalizzati'!M222</f>
        <v>50</v>
      </c>
      <c r="I222" s="43">
        <f>+'Cons spec tot e finalizzati'!N222-'Cons spec tot e finalizzati'!O222</f>
        <v>91</v>
      </c>
      <c r="J222" s="43">
        <f>+'Cons spec tot e finalizzati'!P222-'Cons spec tot e finalizzati'!Q222</f>
        <v>0</v>
      </c>
      <c r="K222" s="43">
        <f>+'Cons spec tot e finalizzati'!R222-'Cons spec tot e finalizzati'!S222</f>
        <v>0</v>
      </c>
      <c r="L222" s="43">
        <f>+'Cons spec tot e finalizzati'!T222-'Cons spec tot e finalizzati'!U222</f>
        <v>0</v>
      </c>
      <c r="M222" s="43">
        <f>+'Cons spec tot e finalizzati'!V222-'Cons spec tot e finalizzati'!W222</f>
        <v>0</v>
      </c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s="2" customFormat="1" ht="12.75">
      <c r="A223" s="37"/>
      <c r="B223" s="10" t="s">
        <v>23</v>
      </c>
      <c r="C223" s="11"/>
      <c r="D223" s="43">
        <f>+'Cons spec tot e finalizzati'!D223-'Cons spec tot e finalizzati'!E223</f>
        <v>57</v>
      </c>
      <c r="E223" s="43">
        <f>+'Cons spec tot e finalizzati'!F223-'Cons spec tot e finalizzati'!G223</f>
        <v>72</v>
      </c>
      <c r="F223" s="43">
        <f>+'Cons spec tot e finalizzati'!H223-'Cons spec tot e finalizzati'!I223</f>
        <v>72</v>
      </c>
      <c r="G223" s="46">
        <f>+'Cons spec tot e finalizzati'!J223-'Cons spec tot e finalizzati'!K223</f>
        <v>85</v>
      </c>
      <c r="H223" s="43">
        <f>+'Cons spec tot e finalizzati'!L223-'Cons spec tot e finalizzati'!M223</f>
        <v>118</v>
      </c>
      <c r="I223" s="43">
        <f>+'Cons spec tot e finalizzati'!N223-'Cons spec tot e finalizzati'!O223</f>
        <v>131</v>
      </c>
      <c r="J223" s="43">
        <f>+'Cons spec tot e finalizzati'!P223-'Cons spec tot e finalizzati'!Q223</f>
        <v>154</v>
      </c>
      <c r="K223" s="43">
        <f>+'Cons spec tot e finalizzati'!R223-'Cons spec tot e finalizzati'!S223</f>
        <v>166</v>
      </c>
      <c r="L223" s="43">
        <f>+'Cons spec tot e finalizzati'!T223-'Cons spec tot e finalizzati'!U223</f>
        <v>178</v>
      </c>
      <c r="M223" s="43">
        <f>+'Cons spec tot e finalizzati'!V223-'Cons spec tot e finalizzati'!W223</f>
        <v>178</v>
      </c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s="2" customFormat="1" ht="12.75">
      <c r="A224" s="37"/>
      <c r="B224" s="10" t="s">
        <v>87</v>
      </c>
      <c r="C224" s="11"/>
      <c r="D224" s="43">
        <f>+'Cons spec tot e finalizzati'!D224-'Cons spec tot e finalizzati'!E224</f>
        <v>711</v>
      </c>
      <c r="E224" s="43">
        <f>+'Cons spec tot e finalizzati'!F224-'Cons spec tot e finalizzati'!G224</f>
        <v>821</v>
      </c>
      <c r="F224" s="43">
        <f>+'Cons spec tot e finalizzati'!H224-'Cons spec tot e finalizzati'!I224</f>
        <v>924</v>
      </c>
      <c r="G224" s="46">
        <f>+'Cons spec tot e finalizzati'!J224-'Cons spec tot e finalizzati'!K224</f>
        <v>853</v>
      </c>
      <c r="H224" s="43">
        <f>+'Cons spec tot e finalizzati'!L224-'Cons spec tot e finalizzati'!M224</f>
        <v>949</v>
      </c>
      <c r="I224" s="43">
        <f>+'Cons spec tot e finalizzati'!N224-'Cons spec tot e finalizzati'!O224</f>
        <v>1077</v>
      </c>
      <c r="J224" s="43">
        <f>+'Cons spec tot e finalizzati'!P224-'Cons spec tot e finalizzati'!Q224</f>
        <v>1056</v>
      </c>
      <c r="K224" s="43">
        <f>+'Cons spec tot e finalizzati'!R224-'Cons spec tot e finalizzati'!S224</f>
        <v>1133</v>
      </c>
      <c r="L224" s="43">
        <f>+'Cons spec tot e finalizzati'!T224-'Cons spec tot e finalizzati'!U224</f>
        <v>1170</v>
      </c>
      <c r="M224" s="43">
        <f>+'Cons spec tot e finalizzati'!V224-'Cons spec tot e finalizzati'!W224</f>
        <v>1092</v>
      </c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13" s="22" customFormat="1" ht="12.75">
      <c r="A225" s="134"/>
      <c r="B225" s="16" t="s">
        <v>88</v>
      </c>
      <c r="C225" s="16"/>
      <c r="D225" s="61">
        <f>+'Cons spec tot e finalizzati'!D225-'Cons spec tot e finalizzati'!E225</f>
        <v>152</v>
      </c>
      <c r="E225" s="61">
        <f>+'Cons spec tot e finalizzati'!F225-'Cons spec tot e finalizzati'!G225</f>
        <v>156</v>
      </c>
      <c r="F225" s="61">
        <f>+'Cons spec tot e finalizzati'!H225-'Cons spec tot e finalizzati'!I225</f>
        <v>328</v>
      </c>
      <c r="G225" s="61">
        <f>+'Cons spec tot e finalizzati'!J225-'Cons spec tot e finalizzati'!K225</f>
        <v>273</v>
      </c>
      <c r="H225" s="61">
        <f>+'Cons spec tot e finalizzati'!L225-'Cons spec tot e finalizzati'!M225</f>
        <v>209</v>
      </c>
      <c r="I225" s="61">
        <f>+'Cons spec tot e finalizzati'!N225-'Cons spec tot e finalizzati'!O225</f>
        <v>264</v>
      </c>
      <c r="J225" s="61">
        <f>+'Cons spec tot e finalizzati'!P225-'Cons spec tot e finalizzati'!Q225</f>
        <v>276</v>
      </c>
      <c r="K225" s="61">
        <f>+'Cons spec tot e finalizzati'!R225-'Cons spec tot e finalizzati'!S225</f>
        <v>271</v>
      </c>
      <c r="L225" s="61">
        <f>+'Cons spec tot e finalizzati'!T225-'Cons spec tot e finalizzati'!U225</f>
        <v>248</v>
      </c>
      <c r="M225" s="61">
        <f>+'Cons spec tot e finalizzati'!V225-'Cons spec tot e finalizzati'!W225</f>
        <v>222</v>
      </c>
    </row>
    <row r="226" spans="1:35" ht="15.75">
      <c r="A226" s="94" t="s">
        <v>32</v>
      </c>
      <c r="B226" s="95"/>
      <c r="C226" s="95"/>
      <c r="D226" s="66">
        <f>+'Cons spec tot e finalizzati'!D226-'Cons spec tot e finalizzati'!E226</f>
        <v>108868</v>
      </c>
      <c r="E226" s="66">
        <f>+'Cons spec tot e finalizzati'!F226-'Cons spec tot e finalizzati'!G226</f>
        <v>111908.82778228243</v>
      </c>
      <c r="F226" s="66">
        <f>+'Cons spec tot e finalizzati'!H226-'Cons spec tot e finalizzati'!I226</f>
        <v>116469</v>
      </c>
      <c r="G226" s="66">
        <f>+'Cons spec tot e finalizzati'!J226-'Cons spec tot e finalizzati'!K226</f>
        <v>120890</v>
      </c>
      <c r="H226" s="66">
        <f>+'Cons spec tot e finalizzati'!L226-'Cons spec tot e finalizzati'!M226</f>
        <v>126984</v>
      </c>
      <c r="I226" s="66">
        <f>+'Cons spec tot e finalizzati'!N226-'Cons spec tot e finalizzati'!O226</f>
        <v>125972</v>
      </c>
      <c r="J226" s="66">
        <f>+'Cons spec tot e finalizzati'!P226-'Cons spec tot e finalizzati'!Q226</f>
        <v>118246</v>
      </c>
      <c r="K226" s="66">
        <f>+'Cons spec tot e finalizzati'!R226-'Cons spec tot e finalizzati'!S226</f>
        <v>125207</v>
      </c>
      <c r="L226" s="66">
        <f>+'Cons spec tot e finalizzati'!T226-'Cons spec tot e finalizzati'!U226</f>
        <v>124810</v>
      </c>
      <c r="M226" s="143">
        <f>+'Cons spec tot e finalizzati'!V226-'Cons spec tot e finalizzati'!W226</f>
        <v>117464</v>
      </c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78"/>
      <c r="Y226" s="78"/>
      <c r="Z226" s="78"/>
      <c r="AA226" s="78"/>
      <c r="AB226" s="78"/>
      <c r="AC226" s="78"/>
      <c r="AD226" s="27"/>
      <c r="AE226" s="27"/>
      <c r="AF226" s="27"/>
      <c r="AG226" s="27"/>
      <c r="AH226" s="27"/>
      <c r="AI226" s="2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3" ht="12.75">
      <c r="A243" s="17"/>
    </row>
    <row r="430" ht="12.75">
      <c r="D430" s="52" t="s">
        <v>33</v>
      </c>
    </row>
  </sheetData>
  <hyperlinks>
    <hyperlink ref="A78:C78" location="ISTRUZIONE!D1" display="ISTRUZIONE!D1"/>
    <hyperlink ref="A78" location="ISTRUZIONE!E1" display="ISTRUZIONE!E1"/>
    <hyperlink ref="C78" location="ISTRUZIONE!V1" display="ISTRUZIONE!V1"/>
    <hyperlink ref="A53:C53" location="'Lavori pubblici'!A1" display="'Lavori pubblici'!A1"/>
    <hyperlink ref="A40:C40" location="'Ambiente e verde'!A1" display="'Ambiente e verde'!A1"/>
    <hyperlink ref="A123:C123" location="PERSONALE!R1" display="PERSONALE!R1"/>
    <hyperlink ref="A114:C114" location="'P&amp;C'!S1" display="'P&amp;C'!S1"/>
    <hyperlink ref="A119:C119" location="'SISTEMI INFO'!S1" display="'SISTEMI INFO'!S1"/>
    <hyperlink ref="A98:C98" location="ECONOMIA!T1" display="ECONOMIA!T1"/>
    <hyperlink ref="A86:C86" location="CULTURA!R1" display="CULTURA!R1"/>
    <hyperlink ref="A44:C44" location="MOBILITA!T1" display="MOBILITA!T1"/>
    <hyperlink ref="A36:C36" location="'Programmi urbanistici'!A1" display="'Programmi urbanistici'!A1"/>
    <hyperlink ref="A72:C72" location="'SERVIZI SOCIALI'!T1" display="'SERVIZI SOCIALI'!T1"/>
    <hyperlink ref="A13:C13" location="GABINETTO!S1" display="GABINETTO!S1"/>
    <hyperlink ref="A29:C29" location="SEGR.GEN!t1" display="SEGR.GEN!t1"/>
    <hyperlink ref="A19:C19" location="PM!S1" display="PM!S1"/>
    <hyperlink ref="A30:C30" location="'STAFF CONS'!S1" display="'STAFF CONS'!S1"/>
    <hyperlink ref="A25:C25" location="LEGALE!S1" display="LEGALE!S1"/>
    <hyperlink ref="A130:C130" location="Comunicazione!A1" display="Comunicazione!A1"/>
    <hyperlink ref="A140" location="QUARTIERI!A1" display="QUARTIERI!A1"/>
    <hyperlink ref="A134:C134" location="'AFFARI IST'!S1" display="'AFFARI IST'!S1"/>
    <hyperlink ref="A110:C110" location="ACQUISTI!S1" display="ACQUISTI!S1"/>
    <hyperlink ref="A10:C10" location="'DIREZIONE GEN'!S1" display="'DIREZIONE GEN'!S1"/>
    <hyperlink ref="A226:C226" location="TOTALE!T1" display="TOTALE!T1"/>
    <hyperlink ref="A108:C108" location="RAGIONERIA!A1" display="RAGIONERIA!A1"/>
    <hyperlink ref="A109:C109" location="ENTRATE!A1" display="ENTRATE!A1"/>
    <hyperlink ref="A67:C67" location="PATRIMONIO!A1" display="PATRIMONIO!A1"/>
    <hyperlink ref="A85:C85" location="'Interventi per casa'!A1" display="'Interventi per casa'!A1"/>
    <hyperlink ref="A10" location="'DIR GEN'!A1" display="'DIR GEN'!A1"/>
    <hyperlink ref="A13" location="Gabinetto!A1" display="Gabinetto!A1"/>
    <hyperlink ref="A30" location="'Staff del Consiglio'!A1" display="'Staff del Consiglio'!A1"/>
    <hyperlink ref="A25" location="Legale!A1" display="Legale!A1"/>
    <hyperlink ref="A29" location="'Segreteria Generale'!A1" display="'Segreteria Generale'!A1"/>
    <hyperlink ref="A134" location="'Affari ist'!A1" display="'Affari ist'!A1"/>
    <hyperlink ref="A108" location="Ragioneria!A1" display="Ragioneria!A1"/>
    <hyperlink ref="A110" location="Acquisti!A1" display="Acquisti!A1"/>
    <hyperlink ref="A123" location="'Personale '!A1" display="'Personale '!A1"/>
    <hyperlink ref="A114" location="'P&amp;C'!A1" display="'P&amp;C'!A1"/>
    <hyperlink ref="A119" location="'Sistemi info'!A1" display="'Sistemi info'!A1"/>
    <hyperlink ref="A53" location="LLPP!A1" display="LLPP!A1"/>
    <hyperlink ref="A72" location="'Sociale e salute'!A1" display="'Sociale e salute'!A1"/>
    <hyperlink ref="A86" location="Cultura!A1" display="Cultura!A1"/>
    <hyperlink ref="A98" location="'Attività produttive'!A1" display="'Attività produttive'!A1"/>
    <hyperlink ref="A36" location="Territorio!A1" display="Territorio!A1"/>
    <hyperlink ref="A44" location="Mobilità!A1" display="Mobilità!A1"/>
    <hyperlink ref="A85" location="Casa!A1" display="Casa!A1"/>
    <hyperlink ref="A40" location="'Ambiente '!A1" display="'Ambiente '!A1"/>
    <hyperlink ref="A130" location="'Comunicazione '!A1" display="'Comunicazione '!A1"/>
    <hyperlink ref="A19" location="PM!A1" display="PM!A1"/>
    <hyperlink ref="A226" location="'TOTALE CS'!A1" display="'TOTALE CS'!A1"/>
    <hyperlink ref="A9" location="'Staff politico isti'!A1" display="'Staff politico isti'!A1"/>
    <hyperlink ref="A31" location="'Settori di staff'!A1" display="'Settori di staff'!A1"/>
    <hyperlink ref="A141" location="'Coord Quartieri'!A1" display="'Coord Quartieri'!A1"/>
    <hyperlink ref="A153" location="Q.Borgo!A1" display="Q.Borgo!A1"/>
    <hyperlink ref="A161" location="Q.Navile!A1" display="Q.Navile!A1"/>
    <hyperlink ref="A170" location="Q.Porto!A1" display="Q.Porto!A1"/>
    <hyperlink ref="A179" location="Q.Reno!A1" display="Q.Reno!A1"/>
    <hyperlink ref="A187" location="Q.SDonato!A1" display="Q.SDonato!A1"/>
    <hyperlink ref="A194" location="Q.SStefano!A1" display="Q.SStefano!A1"/>
    <hyperlink ref="A202" location="Q.SVitale!A1" display="Q.SVitale!A1"/>
    <hyperlink ref="A210" location="Q.Saragozza!A1" display="Q.Saragozza!A1"/>
    <hyperlink ref="A218" location="Q.Savena!A1" display="Q.Savena!A1"/>
  </hyperlinks>
  <printOptions/>
  <pageMargins left="0.18" right="0.18" top="0.21" bottom="0.13" header="0.14" footer="0.12"/>
  <pageSetup horizontalDpi="600" verticalDpi="600" orientation="landscape" paperSize="9" scale="60" r:id="rId1"/>
  <rowBreaks count="4" manualBreakCount="4">
    <brk id="53" max="20" man="1"/>
    <brk id="86" max="20" man="1"/>
    <brk id="143" max="20" man="1"/>
    <brk id="219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97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'!D72</f>
        <v>3426</v>
      </c>
      <c r="C3" s="34">
        <f>+'Cons spec netti '!E72</f>
        <v>4543</v>
      </c>
      <c r="D3" s="34">
        <f>+'Cons spec netti '!F72</f>
        <v>2982</v>
      </c>
      <c r="E3" s="34">
        <f>+'Cons spec netti '!G72</f>
        <v>1583</v>
      </c>
      <c r="F3" s="34">
        <f>+'Cons spec netti '!H72</f>
        <v>1392</v>
      </c>
      <c r="G3" s="34">
        <f>+'Cons spec netti '!I72</f>
        <v>1237</v>
      </c>
      <c r="H3" s="34">
        <f>+'Cons spec netti '!J72</f>
        <v>923</v>
      </c>
      <c r="I3" s="34">
        <f>+'Cons spec netti '!K72</f>
        <v>674</v>
      </c>
      <c r="J3" s="34">
        <f>+'Cons spec netti '!L72</f>
        <v>964</v>
      </c>
      <c r="K3" s="34">
        <f>+'Cons spec netti '!M72</f>
        <v>834</v>
      </c>
    </row>
    <row r="4" spans="1:11" ht="15" customHeight="1">
      <c r="A4" s="41" t="s">
        <v>38</v>
      </c>
      <c r="B4" s="34">
        <f>+'Cons spec tot e finalizzati'!E72</f>
        <v>0</v>
      </c>
      <c r="C4" s="34">
        <f>+'Cons spec tot e finalizzati'!G72</f>
        <v>39</v>
      </c>
      <c r="D4" s="36">
        <f>+'Cons spec tot e finalizzati'!I72</f>
        <v>58</v>
      </c>
      <c r="E4" s="36">
        <f>+'Cons spec tot e finalizzati'!K72</f>
        <v>720</v>
      </c>
      <c r="F4" s="36">
        <f>+'Cons spec tot e finalizzati'!M72</f>
        <v>512</v>
      </c>
      <c r="G4" s="36">
        <f>+'Cons spec tot e finalizzati'!O72</f>
        <v>676</v>
      </c>
      <c r="H4" s="36">
        <f>+'Cons spec tot e finalizzati'!Q72</f>
        <v>492</v>
      </c>
      <c r="I4" s="36">
        <f>+'Cons spec tot e finalizzati'!S72</f>
        <v>726</v>
      </c>
      <c r="J4" s="36">
        <f>+'Cons spec tot e finalizzati'!U72</f>
        <v>418</v>
      </c>
      <c r="K4" s="36">
        <f>+'Cons spec tot e finalizzati'!W72</f>
        <v>468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132.60361938120258</v>
      </c>
      <c r="D6" s="109">
        <f t="shared" si="0"/>
        <v>87.04028021015762</v>
      </c>
      <c r="E6" s="109">
        <f t="shared" si="0"/>
        <v>46.205487448920024</v>
      </c>
      <c r="F6" s="109">
        <f t="shared" si="0"/>
        <v>40.63047285464098</v>
      </c>
      <c r="G6" s="109">
        <f t="shared" si="0"/>
        <v>36.10624635143024</v>
      </c>
      <c r="H6" s="109">
        <f t="shared" si="0"/>
        <v>26.941039112667838</v>
      </c>
      <c r="I6" s="109">
        <f t="shared" si="0"/>
        <v>19.673088149445416</v>
      </c>
      <c r="J6" s="109">
        <f t="shared" si="0"/>
        <v>28.137769994162287</v>
      </c>
      <c r="K6" s="109">
        <f>+K3/$B$3*100</f>
        <v>24.34325744308231</v>
      </c>
    </row>
    <row r="7" spans="1:11" ht="12.75">
      <c r="A7" t="s">
        <v>36</v>
      </c>
      <c r="B7" s="35">
        <f>+Entrate!B7</f>
        <v>100</v>
      </c>
      <c r="C7" s="35">
        <f>+Entrate!C7</f>
        <v>102.7</v>
      </c>
      <c r="D7" s="35">
        <f>+Entrate!D7</f>
        <v>105.1</v>
      </c>
      <c r="E7" s="35">
        <f>+Entrate!E7</f>
        <v>107.2</v>
      </c>
      <c r="F7" s="35">
        <f>+Entrate!F7</f>
        <v>108.9</v>
      </c>
      <c r="G7" s="35">
        <f>+Entrate!G7</f>
        <v>110.4</v>
      </c>
      <c r="H7" s="35">
        <f>+Entrate!H7</f>
        <v>112.7</v>
      </c>
      <c r="I7" s="35">
        <f>+Entrate!I7</f>
        <v>114.7</v>
      </c>
      <c r="J7" s="35">
        <f>+Entrate!J7</f>
        <v>118.2</v>
      </c>
      <c r="K7" s="35">
        <f>+Entrate!K7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9" t="s">
        <v>147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'!D78</f>
        <v>2164</v>
      </c>
      <c r="C3" s="34">
        <f>+'Cons spec netti '!E78</f>
        <v>2975</v>
      </c>
      <c r="D3" s="34">
        <f>+'Cons spec netti '!F78</f>
        <v>4289</v>
      </c>
      <c r="E3" s="34">
        <f>+'Cons spec netti '!G78</f>
        <v>3363</v>
      </c>
      <c r="F3" s="34">
        <f>+'Cons spec netti '!H78</f>
        <v>1838</v>
      </c>
      <c r="G3" s="34">
        <f>+'Cons spec netti '!I78</f>
        <v>1605</v>
      </c>
      <c r="H3" s="34">
        <f>+'Cons spec netti '!J78</f>
        <v>292</v>
      </c>
      <c r="I3" s="34">
        <f>+'Cons spec netti '!K78</f>
        <v>786</v>
      </c>
      <c r="J3" s="34">
        <f>+'Cons spec netti '!L78</f>
        <v>644</v>
      </c>
      <c r="K3" s="34">
        <f>+'Cons spec netti '!M78</f>
        <v>676</v>
      </c>
    </row>
    <row r="4" spans="1:11" ht="15" customHeight="1">
      <c r="A4" s="41" t="s">
        <v>38</v>
      </c>
      <c r="B4" s="34">
        <f>+'Cons spec tot e finalizzati'!E78</f>
        <v>1192</v>
      </c>
      <c r="C4" s="34">
        <f>+'Cons spec tot e finalizzati'!G78</f>
        <v>1235</v>
      </c>
      <c r="D4" s="34">
        <f>+'Cons spec tot e finalizzati'!I78</f>
        <v>1571</v>
      </c>
      <c r="E4" s="34">
        <f>+'Cons spec tot e finalizzati'!K78</f>
        <v>340</v>
      </c>
      <c r="F4" s="34">
        <f>+'Cons spec tot e finalizzati'!M78</f>
        <v>631</v>
      </c>
      <c r="G4" s="34">
        <f>+'Cons spec tot e finalizzati'!O78</f>
        <v>765</v>
      </c>
      <c r="H4" s="34">
        <f>+'Cons spec tot e finalizzati'!Q78</f>
        <v>790</v>
      </c>
      <c r="I4" s="34">
        <f>+'Cons spec tot e finalizzati'!S78</f>
        <v>1037</v>
      </c>
      <c r="J4" s="34">
        <f>+'Cons spec tot e finalizzati'!U78</f>
        <v>1541</v>
      </c>
      <c r="K4" s="34">
        <f>+'Cons spec tot e finalizzati'!W78</f>
        <v>1508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39</v>
      </c>
      <c r="B6" s="108">
        <f>+B7</f>
        <v>100</v>
      </c>
      <c r="C6" s="108">
        <f aca="true" t="shared" si="0" ref="C6:J6">+C3/$B$3*100</f>
        <v>137.47689463955638</v>
      </c>
      <c r="D6" s="108">
        <f t="shared" si="0"/>
        <v>198.1977818853974</v>
      </c>
      <c r="E6" s="108">
        <f t="shared" si="0"/>
        <v>155.40665434380776</v>
      </c>
      <c r="F6" s="108">
        <f t="shared" si="0"/>
        <v>84.93530499075786</v>
      </c>
      <c r="G6" s="108">
        <f t="shared" si="0"/>
        <v>74.16820702402957</v>
      </c>
      <c r="H6" s="108">
        <f t="shared" si="0"/>
        <v>13.493530499075785</v>
      </c>
      <c r="I6" s="108">
        <f t="shared" si="0"/>
        <v>36.32162661737523</v>
      </c>
      <c r="J6" s="108">
        <f t="shared" si="0"/>
        <v>29.75970425138632</v>
      </c>
      <c r="K6" s="108">
        <f>+K3/$B$3*100</f>
        <v>31.23844731977819</v>
      </c>
    </row>
    <row r="7" spans="1:11" ht="12.75">
      <c r="A7" t="s">
        <v>36</v>
      </c>
      <c r="B7" s="35">
        <f>+'Sociale e salute'!B7</f>
        <v>100</v>
      </c>
      <c r="C7" s="35">
        <f>+'Sociale e salute'!C7</f>
        <v>102.7</v>
      </c>
      <c r="D7" s="35">
        <f>+'Sociale e salute'!D7</f>
        <v>105.1</v>
      </c>
      <c r="E7" s="35">
        <f>+'Sociale e salute'!E7</f>
        <v>107.2</v>
      </c>
      <c r="F7" s="35">
        <f>+'Sociale e salute'!F7</f>
        <v>108.9</v>
      </c>
      <c r="G7" s="35">
        <f>+'Sociale e salute'!G7</f>
        <v>110.4</v>
      </c>
      <c r="H7" s="35">
        <f>+'Sociale e salute'!H7</f>
        <v>112.7</v>
      </c>
      <c r="I7" s="35">
        <f>+'Sociale e salute'!I7</f>
        <v>114.7</v>
      </c>
      <c r="J7" s="35">
        <f>+'Sociale e salute'!J7</f>
        <v>118.2</v>
      </c>
      <c r="K7" s="35">
        <f>+'Sociale e salute'!K7</f>
        <v>118.6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7" t="s">
        <v>102</v>
      </c>
    </row>
  </sheetData>
  <hyperlinks>
    <hyperlink ref="A29" location="'Cons spec tot e finalizzati'!A73" display="'Cons spec tot e finalizzati'!A73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148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'!D85</f>
        <v>963</v>
      </c>
      <c r="C3" s="34">
        <f>+'Cons spec netti '!E85</f>
        <v>974</v>
      </c>
      <c r="D3" s="34">
        <f>+'Cons spec netti '!F85</f>
        <v>64</v>
      </c>
      <c r="E3" s="34">
        <f>+'Cons spec netti '!G85</f>
        <v>34</v>
      </c>
      <c r="F3" s="34">
        <f>+'Cons spec netti '!H85</f>
        <v>168</v>
      </c>
      <c r="G3" s="34">
        <f>+'Cons spec netti '!I85</f>
        <v>99</v>
      </c>
      <c r="H3" s="34">
        <f>+'Cons spec netti '!J85</f>
        <v>85</v>
      </c>
      <c r="I3" s="34">
        <f>+'Cons spec netti '!K85</f>
        <v>322</v>
      </c>
      <c r="J3" s="34">
        <f>+'Cons spec netti '!L85</f>
        <v>317</v>
      </c>
      <c r="K3" s="34">
        <f>+'Cons spec netti '!M85</f>
        <v>279</v>
      </c>
    </row>
    <row r="4" spans="1:11" ht="15" customHeight="1">
      <c r="A4" s="41" t="s">
        <v>38</v>
      </c>
      <c r="B4" s="34">
        <f>+'Cons spec tot e finalizzati'!E85</f>
        <v>5268</v>
      </c>
      <c r="C4" s="34">
        <f>+'Cons spec tot e finalizzati'!G85</f>
        <v>4015</v>
      </c>
      <c r="D4" s="36">
        <f>+'Cons spec tot e finalizzati'!I85</f>
        <v>6210</v>
      </c>
      <c r="E4" s="36">
        <f>+'Cons spec tot e finalizzati'!K85</f>
        <v>4474</v>
      </c>
      <c r="F4" s="36">
        <f>+'Cons spec tot e finalizzati'!M85</f>
        <v>6772</v>
      </c>
      <c r="G4" s="36">
        <f>+'Cons spec tot e finalizzati'!O85</f>
        <v>6342</v>
      </c>
      <c r="H4" s="36">
        <f>+'Cons spec tot e finalizzati'!Q85</f>
        <v>4523</v>
      </c>
      <c r="I4" s="36">
        <f>+'Cons spec tot e finalizzati'!S85</f>
        <v>6168</v>
      </c>
      <c r="J4" s="36">
        <f>+'Cons spec tot e finalizzati'!U85</f>
        <v>5087</v>
      </c>
      <c r="K4" s="36">
        <f>+'Cons spec tot e finalizzati'!W85</f>
        <v>4665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101.14226375908619</v>
      </c>
      <c r="D6" s="109">
        <f t="shared" si="0"/>
        <v>6.645898234683282</v>
      </c>
      <c r="E6" s="109">
        <f t="shared" si="0"/>
        <v>3.5306334371754935</v>
      </c>
      <c r="F6" s="109">
        <f t="shared" si="0"/>
        <v>17.445482866043612</v>
      </c>
      <c r="G6" s="109">
        <f t="shared" si="0"/>
        <v>10.2803738317757</v>
      </c>
      <c r="H6" s="109">
        <f t="shared" si="0"/>
        <v>8.826583592938734</v>
      </c>
      <c r="I6" s="109">
        <f t="shared" si="0"/>
        <v>33.43717549325026</v>
      </c>
      <c r="J6" s="109">
        <f t="shared" si="0"/>
        <v>32.91796469366563</v>
      </c>
      <c r="K6" s="109">
        <f>+K3/$B$3*100</f>
        <v>28.971962616822427</v>
      </c>
    </row>
    <row r="7" spans="1:11" ht="12.75">
      <c r="A7" t="s">
        <v>36</v>
      </c>
      <c r="B7" s="35">
        <f>+Urbanistica!B7</f>
        <v>100</v>
      </c>
      <c r="C7" s="35">
        <f>+Urbanistica!C7</f>
        <v>102.7</v>
      </c>
      <c r="D7" s="35">
        <f>+Urbanistica!D7</f>
        <v>105.1</v>
      </c>
      <c r="E7" s="35">
        <f>+Urbanistica!E7</f>
        <v>107.2</v>
      </c>
      <c r="F7" s="35">
        <f>+Urbanistica!F7</f>
        <v>108.9</v>
      </c>
      <c r="G7" s="35">
        <f>+Urbanistica!G7</f>
        <v>110.4</v>
      </c>
      <c r="H7" s="35">
        <f>+Urbanistica!H7</f>
        <v>112.7</v>
      </c>
      <c r="I7" s="35">
        <f>+Urbanistica!I7</f>
        <v>114.7</v>
      </c>
      <c r="J7" s="35">
        <f>+Urbanistica!J7</f>
        <v>118.2</v>
      </c>
      <c r="K7" s="35">
        <f>+Urbanistica!K7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85" display="'Cons spec tot e finalizzati'!A8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153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'!D86</f>
        <v>10784</v>
      </c>
      <c r="C3" s="34">
        <f>+'Cons spec netti '!E86</f>
        <v>9942</v>
      </c>
      <c r="D3" s="34">
        <f>+'Cons spec netti '!F86</f>
        <v>10352</v>
      </c>
      <c r="E3" s="34">
        <f>+'Cons spec netti '!G86</f>
        <v>13174</v>
      </c>
      <c r="F3" s="34">
        <f>+'Cons spec netti '!H86</f>
        <v>12994</v>
      </c>
      <c r="G3" s="34">
        <f>+'Cons spec netti '!I86</f>
        <v>12089</v>
      </c>
      <c r="H3" s="34">
        <f>+'Cons spec netti '!J86</f>
        <v>8588</v>
      </c>
      <c r="I3" s="34">
        <f>+'Cons spec netti '!K86</f>
        <v>8729</v>
      </c>
      <c r="J3" s="34">
        <f>+'Cons spec netti '!L86</f>
        <v>9122</v>
      </c>
      <c r="K3" s="34">
        <f>+'Cons spec netti '!M86</f>
        <v>7806</v>
      </c>
    </row>
    <row r="4" spans="1:11" ht="15" customHeight="1">
      <c r="A4" s="41" t="s">
        <v>38</v>
      </c>
      <c r="B4" s="34">
        <f>+'Cons spec tot e finalizzati'!E86</f>
        <v>3888</v>
      </c>
      <c r="C4" s="34">
        <f>+'Cons spec tot e finalizzati'!G86</f>
        <v>1616</v>
      </c>
      <c r="D4" s="36">
        <f>+'Cons spec tot e finalizzati'!I86</f>
        <v>562</v>
      </c>
      <c r="E4" s="36">
        <f>+'Cons spec tot e finalizzati'!K86</f>
        <v>2105</v>
      </c>
      <c r="F4" s="36">
        <f>+'Cons spec tot e finalizzati'!M86</f>
        <v>1684</v>
      </c>
      <c r="G4" s="36">
        <f>+'Cons spec tot e finalizzati'!O86</f>
        <v>1968</v>
      </c>
      <c r="H4" s="36">
        <f>+'Cons spec tot e finalizzati'!Q86</f>
        <v>1227</v>
      </c>
      <c r="I4" s="36">
        <f>+'Cons spec tot e finalizzati'!S86</f>
        <v>1343</v>
      </c>
      <c r="J4" s="36">
        <f>+'Cons spec tot e finalizzati'!U86</f>
        <v>1575</v>
      </c>
      <c r="K4" s="36">
        <f>+'Cons spec tot e finalizzati'!W86</f>
        <v>2485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92.19213649851632</v>
      </c>
      <c r="D6" s="109">
        <f t="shared" si="0"/>
        <v>95.99406528189911</v>
      </c>
      <c r="E6" s="109">
        <f t="shared" si="0"/>
        <v>122.16246290801188</v>
      </c>
      <c r="F6" s="109">
        <f t="shared" si="0"/>
        <v>120.4933234421365</v>
      </c>
      <c r="G6" s="109">
        <f t="shared" si="0"/>
        <v>112.10126112759644</v>
      </c>
      <c r="H6" s="109">
        <f t="shared" si="0"/>
        <v>79.63649851632047</v>
      </c>
      <c r="I6" s="109">
        <f t="shared" si="0"/>
        <v>80.94399109792285</v>
      </c>
      <c r="J6" s="109">
        <f t="shared" si="0"/>
        <v>84.58827893175074</v>
      </c>
      <c r="K6" s="109">
        <f>+K3/$B$3*100</f>
        <v>72.38501483679525</v>
      </c>
    </row>
    <row r="7" spans="1:11" ht="12.75">
      <c r="A7" t="s">
        <v>36</v>
      </c>
      <c r="B7" s="35">
        <f>+'Sociale e salute'!B7</f>
        <v>100</v>
      </c>
      <c r="C7" s="35">
        <f>+'Sociale e salute'!C7</f>
        <v>102.7</v>
      </c>
      <c r="D7" s="35">
        <f>+'Sociale e salute'!D7</f>
        <v>105.1</v>
      </c>
      <c r="E7" s="35">
        <f>+'Sociale e salute'!E7</f>
        <v>107.2</v>
      </c>
      <c r="F7" s="35">
        <f>+'Sociale e salute'!F7</f>
        <v>108.9</v>
      </c>
      <c r="G7" s="35">
        <f>+'Sociale e salute'!G7</f>
        <v>110.4</v>
      </c>
      <c r="H7" s="35">
        <f>+'Sociale e salute'!H7</f>
        <v>112.7</v>
      </c>
      <c r="I7" s="35">
        <f>+'Sociale e salute'!I7</f>
        <v>114.7</v>
      </c>
      <c r="J7" s="35">
        <f>+'Sociale e salute'!J7</f>
        <v>118.2</v>
      </c>
      <c r="K7" s="35">
        <f>+'Sociale e salute'!K7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00" display="'Cons spec tot e finalizzati'!A10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154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'!D98</f>
        <v>2850</v>
      </c>
      <c r="C3" s="34">
        <f>+'Cons spec netti '!E98</f>
        <v>2809</v>
      </c>
      <c r="D3" s="34">
        <f>+'Cons spec netti '!F98</f>
        <v>3913</v>
      </c>
      <c r="E3" s="34">
        <f>+'Cons spec netti '!G98</f>
        <v>2768</v>
      </c>
      <c r="F3" s="34">
        <f>+'Cons spec netti '!H98</f>
        <v>2326</v>
      </c>
      <c r="G3" s="34">
        <f>+'Cons spec netti '!I98</f>
        <v>1900</v>
      </c>
      <c r="H3" s="34">
        <f>+'Cons spec netti '!J98</f>
        <v>582</v>
      </c>
      <c r="I3" s="34">
        <f>+'Cons spec netti '!K98</f>
        <v>897</v>
      </c>
      <c r="J3" s="34">
        <f>+'Cons spec netti '!L98</f>
        <v>591</v>
      </c>
      <c r="K3" s="34">
        <f>+'Cons spec netti '!M98</f>
        <v>469</v>
      </c>
    </row>
    <row r="4" spans="1:11" ht="15" customHeight="1">
      <c r="A4" s="41" t="s">
        <v>38</v>
      </c>
      <c r="B4" s="34">
        <f>+'Cons spec tot e finalizzati'!E98</f>
        <v>1775</v>
      </c>
      <c r="C4" s="34">
        <f>+'Cons spec tot e finalizzati'!G98</f>
        <v>2922</v>
      </c>
      <c r="D4" s="36">
        <f>+'Cons spec tot e finalizzati'!I98</f>
        <v>2420</v>
      </c>
      <c r="E4" s="36">
        <f>+'Cons spec tot e finalizzati'!K98</f>
        <v>2485</v>
      </c>
      <c r="F4" s="36">
        <f>+'Cons spec tot e finalizzati'!M98</f>
        <v>628</v>
      </c>
      <c r="G4" s="36">
        <f>+'Cons spec tot e finalizzati'!O98</f>
        <v>2971</v>
      </c>
      <c r="H4" s="36">
        <f>+'Cons spec tot e finalizzati'!Q98</f>
        <v>790</v>
      </c>
      <c r="I4" s="36">
        <f>+'Cons spec tot e finalizzati'!S98</f>
        <v>634</v>
      </c>
      <c r="J4" s="36">
        <f>+'Cons spec tot e finalizzati'!U98</f>
        <v>1946</v>
      </c>
      <c r="K4" s="36">
        <f>+'Cons spec tot e finalizzati'!W98</f>
        <v>944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98.56140350877193</v>
      </c>
      <c r="D6" s="109">
        <f t="shared" si="0"/>
        <v>137.2982456140351</v>
      </c>
      <c r="E6" s="109">
        <f t="shared" si="0"/>
        <v>97.12280701754385</v>
      </c>
      <c r="F6" s="109">
        <f t="shared" si="0"/>
        <v>81.61403508771929</v>
      </c>
      <c r="G6" s="109">
        <f t="shared" si="0"/>
        <v>66.66666666666666</v>
      </c>
      <c r="H6" s="109">
        <f t="shared" si="0"/>
        <v>20.42105263157895</v>
      </c>
      <c r="I6" s="109">
        <f t="shared" si="0"/>
        <v>31.473684210526315</v>
      </c>
      <c r="J6" s="109">
        <f t="shared" si="0"/>
        <v>20.736842105263158</v>
      </c>
      <c r="K6" s="109">
        <f>+K3/$B$3*100</f>
        <v>16.456140350877195</v>
      </c>
    </row>
    <row r="7" spans="1:11" ht="12.75">
      <c r="A7" t="s">
        <v>36</v>
      </c>
      <c r="B7" s="35">
        <f>+'Dir Dip servizi famiglie'!B7</f>
        <v>100</v>
      </c>
      <c r="C7" s="35">
        <f>+'Dir Dip servizi famiglie'!C7</f>
        <v>102.7</v>
      </c>
      <c r="D7" s="35">
        <f>+'Dir Dip servizi famiglie'!D7</f>
        <v>105.1</v>
      </c>
      <c r="E7" s="35">
        <f>+'Dir Dip servizi famiglie'!E7</f>
        <v>107.2</v>
      </c>
      <c r="F7" s="35">
        <f>+'Dir Dip servizi famiglie'!F7</f>
        <v>108.9</v>
      </c>
      <c r="G7" s="35">
        <f>+'Dir Dip servizi famiglie'!G7</f>
        <v>110.4</v>
      </c>
      <c r="H7" s="35">
        <f>+'Dir Dip servizi famiglie'!H7</f>
        <v>112.7</v>
      </c>
      <c r="I7" s="35">
        <f>+'Dir Dip servizi famiglie'!I7</f>
        <v>114.7</v>
      </c>
      <c r="J7" s="35">
        <f>+'Dir Dip servizi famiglie'!J7</f>
        <v>118.2</v>
      </c>
      <c r="K7" s="35">
        <f>+'Dir Dip servizi famiglie'!K7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8" display="'Cons spec tot e finalizzati'!A9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92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155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'!D107</f>
        <v>1162</v>
      </c>
      <c r="C3" s="34">
        <f>+'Cons spec netti '!E107</f>
        <v>1503</v>
      </c>
      <c r="D3" s="34">
        <f>+'Cons spec netti '!F107</f>
        <v>2100</v>
      </c>
      <c r="E3" s="34">
        <f>+'Cons spec netti '!G107</f>
        <v>3376</v>
      </c>
      <c r="F3" s="34">
        <f>+'Cons spec netti '!H107</f>
        <v>4789</v>
      </c>
      <c r="G3" s="34">
        <f>+'Cons spec netti '!I107</f>
        <v>5158</v>
      </c>
      <c r="H3" s="34">
        <f>+'Cons spec netti '!J107</f>
        <v>2983</v>
      </c>
      <c r="I3" s="34">
        <f>+'Cons spec netti '!K107</f>
        <v>4135</v>
      </c>
      <c r="J3" s="34">
        <f>+'Cons spec netti '!L107</f>
        <v>5912</v>
      </c>
      <c r="K3" s="34">
        <f>+'Cons spec netti '!M107</f>
        <v>5558</v>
      </c>
    </row>
    <row r="4" spans="1:11" ht="15" customHeight="1">
      <c r="A4" s="41" t="s">
        <v>38</v>
      </c>
      <c r="B4" s="34">
        <f>+'Cons spec tot e finalizzati'!E107</f>
        <v>0</v>
      </c>
      <c r="C4" s="34">
        <f>+'Cons spec tot e finalizzati'!G107</f>
        <v>0</v>
      </c>
      <c r="D4" s="36">
        <f>+'Cons spec tot e finalizzati'!I107</f>
        <v>0</v>
      </c>
      <c r="E4" s="36">
        <f>+'Cons spec tot e finalizzati'!K107</f>
        <v>0</v>
      </c>
      <c r="F4" s="36">
        <f>+'Cons spec tot e finalizzati'!M107</f>
        <v>0</v>
      </c>
      <c r="G4" s="36">
        <f>+'Cons spec tot e finalizzati'!O107</f>
        <v>0</v>
      </c>
      <c r="H4" s="36">
        <f>+'Cons spec tot e finalizzati'!Q107</f>
        <v>0</v>
      </c>
      <c r="I4" s="36">
        <f>+'Cons spec tot e finalizzati'!S107</f>
        <v>0</v>
      </c>
      <c r="J4" s="36">
        <f>+'Cons spec tot e finalizzati'!U107</f>
        <v>3308</v>
      </c>
      <c r="K4" s="36">
        <f>+'Cons spec tot e finalizzati'!W107</f>
        <v>0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K6">+B3/$B$3*100</f>
        <v>100</v>
      </c>
      <c r="C6" s="109">
        <f t="shared" si="0"/>
        <v>129.3459552495697</v>
      </c>
      <c r="D6" s="109">
        <f t="shared" si="0"/>
        <v>180.72289156626508</v>
      </c>
      <c r="E6" s="109">
        <f t="shared" si="0"/>
        <v>290.5335628227195</v>
      </c>
      <c r="F6" s="109">
        <f t="shared" si="0"/>
        <v>412.1342512908778</v>
      </c>
      <c r="G6" s="109">
        <f t="shared" si="0"/>
        <v>443.88984509466434</v>
      </c>
      <c r="H6" s="109">
        <f t="shared" si="0"/>
        <v>256.71256454388987</v>
      </c>
      <c r="I6" s="109">
        <f t="shared" si="0"/>
        <v>355.8519793459553</v>
      </c>
      <c r="J6" s="109">
        <f t="shared" si="0"/>
        <v>508.77796901893294</v>
      </c>
      <c r="K6" s="109">
        <f t="shared" si="0"/>
        <v>478.31325301204816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07" display="'Cons spec tot e finalizzati'!A107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19" t="s">
        <v>156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'!D108</f>
        <v>162</v>
      </c>
      <c r="C3" s="34">
        <f>+'Cons spec netti '!E108</f>
        <v>169</v>
      </c>
      <c r="D3" s="34">
        <f>+'Cons spec netti '!F108</f>
        <v>244</v>
      </c>
      <c r="E3" s="34">
        <f>+'Cons spec netti '!G108</f>
        <v>304</v>
      </c>
      <c r="F3" s="34">
        <f>+'Cons spec netti '!H108</f>
        <v>227</v>
      </c>
      <c r="G3" s="34">
        <f>+'Cons spec netti '!I108</f>
        <v>246</v>
      </c>
      <c r="H3" s="34">
        <f>+'Cons spec netti '!J108</f>
        <v>146</v>
      </c>
      <c r="I3" s="34">
        <f>+'Cons spec netti '!K108</f>
        <v>138</v>
      </c>
      <c r="J3" s="34">
        <f>+'Cons spec netti '!L108</f>
        <v>157</v>
      </c>
      <c r="K3" s="34">
        <f>+'Cons spec netti '!M108</f>
        <v>159</v>
      </c>
    </row>
    <row r="4" spans="1:11" ht="15" customHeight="1">
      <c r="A4" s="41" t="s">
        <v>38</v>
      </c>
      <c r="B4" s="34">
        <f>+'Cons spec tot e finalizzati'!E108</f>
        <v>0</v>
      </c>
      <c r="C4" s="34">
        <f>+'Cons spec tot e finalizzati'!G108</f>
        <v>0</v>
      </c>
      <c r="D4" s="34">
        <f>+'Cons spec tot e finalizzati'!I108</f>
        <v>0</v>
      </c>
      <c r="E4" s="34">
        <f>+'Cons spec tot e finalizzati'!K108</f>
        <v>0</v>
      </c>
      <c r="F4" s="34">
        <f>+'Cons spec tot e finalizzati'!M108</f>
        <v>0</v>
      </c>
      <c r="G4" s="34">
        <f>+'Cons spec tot e finalizzati'!O108</f>
        <v>0</v>
      </c>
      <c r="H4" s="34">
        <f>+'Cons spec tot e finalizzati'!Q108</f>
        <v>0</v>
      </c>
      <c r="I4" s="34">
        <f>+'Cons spec tot e finalizzati'!S108</f>
        <v>0</v>
      </c>
      <c r="J4" s="34">
        <f>+'Cons spec tot e finalizzati'!U108</f>
        <v>0</v>
      </c>
      <c r="K4" s="34">
        <f>+'Cons spec tot e finalizzati'!W108</f>
        <v>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39</v>
      </c>
      <c r="B6" s="108">
        <v>100</v>
      </c>
      <c r="C6" s="108">
        <f aca="true" t="shared" si="0" ref="C6:J6">+C3/$B$3*100</f>
        <v>104.32098765432099</v>
      </c>
      <c r="D6" s="108">
        <f t="shared" si="0"/>
        <v>150.6172839506173</v>
      </c>
      <c r="E6" s="108">
        <f t="shared" si="0"/>
        <v>187.6543209876543</v>
      </c>
      <c r="F6" s="108">
        <f t="shared" si="0"/>
        <v>140.12345679012347</v>
      </c>
      <c r="G6" s="108">
        <f t="shared" si="0"/>
        <v>151.85185185185185</v>
      </c>
      <c r="H6" s="108">
        <f t="shared" si="0"/>
        <v>90.12345679012346</v>
      </c>
      <c r="I6" s="108">
        <f t="shared" si="0"/>
        <v>85.18518518518519</v>
      </c>
      <c r="J6" s="108">
        <f t="shared" si="0"/>
        <v>96.91358024691358</v>
      </c>
      <c r="K6" s="108">
        <f>+K3/$B$3*100</f>
        <v>98.14814814814815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7" t="s">
        <v>102</v>
      </c>
    </row>
  </sheetData>
  <hyperlinks>
    <hyperlink ref="A29" location="'Cons spec tot e finalizzati'!A108" display="'Cons spec tot e finalizzati'!A108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1" width="7.140625" style="0" customWidth="1"/>
  </cols>
  <sheetData>
    <row r="1" ht="12.75">
      <c r="A1" s="119" t="s">
        <v>43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'!D109</f>
        <v>954</v>
      </c>
      <c r="C3" s="34">
        <f>+'Cons spec netti '!E109</f>
        <v>1304</v>
      </c>
      <c r="D3" s="34">
        <f>+'Cons spec netti '!F109</f>
        <v>1852</v>
      </c>
      <c r="E3" s="34">
        <f>+'Cons spec netti '!G109</f>
        <v>3046</v>
      </c>
      <c r="F3" s="34">
        <f>+'Cons spec netti '!H109</f>
        <v>4516</v>
      </c>
      <c r="G3" s="34">
        <f>+'Cons spec netti '!I109</f>
        <v>4841</v>
      </c>
      <c r="H3" s="34">
        <f>+'Cons spec netti '!J109</f>
        <v>2727</v>
      </c>
      <c r="I3" s="34">
        <f>+'Cons spec netti '!K109</f>
        <v>3989</v>
      </c>
      <c r="J3" s="34">
        <f>+'Cons spec netti '!L109</f>
        <v>5750</v>
      </c>
      <c r="K3" s="34">
        <f>+'Cons spec netti '!M109</f>
        <v>5395</v>
      </c>
    </row>
    <row r="4" spans="1:11" ht="15" customHeight="1">
      <c r="A4" s="41" t="s">
        <v>38</v>
      </c>
      <c r="B4" s="36">
        <f>+'Cons spec tot e finalizzati'!E109</f>
        <v>0</v>
      </c>
      <c r="C4" s="36">
        <f>+'Cons spec tot e finalizzati'!G109</f>
        <v>0</v>
      </c>
      <c r="D4" s="36">
        <f>+'Cons spec tot e finalizzati'!I109</f>
        <v>0</v>
      </c>
      <c r="E4" s="36">
        <f>+'Cons spec tot e finalizzati'!K109</f>
        <v>0</v>
      </c>
      <c r="F4" s="36">
        <f>+'Cons spec tot e finalizzati'!M109</f>
        <v>0</v>
      </c>
      <c r="G4" s="36">
        <f>+'Cons spec tot e finalizzati'!O109</f>
        <v>0</v>
      </c>
      <c r="H4" s="36">
        <f>+'Cons spec tot e finalizzati'!Q109</f>
        <v>0</v>
      </c>
      <c r="I4" s="36">
        <f>+'Cons spec tot e finalizzati'!S109</f>
        <v>0</v>
      </c>
      <c r="J4" s="36">
        <f>+'Cons spec tot e finalizzati'!U109</f>
        <v>3308</v>
      </c>
      <c r="K4" s="36">
        <f>+'Cons spec tot e finalizzati'!W109</f>
        <v>0</v>
      </c>
    </row>
    <row r="6" spans="1:11" ht="12.75">
      <c r="A6" t="s">
        <v>39</v>
      </c>
      <c r="B6" s="109">
        <f>+B7</f>
        <v>100</v>
      </c>
      <c r="C6" s="109">
        <f>+C3/$B$3*100</f>
        <v>136.68763102725367</v>
      </c>
      <c r="D6" s="109">
        <f aca="true" t="shared" si="0" ref="D6:J6">+D3/$B$3*100</f>
        <v>194.12997903563942</v>
      </c>
      <c r="E6" s="109">
        <f t="shared" si="0"/>
        <v>319.2872117400419</v>
      </c>
      <c r="F6" s="109">
        <f t="shared" si="0"/>
        <v>473.3752620545073</v>
      </c>
      <c r="G6" s="109">
        <f t="shared" si="0"/>
        <v>507.44234800838575</v>
      </c>
      <c r="H6" s="109">
        <f t="shared" si="0"/>
        <v>285.8490566037736</v>
      </c>
      <c r="I6" s="109">
        <f t="shared" si="0"/>
        <v>418.1341719077568</v>
      </c>
      <c r="J6" s="109">
        <f t="shared" si="0"/>
        <v>602.7253668763103</v>
      </c>
      <c r="K6" s="109">
        <f>+K3/$B$3*100</f>
        <v>565.5136268343815</v>
      </c>
    </row>
    <row r="7" spans="1:11" ht="12.75">
      <c r="A7" t="s">
        <v>36</v>
      </c>
      <c r="B7" s="35">
        <f>+Finanze!B7</f>
        <v>100</v>
      </c>
      <c r="C7" s="35">
        <f>+Finanze!C7</f>
        <v>102.7</v>
      </c>
      <c r="D7" s="35">
        <f>+Finanze!D7</f>
        <v>105.1</v>
      </c>
      <c r="E7" s="35">
        <f>+Finanze!E7</f>
        <v>107.2</v>
      </c>
      <c r="F7" s="35">
        <f>+Finanze!F7</f>
        <v>108.9</v>
      </c>
      <c r="G7" s="35">
        <f>+Finanze!G7</f>
        <v>110.4</v>
      </c>
      <c r="H7" s="35">
        <f>+Finanze!H7</f>
        <v>112.7</v>
      </c>
      <c r="I7" s="35">
        <f>+Finanze!I7</f>
        <v>114.7</v>
      </c>
      <c r="J7" s="35">
        <f>+Finanze!J7</f>
        <v>118.2</v>
      </c>
      <c r="K7" s="35">
        <f>+Finanze!K7</f>
        <v>118.6</v>
      </c>
    </row>
    <row r="29" ht="12.75">
      <c r="A29" s="117" t="s">
        <v>102</v>
      </c>
    </row>
  </sheetData>
  <hyperlinks>
    <hyperlink ref="A29" location="'Cons spec tot e finalizzati'!A109" display="'Cons spec tot e finalizzati'!A1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11" width="6.7109375" style="0" customWidth="1"/>
  </cols>
  <sheetData>
    <row r="1" ht="12.75">
      <c r="A1" s="119" t="s">
        <v>157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'!D110</f>
        <v>46</v>
      </c>
      <c r="C3" s="34">
        <f>+'Cons spec netti '!E110</f>
        <v>30</v>
      </c>
      <c r="D3" s="34">
        <f>+'Cons spec netti '!F110</f>
        <v>4</v>
      </c>
      <c r="E3" s="34">
        <f>+'Cons spec netti '!G110</f>
        <v>26</v>
      </c>
      <c r="F3" s="34">
        <f>+'Cons spec netti '!H110</f>
        <v>46</v>
      </c>
      <c r="G3" s="34">
        <f>+'Cons spec netti '!I110</f>
        <v>71</v>
      </c>
      <c r="H3" s="34">
        <f>+'Cons spec netti '!J110</f>
        <v>110</v>
      </c>
      <c r="I3" s="34">
        <f>+'Cons spec netti '!K110</f>
        <v>8</v>
      </c>
      <c r="J3" s="34">
        <f>+'Cons spec netti '!L110</f>
        <v>5</v>
      </c>
      <c r="K3" s="34">
        <f>+'Cons spec netti '!M110</f>
        <v>4</v>
      </c>
    </row>
    <row r="4" spans="1:11" ht="15" customHeight="1">
      <c r="A4" s="41" t="s">
        <v>38</v>
      </c>
      <c r="B4" s="34">
        <f>+'Cons spec tot e finalizzati'!E110</f>
        <v>0</v>
      </c>
      <c r="C4" s="34">
        <f>+'Cons spec tot e finalizzati'!G110</f>
        <v>0</v>
      </c>
      <c r="D4" s="34">
        <f>+'Cons spec tot e finalizzati'!I110</f>
        <v>0</v>
      </c>
      <c r="E4" s="34">
        <f>+'Cons spec tot e finalizzati'!K110</f>
        <v>0</v>
      </c>
      <c r="F4" s="34">
        <f>+'Cons spec tot e finalizzati'!M110</f>
        <v>0</v>
      </c>
      <c r="G4" s="34">
        <f>+'Cons spec tot e finalizzati'!O110</f>
        <v>0</v>
      </c>
      <c r="H4" s="34">
        <f>+'Cons spec tot e finalizzati'!Q110</f>
        <v>0</v>
      </c>
      <c r="I4" s="34">
        <f>+'Cons spec tot e finalizzati'!S110</f>
        <v>0</v>
      </c>
      <c r="J4" s="34">
        <f>+'Cons spec tot e finalizzati'!U110</f>
        <v>0</v>
      </c>
      <c r="K4" s="34">
        <f>+'Cons spec tot e finalizzati'!W110</f>
        <v>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39</v>
      </c>
      <c r="B6" s="108">
        <f>+B7</f>
        <v>100</v>
      </c>
      <c r="C6" s="108">
        <f aca="true" t="shared" si="0" ref="C6:J6">+C3/$B$3*100</f>
        <v>65.21739130434783</v>
      </c>
      <c r="D6" s="108">
        <f t="shared" si="0"/>
        <v>8.695652173913043</v>
      </c>
      <c r="E6" s="108">
        <f t="shared" si="0"/>
        <v>56.52173913043478</v>
      </c>
      <c r="F6" s="108">
        <f t="shared" si="0"/>
        <v>100</v>
      </c>
      <c r="G6" s="108">
        <f t="shared" si="0"/>
        <v>154.34782608695653</v>
      </c>
      <c r="H6" s="108">
        <f t="shared" si="0"/>
        <v>239.1304347826087</v>
      </c>
      <c r="I6" s="108">
        <f t="shared" si="0"/>
        <v>17.391304347826086</v>
      </c>
      <c r="J6" s="108">
        <f t="shared" si="0"/>
        <v>10.869565217391305</v>
      </c>
      <c r="K6" s="108">
        <f>+K3/$B$3*100</f>
        <v>8.695652173913043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7" t="s">
        <v>102</v>
      </c>
    </row>
  </sheetData>
  <hyperlinks>
    <hyperlink ref="A29" location="'Cons spec tot e finalizzati'!A110" display="'Cons spec tot e finalizzati'!A11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159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146">
        <f>+'Cons spec netti '!D114</f>
        <v>116</v>
      </c>
      <c r="C3" s="146">
        <f>+'Cons spec netti '!E114</f>
        <v>80</v>
      </c>
      <c r="D3" s="146">
        <f>+'Cons spec netti '!F114</f>
        <v>107</v>
      </c>
      <c r="E3" s="146">
        <f>+'Cons spec netti '!G114</f>
        <v>58</v>
      </c>
      <c r="F3" s="146">
        <f>+'Cons spec netti '!H114</f>
        <v>46</v>
      </c>
      <c r="G3" s="146">
        <f>+'Cons spec netti '!I114</f>
        <v>54</v>
      </c>
      <c r="H3" s="146">
        <f>+'Cons spec netti '!J114</f>
        <v>33</v>
      </c>
      <c r="I3" s="146">
        <f>+'Cons spec netti '!K114</f>
        <v>33</v>
      </c>
      <c r="J3" s="146">
        <f>+'Cons spec netti '!L114</f>
        <v>43</v>
      </c>
      <c r="K3" s="146">
        <f>+'Cons spec netti '!M114</f>
        <v>38</v>
      </c>
    </row>
    <row r="4" spans="1:11" ht="15" customHeight="1">
      <c r="A4" s="41" t="s">
        <v>38</v>
      </c>
      <c r="B4" s="34">
        <f>+'Cons spec tot e finalizzati'!E114</f>
        <v>0</v>
      </c>
      <c r="C4" s="34">
        <f>+'Cons spec tot e finalizzati'!G114</f>
        <v>0</v>
      </c>
      <c r="D4" s="36">
        <f>+'Cons spec tot e finalizzati'!I114</f>
        <v>0</v>
      </c>
      <c r="E4" s="36">
        <f>+'Cons spec tot e finalizzati'!K114</f>
        <v>0</v>
      </c>
      <c r="F4" s="36">
        <f>+'Cons spec tot e finalizzati'!M114</f>
        <v>0</v>
      </c>
      <c r="G4" s="36">
        <f>+'Cons spec tot e finalizzati'!O114</f>
        <v>0</v>
      </c>
      <c r="H4" s="36">
        <f>+'Cons spec tot e finalizzati'!Q114</f>
        <v>0</v>
      </c>
      <c r="I4" s="36">
        <f>+'Cons spec tot e finalizzati'!S114</f>
        <v>9</v>
      </c>
      <c r="J4" s="36">
        <f>+'Cons spec tot e finalizzati'!U114</f>
        <v>30</v>
      </c>
      <c r="K4" s="36">
        <f>+'Cons spec tot e finalizzati'!W114</f>
        <v>22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68.96551724137932</v>
      </c>
      <c r="D6" s="109">
        <f t="shared" si="0"/>
        <v>92.24137931034483</v>
      </c>
      <c r="E6" s="109">
        <f t="shared" si="0"/>
        <v>50</v>
      </c>
      <c r="F6" s="109">
        <f t="shared" si="0"/>
        <v>39.6551724137931</v>
      </c>
      <c r="G6" s="109">
        <f t="shared" si="0"/>
        <v>46.55172413793103</v>
      </c>
      <c r="H6" s="109">
        <f t="shared" si="0"/>
        <v>28.448275862068968</v>
      </c>
      <c r="I6" s="109">
        <f t="shared" si="0"/>
        <v>28.448275862068968</v>
      </c>
      <c r="J6" s="109">
        <f t="shared" si="0"/>
        <v>37.06896551724138</v>
      </c>
      <c r="K6" s="109">
        <f>+K3/$B$3*100</f>
        <v>32.758620689655174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14" display="'Cons spec tot e finalizzati'!A11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118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'!D9</f>
        <v>5358</v>
      </c>
      <c r="C3" s="34">
        <f>+'Cons spec netti '!E9</f>
        <v>6959</v>
      </c>
      <c r="D3" s="34">
        <f>+'Cons spec netti '!F9</f>
        <v>6700</v>
      </c>
      <c r="E3" s="34">
        <f>+'Cons spec netti '!G9</f>
        <v>8156</v>
      </c>
      <c r="F3" s="34">
        <f>+'Cons spec netti '!H9</f>
        <v>9966</v>
      </c>
      <c r="G3" s="34">
        <f>+'Cons spec netti '!I9</f>
        <v>9483</v>
      </c>
      <c r="H3" s="34">
        <f>+'Cons spec netti '!J9</f>
        <v>12405</v>
      </c>
      <c r="I3" s="34">
        <f>+'Cons spec netti '!K9</f>
        <v>14322</v>
      </c>
      <c r="J3" s="34">
        <f>+'Cons spec netti '!L9</f>
        <v>11095</v>
      </c>
      <c r="K3" s="34">
        <f>+'Cons spec netti '!M9</f>
        <v>8885</v>
      </c>
    </row>
    <row r="4" spans="1:11" ht="15" customHeight="1">
      <c r="A4" s="41" t="s">
        <v>38</v>
      </c>
      <c r="B4" s="34">
        <f>+'Cons spec tot e finalizzati'!E9</f>
        <v>1702</v>
      </c>
      <c r="C4" s="27">
        <f>+'Cons spec tot e finalizzati'!G9</f>
        <v>1566</v>
      </c>
      <c r="D4" s="36">
        <f>+'Cons spec tot e finalizzati'!I9</f>
        <v>1682</v>
      </c>
      <c r="E4" s="36">
        <f>+'Cons spec tot e finalizzati'!K9</f>
        <v>1571</v>
      </c>
      <c r="F4" s="36">
        <f>+'Cons spec tot e finalizzati'!M9</f>
        <v>2255</v>
      </c>
      <c r="G4" s="36">
        <f>+'Cons spec tot e finalizzati'!O9</f>
        <v>4224</v>
      </c>
      <c r="H4" s="36">
        <f>+'Cons spec tot e finalizzati'!Q9</f>
        <v>318</v>
      </c>
      <c r="I4" s="36">
        <f>+'Cons spec tot e finalizzati'!S9</f>
        <v>408</v>
      </c>
      <c r="J4" s="36">
        <f>+'Cons spec tot e finalizzati'!U9</f>
        <v>547</v>
      </c>
      <c r="K4" s="36">
        <f>+'Cons spec tot e finalizzati'!W9</f>
        <v>380</v>
      </c>
    </row>
    <row r="5" spans="2:3" ht="12.75">
      <c r="B5" s="34"/>
      <c r="C5" s="4"/>
    </row>
    <row r="6" spans="1:11" ht="12.75">
      <c r="A6" t="s">
        <v>39</v>
      </c>
      <c r="B6" s="108">
        <v>100</v>
      </c>
      <c r="C6" s="109">
        <f>+C3/$B$3*100</f>
        <v>129.88055244494214</v>
      </c>
      <c r="D6" s="109">
        <f>+D3/$B$3*100</f>
        <v>125.04665920119447</v>
      </c>
      <c r="E6" s="109">
        <f aca="true" t="shared" si="0" ref="E6:J6">+E3/$B$3*100</f>
        <v>152.22097797685703</v>
      </c>
      <c r="F6" s="109">
        <f t="shared" si="0"/>
        <v>186.00223964165735</v>
      </c>
      <c r="G6" s="109">
        <f t="shared" si="0"/>
        <v>176.98768197088467</v>
      </c>
      <c r="H6" s="109">
        <f t="shared" si="0"/>
        <v>231.5229563269877</v>
      </c>
      <c r="I6" s="109">
        <f t="shared" si="0"/>
        <v>267.30123180291156</v>
      </c>
      <c r="J6" s="109">
        <f t="shared" si="0"/>
        <v>207.07353490108252</v>
      </c>
      <c r="K6" s="109">
        <f>+K3/$B$3*100</f>
        <v>165.82680104516612</v>
      </c>
    </row>
    <row r="7" spans="1:11" ht="12.75">
      <c r="A7" t="s">
        <v>36</v>
      </c>
      <c r="B7" s="35">
        <v>100</v>
      </c>
      <c r="C7" s="35">
        <v>102.7</v>
      </c>
      <c r="D7" s="35">
        <v>105.1</v>
      </c>
      <c r="E7" s="35">
        <v>107.2</v>
      </c>
      <c r="F7" s="35">
        <v>108.9</v>
      </c>
      <c r="G7" s="35">
        <v>110.4</v>
      </c>
      <c r="H7" s="35">
        <v>112.7</v>
      </c>
      <c r="I7" s="35">
        <v>114.7</v>
      </c>
      <c r="J7" s="35">
        <v>118.2</v>
      </c>
      <c r="K7" s="35"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15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6" width="7.7109375" style="0" bestFit="1" customWidth="1"/>
    <col min="7" max="10" width="7.140625" style="0" bestFit="1" customWidth="1"/>
    <col min="11" max="11" width="7.140625" style="0" customWidth="1"/>
  </cols>
  <sheetData>
    <row r="1" ht="12.75">
      <c r="A1" s="119" t="s">
        <v>162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146">
        <f>+'Cons spec netti '!D118</f>
        <v>11492</v>
      </c>
      <c r="C3" s="146">
        <f>+'Cons spec netti '!E118</f>
        <v>10400.18199941124</v>
      </c>
      <c r="D3" s="146">
        <f>+'Cons spec netti '!F118</f>
        <v>10188</v>
      </c>
      <c r="E3" s="146">
        <f>+'Cons spec netti '!G118</f>
        <v>10275</v>
      </c>
      <c r="F3" s="146">
        <f>+'Cons spec netti '!H118</f>
        <v>10074</v>
      </c>
      <c r="G3" s="146">
        <f>+'Cons spec netti '!I118</f>
        <v>9533</v>
      </c>
      <c r="H3" s="146">
        <f>+'Cons spec netti '!J118</f>
        <v>7136</v>
      </c>
      <c r="I3" s="146">
        <f>+'Cons spec netti '!K118</f>
        <v>7087</v>
      </c>
      <c r="J3" s="146">
        <f>+'Cons spec netti '!L118</f>
        <v>6911</v>
      </c>
      <c r="K3" s="146">
        <f>+'Cons spec netti '!M118</f>
        <v>5988</v>
      </c>
    </row>
    <row r="4" spans="1:11" ht="15" customHeight="1">
      <c r="A4" s="41" t="s">
        <v>38</v>
      </c>
      <c r="B4" s="34">
        <f>+'Cons spec tot e finalizzati'!E118</f>
        <v>81</v>
      </c>
      <c r="C4" s="34">
        <f>+'Cons spec tot e finalizzati'!G118</f>
        <v>314.81800058876087</v>
      </c>
      <c r="D4" s="36">
        <f>+'Cons spec tot e finalizzati'!I118</f>
        <v>1449</v>
      </c>
      <c r="E4" s="36">
        <f>+'Cons spec tot e finalizzati'!K118</f>
        <v>1199</v>
      </c>
      <c r="F4" s="36">
        <f>+'Cons spec tot e finalizzati'!M118</f>
        <v>845</v>
      </c>
      <c r="G4" s="36">
        <f>+'Cons spec tot e finalizzati'!O118</f>
        <v>871</v>
      </c>
      <c r="H4" s="36">
        <f>+'Cons spec tot e finalizzati'!Q118</f>
        <v>756</v>
      </c>
      <c r="I4" s="36">
        <f>+'Cons spec tot e finalizzati'!S118</f>
        <v>1044</v>
      </c>
      <c r="J4" s="36">
        <f>+'Cons spec tot e finalizzati'!U118</f>
        <v>1026</v>
      </c>
      <c r="K4" s="36">
        <f>+'Cons spec tot e finalizzati'!W118</f>
        <v>711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K6">+C3/$B$3*100</f>
        <v>90.4993212618451</v>
      </c>
      <c r="D6" s="109">
        <f t="shared" si="0"/>
        <v>88.65297598329272</v>
      </c>
      <c r="E6" s="109">
        <f t="shared" si="0"/>
        <v>89.4100243647755</v>
      </c>
      <c r="F6" s="109">
        <f t="shared" si="0"/>
        <v>87.66098155238427</v>
      </c>
      <c r="G6" s="109">
        <f t="shared" si="0"/>
        <v>82.95335885833623</v>
      </c>
      <c r="H6" s="109">
        <f t="shared" si="0"/>
        <v>62.09537069265576</v>
      </c>
      <c r="I6" s="109">
        <f t="shared" si="0"/>
        <v>61.6689871214758</v>
      </c>
      <c r="J6" s="109">
        <f t="shared" si="0"/>
        <v>60.1374869474417</v>
      </c>
      <c r="K6" s="109">
        <f t="shared" si="0"/>
        <v>52.105812739296894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14" display="'Cons spec tot e finalizzati'!A11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163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'!D119</f>
        <v>9104</v>
      </c>
      <c r="C3" s="34">
        <f>+'Cons spec netti '!E119</f>
        <v>7903.412395998492</v>
      </c>
      <c r="D3" s="34">
        <f>+'Cons spec netti '!F119</f>
        <v>7893</v>
      </c>
      <c r="E3" s="34">
        <f>+'Cons spec netti '!G119</f>
        <v>8031</v>
      </c>
      <c r="F3" s="34">
        <f>+'Cons spec netti '!H119</f>
        <v>8218</v>
      </c>
      <c r="G3" s="34">
        <f>+'Cons spec netti '!I119</f>
        <v>7619</v>
      </c>
      <c r="H3" s="34">
        <f>+'Cons spec netti '!J119</f>
        <v>6189</v>
      </c>
      <c r="I3" s="34">
        <f>+'Cons spec netti '!K119</f>
        <v>6165</v>
      </c>
      <c r="J3" s="34">
        <f>+'Cons spec netti '!L119</f>
        <v>5953</v>
      </c>
      <c r="K3" s="34">
        <f>+'Cons spec netti '!M119</f>
        <v>5115</v>
      </c>
    </row>
    <row r="4" spans="1:11" ht="15" customHeight="1">
      <c r="A4" s="41" t="s">
        <v>38</v>
      </c>
      <c r="B4" s="34">
        <f>+'Cons spec tot e finalizzati'!E119</f>
        <v>0</v>
      </c>
      <c r="C4" s="34">
        <f>+'Cons spec tot e finalizzati'!G119</f>
        <v>112.58760400150805</v>
      </c>
      <c r="D4" s="36">
        <f>+'Cons spec tot e finalizzati'!I119</f>
        <v>620</v>
      </c>
      <c r="E4" s="36">
        <f>+'Cons spec tot e finalizzati'!K119</f>
        <v>404</v>
      </c>
      <c r="F4" s="36">
        <f>+'Cons spec tot e finalizzati'!M119</f>
        <v>78</v>
      </c>
      <c r="G4" s="36">
        <f>+'Cons spec tot e finalizzati'!O119</f>
        <v>20</v>
      </c>
      <c r="H4" s="36">
        <f>+'Cons spec tot e finalizzati'!Q119</f>
        <v>0</v>
      </c>
      <c r="I4" s="36">
        <f>+'Cons spec tot e finalizzati'!S119</f>
        <v>150</v>
      </c>
      <c r="J4" s="36">
        <f>+'Cons spec tot e finalizzati'!U119</f>
        <v>192</v>
      </c>
      <c r="K4" s="36">
        <f>+'Cons spec tot e finalizzati'!W119</f>
        <v>7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86.81252631808538</v>
      </c>
      <c r="D6" s="109">
        <f t="shared" si="0"/>
        <v>86.6981546572935</v>
      </c>
      <c r="E6" s="109">
        <f t="shared" si="0"/>
        <v>88.2139718804921</v>
      </c>
      <c r="F6" s="109">
        <f t="shared" si="0"/>
        <v>90.26801405975395</v>
      </c>
      <c r="G6" s="109">
        <f t="shared" si="0"/>
        <v>83.68848857644991</v>
      </c>
      <c r="H6" s="109">
        <f t="shared" si="0"/>
        <v>67.9811072056239</v>
      </c>
      <c r="I6" s="109">
        <f t="shared" si="0"/>
        <v>67.71748681898066</v>
      </c>
      <c r="J6" s="109">
        <f t="shared" si="0"/>
        <v>65.38884007029877</v>
      </c>
      <c r="K6" s="109">
        <f>+K3/$B$3*100</f>
        <v>56.18409490333919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20" display="'Cons spec tot e finalizzati'!A12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164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'!D123</f>
        <v>1008</v>
      </c>
      <c r="C3" s="34">
        <f>+'Cons spec netti '!E123</f>
        <v>1045</v>
      </c>
      <c r="D3" s="34">
        <f>+'Cons spec netti '!F123</f>
        <v>1041</v>
      </c>
      <c r="E3" s="34">
        <f>+'Cons spec netti '!G123</f>
        <v>962</v>
      </c>
      <c r="F3" s="34">
        <f>+'Cons spec netti '!H123</f>
        <v>879</v>
      </c>
      <c r="G3" s="34">
        <f>+'Cons spec netti '!I123</f>
        <v>946</v>
      </c>
      <c r="H3" s="34">
        <f>+'Cons spec netti '!J123</f>
        <v>435</v>
      </c>
      <c r="I3" s="34">
        <f>+'Cons spec netti '!K123</f>
        <v>400</v>
      </c>
      <c r="J3" s="34">
        <f>+'Cons spec netti '!L123</f>
        <v>400</v>
      </c>
      <c r="K3" s="34">
        <f>+'Cons spec netti '!M123</f>
        <v>404</v>
      </c>
    </row>
    <row r="4" spans="1:11" ht="15" customHeight="1">
      <c r="A4" s="41" t="s">
        <v>38</v>
      </c>
      <c r="B4" s="34">
        <f>+'Cons spec tot e finalizzati'!E123</f>
        <v>0</v>
      </c>
      <c r="C4" s="34">
        <f>+'Cons spec tot e finalizzati'!G123</f>
        <v>0</v>
      </c>
      <c r="D4" s="36">
        <f>+'Cons spec tot e finalizzati'!I123</f>
        <v>0</v>
      </c>
      <c r="E4" s="36">
        <f>+'Cons spec tot e finalizzati'!K123</f>
        <v>0</v>
      </c>
      <c r="F4" s="36">
        <f>+'Cons spec tot e finalizzati'!M123</f>
        <v>0</v>
      </c>
      <c r="G4" s="36">
        <f>+'Cons spec tot e finalizzati'!O123</f>
        <v>0</v>
      </c>
      <c r="H4" s="36">
        <f>+'Cons spec tot e finalizzati'!Q123</f>
        <v>0</v>
      </c>
      <c r="I4" s="36">
        <f>+'Cons spec tot e finalizzati'!S123</f>
        <v>100</v>
      </c>
      <c r="J4" s="36">
        <f>+'Cons spec tot e finalizzati'!U123</f>
        <v>0</v>
      </c>
      <c r="K4" s="36">
        <f>+'Cons spec tot e finalizzati'!W123</f>
        <v>14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103.67063492063492</v>
      </c>
      <c r="D6" s="109">
        <f t="shared" si="0"/>
        <v>103.27380952380953</v>
      </c>
      <c r="E6" s="109">
        <f t="shared" si="0"/>
        <v>95.43650793650794</v>
      </c>
      <c r="F6" s="109">
        <f t="shared" si="0"/>
        <v>87.20238095238095</v>
      </c>
      <c r="G6" s="109">
        <f t="shared" si="0"/>
        <v>93.84920634920636</v>
      </c>
      <c r="H6" s="109">
        <f t="shared" si="0"/>
        <v>43.154761904761905</v>
      </c>
      <c r="I6" s="109">
        <f t="shared" si="0"/>
        <v>39.682539682539684</v>
      </c>
      <c r="J6" s="109">
        <f t="shared" si="0"/>
        <v>39.682539682539684</v>
      </c>
      <c r="K6" s="109">
        <f>+K3/$B$3*100</f>
        <v>40.07936507936508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30" display="'Cons spec tot e finalizzati'!A13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7.7109375" style="0" bestFit="1" customWidth="1"/>
    <col min="3" max="11" width="7.7109375" style="0" customWidth="1"/>
  </cols>
  <sheetData>
    <row r="1" ht="12.75">
      <c r="A1" s="119" t="s">
        <v>165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'!D130</f>
        <v>1380</v>
      </c>
      <c r="C3" s="34">
        <f>+'Cons spec netti '!E130</f>
        <v>1451.769603412747</v>
      </c>
      <c r="D3" s="34">
        <f>+'Cons spec netti '!F130</f>
        <v>1254</v>
      </c>
      <c r="E3" s="34">
        <f>+'Cons spec netti '!G130</f>
        <v>1282</v>
      </c>
      <c r="F3" s="34">
        <f>+'Cons spec netti '!H130</f>
        <v>977</v>
      </c>
      <c r="G3" s="34">
        <f>+'Cons spec netti '!I130</f>
        <v>968</v>
      </c>
      <c r="H3" s="34">
        <f>+'Cons spec netti '!J130</f>
        <v>512</v>
      </c>
      <c r="I3" s="34">
        <f>+'Cons spec netti '!K130</f>
        <v>522</v>
      </c>
      <c r="J3" s="34">
        <f>+'Cons spec netti '!L130</f>
        <v>558</v>
      </c>
      <c r="K3" s="34">
        <f>+'Cons spec netti '!M130</f>
        <v>469</v>
      </c>
    </row>
    <row r="4" spans="1:11" ht="15" customHeight="1">
      <c r="A4" s="41" t="s">
        <v>38</v>
      </c>
      <c r="B4" s="34">
        <f>+'Cons spec tot e finalizzati'!E130</f>
        <v>81</v>
      </c>
      <c r="C4" s="34">
        <f>+'Cons spec tot e finalizzati'!G130</f>
        <v>202.2303965872528</v>
      </c>
      <c r="D4" s="34">
        <f>+'Cons spec tot e finalizzati'!I130</f>
        <v>829</v>
      </c>
      <c r="E4" s="34">
        <f>+'Cons spec tot e finalizzati'!K130</f>
        <v>795</v>
      </c>
      <c r="F4" s="34">
        <f>+'Cons spec tot e finalizzati'!M130</f>
        <v>767</v>
      </c>
      <c r="G4" s="34">
        <f>+'Cons spec tot e finalizzati'!O130</f>
        <v>851</v>
      </c>
      <c r="H4" s="34">
        <f>+'Cons spec tot e finalizzati'!Q130</f>
        <v>756</v>
      </c>
      <c r="I4" s="34">
        <f>+'Cons spec tot e finalizzati'!S130</f>
        <v>794</v>
      </c>
      <c r="J4" s="34">
        <f>+'Cons spec tot e finalizzati'!U130</f>
        <v>834</v>
      </c>
      <c r="K4" s="34">
        <f>+'Cons spec tot e finalizzati'!W130</f>
        <v>690</v>
      </c>
    </row>
    <row r="5" spans="2:11" ht="12.7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t="s">
        <v>39</v>
      </c>
      <c r="B6" s="108">
        <v>100</v>
      </c>
      <c r="C6" s="108">
        <f>+C3/$B$3*100</f>
        <v>105.20069589947443</v>
      </c>
      <c r="D6" s="108">
        <f aca="true" t="shared" si="0" ref="D6:J6">+D3/$B$3*100</f>
        <v>90.8695652173913</v>
      </c>
      <c r="E6" s="108">
        <f t="shared" si="0"/>
        <v>92.89855072463769</v>
      </c>
      <c r="F6" s="108">
        <f t="shared" si="0"/>
        <v>70.79710144927536</v>
      </c>
      <c r="G6" s="108">
        <f t="shared" si="0"/>
        <v>70.14492753623188</v>
      </c>
      <c r="H6" s="108">
        <f t="shared" si="0"/>
        <v>37.10144927536232</v>
      </c>
      <c r="I6" s="108">
        <f t="shared" si="0"/>
        <v>37.826086956521735</v>
      </c>
      <c r="J6" s="108">
        <f t="shared" si="0"/>
        <v>40.43478260869565</v>
      </c>
      <c r="K6" s="108">
        <f>+K3/$B$3*100</f>
        <v>33.98550724637681</v>
      </c>
    </row>
    <row r="7" spans="1:11" ht="12.75">
      <c r="A7" t="s">
        <v>36</v>
      </c>
      <c r="B7" s="35"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8" spans="2:11" ht="12.75"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2:11" ht="12.7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9" ht="12.75">
      <c r="A29" s="117" t="s">
        <v>102</v>
      </c>
    </row>
  </sheetData>
  <hyperlinks>
    <hyperlink ref="A29" location="'Cons spec tot e finalizzati'!A130" display="'Cons spec tot e finalizzati'!A13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1" width="7.7109375" style="0" customWidth="1"/>
  </cols>
  <sheetData>
    <row r="1" ht="12.75">
      <c r="A1" s="119" t="s">
        <v>172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'!D134</f>
        <v>385</v>
      </c>
      <c r="C3" s="34">
        <f>+'Cons spec netti '!E134</f>
        <v>352</v>
      </c>
      <c r="D3" s="34">
        <f>+'Cons spec netti '!F134</f>
        <v>255</v>
      </c>
      <c r="E3" s="34">
        <f>+'Cons spec netti '!G134</f>
        <v>829</v>
      </c>
      <c r="F3" s="34">
        <f>+'Cons spec netti '!H134</f>
        <v>900</v>
      </c>
      <c r="G3" s="34">
        <f>+'Cons spec netti '!I134</f>
        <v>820</v>
      </c>
      <c r="H3" s="34">
        <f>+'Cons spec netti '!J134</f>
        <v>563</v>
      </c>
      <c r="I3" s="34">
        <f>+'Cons spec netti '!K134</f>
        <v>633</v>
      </c>
      <c r="J3" s="34">
        <f>+'Cons spec netti '!L134</f>
        <v>547</v>
      </c>
      <c r="K3" s="34">
        <f>+'Cons spec netti '!M134</f>
        <v>1021</v>
      </c>
    </row>
    <row r="4" spans="1:11" ht="15" customHeight="1">
      <c r="A4" s="41" t="s">
        <v>38</v>
      </c>
      <c r="B4" s="36">
        <f>+'Cons spec tot e finalizzati'!E134</f>
        <v>0</v>
      </c>
      <c r="C4" s="36">
        <f>+'Cons spec tot e finalizzati'!G134</f>
        <v>0</v>
      </c>
      <c r="D4" s="36">
        <f>+'Cons spec tot e finalizzati'!I134</f>
        <v>0</v>
      </c>
      <c r="E4" s="36">
        <f>+'Cons spec tot e finalizzati'!K134</f>
        <v>0</v>
      </c>
      <c r="F4" s="36">
        <f>+'Cons spec tot e finalizzati'!M134</f>
        <v>0</v>
      </c>
      <c r="G4" s="36">
        <f>+'Cons spec tot e finalizzati'!O134</f>
        <v>140</v>
      </c>
      <c r="H4" s="36">
        <f>+'Cons spec tot e finalizzati'!Q134</f>
        <v>26</v>
      </c>
      <c r="I4" s="36">
        <f>+'Cons spec tot e finalizzati'!S134</f>
        <v>53</v>
      </c>
      <c r="J4" s="36">
        <f>+'Cons spec tot e finalizzati'!U134</f>
        <v>43</v>
      </c>
      <c r="K4" s="36">
        <f>+'Cons spec tot e finalizzati'!W134</f>
        <v>0</v>
      </c>
    </row>
    <row r="6" spans="1:11" ht="12.75">
      <c r="A6" t="s">
        <v>39</v>
      </c>
      <c r="B6" s="109">
        <f>+B7</f>
        <v>100</v>
      </c>
      <c r="C6" s="109">
        <f aca="true" t="shared" si="0" ref="C6:J6">+C3/$B$3*100</f>
        <v>91.42857142857143</v>
      </c>
      <c r="D6" s="109">
        <f t="shared" si="0"/>
        <v>66.23376623376623</v>
      </c>
      <c r="E6" s="109">
        <f t="shared" si="0"/>
        <v>215.32467532467533</v>
      </c>
      <c r="F6" s="109">
        <f t="shared" si="0"/>
        <v>233.76623376623377</v>
      </c>
      <c r="G6" s="109">
        <f t="shared" si="0"/>
        <v>212.98701298701297</v>
      </c>
      <c r="H6" s="109">
        <f t="shared" si="0"/>
        <v>146.23376623376623</v>
      </c>
      <c r="I6" s="109">
        <f t="shared" si="0"/>
        <v>164.41558441558442</v>
      </c>
      <c r="J6" s="109">
        <f t="shared" si="0"/>
        <v>142.07792207792207</v>
      </c>
      <c r="K6" s="109">
        <f>+K3/$B$3*100</f>
        <v>265.1948051948052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29" ht="12.75">
      <c r="A29" s="117" t="s">
        <v>102</v>
      </c>
    </row>
  </sheetData>
  <hyperlinks>
    <hyperlink ref="A29" location="'Cons spec tot e finalizzati'!A135" display="'Cons spec tot e finalizzati'!A13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47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'!D140</f>
        <v>42137.5</v>
      </c>
      <c r="C3" s="34">
        <f>+'Cons spec netti '!E140</f>
        <v>44669.89109473369</v>
      </c>
      <c r="D3" s="34">
        <f>+'Cons spec netti '!F140</f>
        <v>46267</v>
      </c>
      <c r="E3" s="34">
        <f>+'Cons spec netti '!G140</f>
        <v>49133</v>
      </c>
      <c r="F3" s="34">
        <f>+'Cons spec netti '!H140</f>
        <v>54814</v>
      </c>
      <c r="G3" s="34">
        <f>+'Cons spec netti '!I140</f>
        <v>53649</v>
      </c>
      <c r="H3" s="34">
        <f>+'Cons spec netti '!J140</f>
        <v>57976</v>
      </c>
      <c r="I3" s="34">
        <f>+'Cons spec netti '!K140</f>
        <v>59121</v>
      </c>
      <c r="J3" s="34">
        <f>+'Cons spec netti '!L140</f>
        <v>61304</v>
      </c>
      <c r="K3" s="34">
        <f>+'Cons spec netti '!M140</f>
        <v>58413</v>
      </c>
    </row>
    <row r="4" spans="1:11" ht="15" customHeight="1">
      <c r="A4" s="41" t="s">
        <v>38</v>
      </c>
      <c r="B4" s="34">
        <f>+'Cons spec tot e finalizzati'!E140</f>
        <v>2776</v>
      </c>
      <c r="C4" s="34">
        <f>+'Cons spec tot e finalizzati'!G140</f>
        <v>1831.108905266311</v>
      </c>
      <c r="D4" s="36">
        <f>+'Cons spec tot e finalizzati'!I140</f>
        <v>3986</v>
      </c>
      <c r="E4" s="36">
        <f>+'Cons spec tot e finalizzati'!K140</f>
        <v>6041</v>
      </c>
      <c r="F4" s="36">
        <f>+'Cons spec tot e finalizzati'!M140</f>
        <v>9299</v>
      </c>
      <c r="G4" s="36">
        <f>+'Cons spec tot e finalizzati'!O140</f>
        <v>8177</v>
      </c>
      <c r="H4" s="36">
        <f>+'Cons spec tot e finalizzati'!Q140</f>
        <v>5241</v>
      </c>
      <c r="I4" s="36">
        <f>+'Cons spec tot e finalizzati'!S140</f>
        <v>7074</v>
      </c>
      <c r="J4" s="36">
        <f>+'Cons spec tot e finalizzati'!U140</f>
        <v>7629</v>
      </c>
      <c r="K4" s="36">
        <f>+'Cons spec tot e finalizzati'!W140</f>
        <v>11064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106.00982757575483</v>
      </c>
      <c r="D6" s="109">
        <f t="shared" si="0"/>
        <v>109.80005932957579</v>
      </c>
      <c r="E6" s="109">
        <f t="shared" si="0"/>
        <v>116.60160189854642</v>
      </c>
      <c r="F6" s="109">
        <f t="shared" si="0"/>
        <v>130.08365470186888</v>
      </c>
      <c r="G6" s="109">
        <f t="shared" si="0"/>
        <v>127.31889646989023</v>
      </c>
      <c r="H6" s="109">
        <f t="shared" si="0"/>
        <v>137.58765944823494</v>
      </c>
      <c r="I6" s="109">
        <f t="shared" si="0"/>
        <v>140.30495401957876</v>
      </c>
      <c r="J6" s="109">
        <f t="shared" si="0"/>
        <v>145.48561257787009</v>
      </c>
      <c r="K6" s="109">
        <f>+K3/$B$3*100</f>
        <v>138.6247404331059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1" width="7.7109375" style="0" bestFit="1" customWidth="1"/>
  </cols>
  <sheetData>
    <row r="1" ht="12.75">
      <c r="A1" s="119" t="s">
        <v>173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'!D141</f>
        <v>15265</v>
      </c>
      <c r="C3" s="34">
        <f>+'Cons spec netti '!E141</f>
        <v>16062</v>
      </c>
      <c r="D3" s="34">
        <f>+'Cons spec netti '!F141</f>
        <v>16185</v>
      </c>
      <c r="E3" s="34">
        <f>+'Cons spec netti '!G141</f>
        <v>16707</v>
      </c>
      <c r="F3" s="34">
        <f>+'Cons spec netti '!H141</f>
        <v>21990</v>
      </c>
      <c r="G3" s="34">
        <f>+'Cons spec netti '!I141</f>
        <v>19368</v>
      </c>
      <c r="H3" s="34">
        <f>+'Cons spec netti '!J141</f>
        <v>23518</v>
      </c>
      <c r="I3" s="34">
        <f>+'Cons spec netti '!K141</f>
        <v>24220</v>
      </c>
      <c r="J3" s="34">
        <f>+'Cons spec netti '!L141</f>
        <v>25673</v>
      </c>
      <c r="K3" s="34">
        <f>+'Cons spec netti '!M141</f>
        <v>25430</v>
      </c>
    </row>
    <row r="4" spans="1:11" ht="15" customHeight="1">
      <c r="A4" s="41" t="s">
        <v>38</v>
      </c>
      <c r="B4" s="36">
        <f>+'Cons spec tot e finalizzati'!E141</f>
        <v>2171</v>
      </c>
      <c r="C4" s="36">
        <f>+'Cons spec tot e finalizzati'!G141</f>
        <v>1812</v>
      </c>
      <c r="D4" s="36">
        <f>+'Cons spec tot e finalizzati'!I141</f>
        <v>3955</v>
      </c>
      <c r="E4" s="36">
        <f>+'Cons spec tot e finalizzati'!K141</f>
        <v>5767</v>
      </c>
      <c r="F4" s="36">
        <f>+'Cons spec tot e finalizzati'!M141</f>
        <v>8987</v>
      </c>
      <c r="G4" s="36">
        <f>+'Cons spec tot e finalizzati'!O141</f>
        <v>7953</v>
      </c>
      <c r="H4" s="36">
        <f>+'Cons spec tot e finalizzati'!Q141</f>
        <v>5069</v>
      </c>
      <c r="I4" s="36">
        <f>+'Cons spec tot e finalizzati'!S141</f>
        <v>6295</v>
      </c>
      <c r="J4" s="36">
        <f>+'Cons spec tot e finalizzati'!U141</f>
        <v>6543</v>
      </c>
      <c r="K4" s="36">
        <f>+'Cons spec tot e finalizzati'!W141</f>
        <v>9278</v>
      </c>
    </row>
    <row r="6" spans="1:11" ht="12.75">
      <c r="A6" t="s">
        <v>39</v>
      </c>
      <c r="B6" s="109">
        <v>100</v>
      </c>
      <c r="C6" s="109">
        <f aca="true" t="shared" si="0" ref="C6:J6">+C3/$B$3*100</f>
        <v>105.22109400589584</v>
      </c>
      <c r="D6" s="109">
        <f t="shared" si="0"/>
        <v>106.0268588273829</v>
      </c>
      <c r="E6" s="109">
        <f t="shared" si="0"/>
        <v>109.4464461185719</v>
      </c>
      <c r="F6" s="109">
        <f t="shared" si="0"/>
        <v>144.05502784146742</v>
      </c>
      <c r="G6" s="109">
        <f t="shared" si="0"/>
        <v>126.87848018342613</v>
      </c>
      <c r="H6" s="109">
        <f t="shared" si="0"/>
        <v>154.06485424172945</v>
      </c>
      <c r="I6" s="109">
        <f t="shared" si="0"/>
        <v>158.66360956436293</v>
      </c>
      <c r="J6" s="109">
        <f t="shared" si="0"/>
        <v>168.1821159515231</v>
      </c>
      <c r="K6" s="109">
        <f>+K3/$B$3*100</f>
        <v>166.59023910907305</v>
      </c>
    </row>
    <row r="7" spans="1:11" ht="12.75">
      <c r="A7" t="s">
        <v>36</v>
      </c>
      <c r="B7" s="35">
        <f>+Avvocatura!B7</f>
        <v>100</v>
      </c>
      <c r="C7" s="35">
        <f>+Avvocatura!C7</f>
        <v>102.7</v>
      </c>
      <c r="D7" s="35">
        <f>+Avvocatura!D7</f>
        <v>105.1</v>
      </c>
      <c r="E7" s="35">
        <f>+Avvocatura!E7</f>
        <v>107.2</v>
      </c>
      <c r="F7" s="35">
        <f>+Avvocatura!F7</f>
        <v>108.9</v>
      </c>
      <c r="G7" s="35">
        <f>+Avvocatura!G7</f>
        <v>110.4</v>
      </c>
      <c r="H7" s="35">
        <f>+Avvocatura!H7</f>
        <v>112.7</v>
      </c>
      <c r="I7" s="35">
        <f>+Avvocatura!I7</f>
        <v>114.7</v>
      </c>
      <c r="J7" s="35">
        <f>+Avvocatura!J7</f>
        <v>118.2</v>
      </c>
      <c r="K7" s="35">
        <f>+Avvocatura!K7</f>
        <v>118.6</v>
      </c>
    </row>
    <row r="29" ht="12.75">
      <c r="A29" s="117" t="s">
        <v>102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19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'!D153</f>
        <v>1577</v>
      </c>
      <c r="C3" s="34">
        <f>+'Cons spec netti '!E153</f>
        <v>1657</v>
      </c>
      <c r="D3" s="34">
        <f>+'Cons spec netti '!F153</f>
        <v>1762</v>
      </c>
      <c r="E3" s="34">
        <f>+'Cons spec netti '!G153</f>
        <v>1827</v>
      </c>
      <c r="F3" s="34">
        <f>+'Cons spec netti '!H153</f>
        <v>1854</v>
      </c>
      <c r="G3" s="34">
        <f>+'Cons spec netti '!I153</f>
        <v>2122</v>
      </c>
      <c r="H3" s="34">
        <f>+'Cons spec netti '!J153</f>
        <v>2133</v>
      </c>
      <c r="I3" s="34">
        <f>+'Cons spec netti '!K153</f>
        <v>2143</v>
      </c>
      <c r="J3" s="34">
        <f>+'Cons spec netti '!L153</f>
        <v>2177</v>
      </c>
      <c r="K3" s="34">
        <f>+'Cons spec netti '!M153</f>
        <v>2383</v>
      </c>
    </row>
    <row r="4" spans="1:11" ht="15" customHeight="1">
      <c r="A4" s="41" t="s">
        <v>38</v>
      </c>
      <c r="B4" s="34">
        <f>+'Cons spec tot e finalizzati'!E153</f>
        <v>0</v>
      </c>
      <c r="C4" s="34">
        <f>+'Cons spec tot e finalizzati'!G153</f>
        <v>0</v>
      </c>
      <c r="D4" s="36">
        <f>+'Cons spec tot e finalizzati'!I153</f>
        <v>0</v>
      </c>
      <c r="E4" s="36">
        <f>+'Cons spec tot e finalizzati'!K153</f>
        <v>37</v>
      </c>
      <c r="F4" s="36">
        <f>+'Cons spec tot e finalizzati'!M153</f>
        <v>27</v>
      </c>
      <c r="G4" s="36">
        <f>+'Cons spec tot e finalizzati'!O153</f>
        <v>16</v>
      </c>
      <c r="H4" s="36">
        <f>+'Cons spec tot e finalizzati'!Q153</f>
        <v>30</v>
      </c>
      <c r="I4" s="36">
        <f>+'Cons spec tot e finalizzati'!S153</f>
        <v>27</v>
      </c>
      <c r="J4" s="36">
        <f>+'Cons spec tot e finalizzati'!U153</f>
        <v>247</v>
      </c>
      <c r="K4" s="36">
        <f>+'Cons spec tot e finalizzati'!W153</f>
        <v>131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105.0729232720355</v>
      </c>
      <c r="D6" s="109">
        <f t="shared" si="0"/>
        <v>111.73113506658213</v>
      </c>
      <c r="E6" s="109">
        <f t="shared" si="0"/>
        <v>115.85288522511097</v>
      </c>
      <c r="F6" s="109">
        <f t="shared" si="0"/>
        <v>117.56499682942297</v>
      </c>
      <c r="G6" s="109">
        <f t="shared" si="0"/>
        <v>134.55928979074193</v>
      </c>
      <c r="H6" s="109">
        <f t="shared" si="0"/>
        <v>135.2568167406468</v>
      </c>
      <c r="I6" s="109">
        <f t="shared" si="0"/>
        <v>135.89093214965123</v>
      </c>
      <c r="J6" s="109">
        <f t="shared" si="0"/>
        <v>138.04692454026633</v>
      </c>
      <c r="K6" s="109">
        <f>+K3/$B$3*100</f>
        <v>151.10970196575778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24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'!D161</f>
        <v>4395</v>
      </c>
      <c r="C3" s="34">
        <f>+'Cons spec netti '!E161</f>
        <v>4774.384801706374</v>
      </c>
      <c r="D3" s="34">
        <f>+'Cons spec netti '!F161</f>
        <v>5164</v>
      </c>
      <c r="E3" s="34">
        <f>+'Cons spec netti '!G161</f>
        <v>5327</v>
      </c>
      <c r="F3" s="34">
        <f>+'Cons spec netti '!H161</f>
        <v>5355</v>
      </c>
      <c r="G3" s="34">
        <f>+'Cons spec netti '!I161</f>
        <v>5862</v>
      </c>
      <c r="H3" s="34">
        <f>+'Cons spec netti '!J161</f>
        <v>6118</v>
      </c>
      <c r="I3" s="34">
        <f>+'Cons spec netti '!K161</f>
        <v>6214</v>
      </c>
      <c r="J3" s="34">
        <f>+'Cons spec netti '!L161</f>
        <v>6094</v>
      </c>
      <c r="K3" s="34">
        <f>+'Cons spec netti '!M161</f>
        <v>5501</v>
      </c>
    </row>
    <row r="4" spans="1:11" ht="15" customHeight="1">
      <c r="A4" s="41" t="s">
        <v>38</v>
      </c>
      <c r="B4" s="34">
        <f>+'Cons spec tot e finalizzati'!E161</f>
        <v>53</v>
      </c>
      <c r="C4" s="34">
        <f>+'Cons spec tot e finalizzati'!G161</f>
        <v>3.6151982936264053</v>
      </c>
      <c r="D4" s="36">
        <f>+'Cons spec tot e finalizzati'!I161</f>
        <v>0</v>
      </c>
      <c r="E4" s="36">
        <f>+'Cons spec tot e finalizzati'!K161</f>
        <v>152</v>
      </c>
      <c r="F4" s="36">
        <f>+'Cons spec tot e finalizzati'!M161</f>
        <v>265</v>
      </c>
      <c r="G4" s="36">
        <f>+'Cons spec tot e finalizzati'!O161</f>
        <v>4</v>
      </c>
      <c r="H4" s="36">
        <f>+'Cons spec tot e finalizzati'!Q161</f>
        <v>0</v>
      </c>
      <c r="I4" s="36">
        <f>+'Cons spec tot e finalizzati'!S161</f>
        <v>23</v>
      </c>
      <c r="J4" s="36">
        <f>+'Cons spec tot e finalizzati'!U161</f>
        <v>203</v>
      </c>
      <c r="K4" s="36">
        <f>+'Cons spec tot e finalizzati'!W161</f>
        <v>364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108.63219116510521</v>
      </c>
      <c r="D6" s="109">
        <f t="shared" si="0"/>
        <v>117.49715585893061</v>
      </c>
      <c r="E6" s="109">
        <f t="shared" si="0"/>
        <v>121.20591581342435</v>
      </c>
      <c r="F6" s="109">
        <f t="shared" si="0"/>
        <v>121.84300341296928</v>
      </c>
      <c r="G6" s="109">
        <f t="shared" si="0"/>
        <v>133.37883959044368</v>
      </c>
      <c r="H6" s="109">
        <f t="shared" si="0"/>
        <v>139.20364050056884</v>
      </c>
      <c r="I6" s="109">
        <f t="shared" si="0"/>
        <v>141.38794084186577</v>
      </c>
      <c r="J6" s="109">
        <f t="shared" si="0"/>
        <v>138.6575654152446</v>
      </c>
      <c r="K6" s="109">
        <f>+K3/$B$3*100</f>
        <v>125.16496018202503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50" display="'Cons spec tot e finalizzati'!A150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25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'!D170</f>
        <v>2656</v>
      </c>
      <c r="C3" s="34">
        <f>+'Cons spec netti '!E170</f>
        <v>2762</v>
      </c>
      <c r="D3" s="34">
        <f>+'Cons spec netti '!F170</f>
        <v>2844</v>
      </c>
      <c r="E3" s="34">
        <f>+'Cons spec netti '!G170</f>
        <v>3042</v>
      </c>
      <c r="F3" s="34">
        <f>+'Cons spec netti '!H170</f>
        <v>3176</v>
      </c>
      <c r="G3" s="34">
        <f>+'Cons spec netti '!I170</f>
        <v>3094</v>
      </c>
      <c r="H3" s="34">
        <f>+'Cons spec netti '!J170</f>
        <v>3223</v>
      </c>
      <c r="I3" s="34">
        <f>+'Cons spec netti '!K170</f>
        <v>3282</v>
      </c>
      <c r="J3" s="34">
        <f>+'Cons spec netti '!L170</f>
        <v>3619</v>
      </c>
      <c r="K3" s="34">
        <f>+'Cons spec netti '!M170</f>
        <v>2902</v>
      </c>
    </row>
    <row r="4" spans="1:11" ht="15" customHeight="1">
      <c r="A4" s="41" t="s">
        <v>38</v>
      </c>
      <c r="B4" s="34">
        <f>+'Cons spec tot e finalizzati'!E170</f>
        <v>0</v>
      </c>
      <c r="C4" s="34">
        <f>+'Cons spec tot e finalizzati'!G170</f>
        <v>0</v>
      </c>
      <c r="D4" s="36">
        <f>+'Cons spec tot e finalizzati'!I170</f>
        <v>0</v>
      </c>
      <c r="E4" s="36">
        <f>+'Cons spec tot e finalizzati'!K170</f>
        <v>71</v>
      </c>
      <c r="F4" s="36">
        <f>+'Cons spec tot e finalizzati'!M170</f>
        <v>0</v>
      </c>
      <c r="G4" s="36">
        <f>+'Cons spec tot e finalizzati'!O170</f>
        <v>110</v>
      </c>
      <c r="H4" s="36">
        <f>+'Cons spec tot e finalizzati'!Q170</f>
        <v>0</v>
      </c>
      <c r="I4" s="36">
        <f>+'Cons spec tot e finalizzati'!S170</f>
        <v>9</v>
      </c>
      <c r="J4" s="36">
        <f>+'Cons spec tot e finalizzati'!U170</f>
        <v>51</v>
      </c>
      <c r="K4" s="36">
        <f>+'Cons spec tot e finalizzati'!W170</f>
        <v>269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103.99096385542168</v>
      </c>
      <c r="D6" s="109">
        <f t="shared" si="0"/>
        <v>107.07831325301204</v>
      </c>
      <c r="E6" s="109">
        <f t="shared" si="0"/>
        <v>114.53313253012047</v>
      </c>
      <c r="F6" s="109">
        <f t="shared" si="0"/>
        <v>119.57831325301204</v>
      </c>
      <c r="G6" s="109">
        <f t="shared" si="0"/>
        <v>116.49096385542168</v>
      </c>
      <c r="H6" s="109">
        <f t="shared" si="0"/>
        <v>121.34789156626506</v>
      </c>
      <c r="I6" s="109">
        <f t="shared" si="0"/>
        <v>123.56927710843372</v>
      </c>
      <c r="J6" s="109">
        <f t="shared" si="0"/>
        <v>136.25753012048193</v>
      </c>
      <c r="K6" s="109">
        <f>+K3/$B$3*100</f>
        <v>109.26204819277108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8" width="7.140625" style="0" bestFit="1" customWidth="1"/>
    <col min="9" max="11" width="8.140625" style="0" bestFit="1" customWidth="1"/>
  </cols>
  <sheetData>
    <row r="1" ht="12.75">
      <c r="A1" s="119" t="s">
        <v>119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'!D10</f>
        <v>5</v>
      </c>
      <c r="C3" s="34">
        <f>+'Cons spec netti '!E10</f>
        <v>56</v>
      </c>
      <c r="D3" s="34">
        <f>+'Cons spec netti '!F10</f>
        <v>168</v>
      </c>
      <c r="E3" s="34">
        <f>+'Cons spec netti '!G10</f>
        <v>254</v>
      </c>
      <c r="F3" s="34">
        <f>+'Cons spec netti '!H10</f>
        <v>141</v>
      </c>
      <c r="G3" s="34">
        <f>+'Cons spec netti '!I10</f>
        <v>88</v>
      </c>
      <c r="H3" s="34">
        <f>+'Cons spec netti '!J10</f>
        <v>41</v>
      </c>
      <c r="I3" s="34">
        <f>+'Cons spec netti '!K10</f>
        <v>254</v>
      </c>
      <c r="J3" s="34">
        <f>+'Cons spec netti '!L10</f>
        <v>177</v>
      </c>
      <c r="K3" s="34">
        <f>+'Cons spec netti '!M10</f>
        <v>122</v>
      </c>
    </row>
    <row r="4" spans="1:11" ht="15" customHeight="1">
      <c r="A4" s="41" t="s">
        <v>38</v>
      </c>
      <c r="B4" s="34">
        <f>+'Cons spec tot e finalizzati'!E10</f>
        <v>0</v>
      </c>
      <c r="C4" s="27">
        <f>+'Cons spec tot e finalizzati'!G10</f>
        <v>0</v>
      </c>
      <c r="D4" s="36">
        <f>+'Cons spec tot e finalizzati'!I10</f>
        <v>0</v>
      </c>
      <c r="E4" s="36">
        <f>+'Cons spec tot e finalizzati'!K10</f>
        <v>0</v>
      </c>
      <c r="F4" s="36">
        <f>+'Cons spec tot e finalizzati'!M10</f>
        <v>0</v>
      </c>
      <c r="G4" s="36">
        <f>+'Cons spec tot e finalizzati'!O10</f>
        <v>0</v>
      </c>
      <c r="H4" s="36">
        <f>+'Cons spec tot e finalizzati'!Q10</f>
        <v>0</v>
      </c>
      <c r="I4" s="36">
        <f>+'Cons spec tot e finalizzati'!S10</f>
        <v>0</v>
      </c>
      <c r="J4" s="36">
        <f>+'Cons spec tot e finalizzati'!U10</f>
        <v>0</v>
      </c>
      <c r="K4" s="36">
        <f>+'Cons spec tot e finalizzati'!W10</f>
        <v>0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>+C3/$B$3*100</f>
        <v>1120</v>
      </c>
      <c r="D6" s="109">
        <f aca="true" t="shared" si="0" ref="D6:K6">+D3/$B$3*100</f>
        <v>3360</v>
      </c>
      <c r="E6" s="109">
        <f t="shared" si="0"/>
        <v>5080</v>
      </c>
      <c r="F6" s="109">
        <f t="shared" si="0"/>
        <v>2820</v>
      </c>
      <c r="G6" s="109">
        <f t="shared" si="0"/>
        <v>1760.0000000000002</v>
      </c>
      <c r="H6" s="109">
        <f t="shared" si="0"/>
        <v>819.9999999999999</v>
      </c>
      <c r="I6" s="109">
        <f t="shared" si="0"/>
        <v>5080</v>
      </c>
      <c r="J6" s="109">
        <f t="shared" si="0"/>
        <v>3540</v>
      </c>
      <c r="K6" s="109">
        <f t="shared" si="0"/>
        <v>2440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26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'!D179</f>
        <v>2175</v>
      </c>
      <c r="C3" s="34">
        <f>+'Cons spec netti '!E179</f>
        <v>2364</v>
      </c>
      <c r="D3" s="34">
        <f>+'Cons spec netti '!F179</f>
        <v>2542</v>
      </c>
      <c r="E3" s="34">
        <f>+'Cons spec netti '!G179</f>
        <v>2791</v>
      </c>
      <c r="F3" s="34">
        <f>+'Cons spec netti '!H179</f>
        <v>2940</v>
      </c>
      <c r="G3" s="34">
        <f>+'Cons spec netti '!I179</f>
        <v>3095</v>
      </c>
      <c r="H3" s="34">
        <f>+'Cons spec netti '!J179</f>
        <v>3122</v>
      </c>
      <c r="I3" s="34">
        <f>+'Cons spec netti '!K179</f>
        <v>3176</v>
      </c>
      <c r="J3" s="34">
        <f>+'Cons spec netti '!L179</f>
        <v>3081</v>
      </c>
      <c r="K3" s="34">
        <f>+'Cons spec netti '!M179</f>
        <v>2814</v>
      </c>
    </row>
    <row r="4" spans="1:11" ht="15" customHeight="1">
      <c r="A4" s="41" t="s">
        <v>38</v>
      </c>
      <c r="B4" s="34">
        <f>+'Cons spec tot e finalizzati'!E179</f>
        <v>15</v>
      </c>
      <c r="C4" s="34">
        <f>+'Cons spec tot e finalizzati'!G179</f>
        <v>0</v>
      </c>
      <c r="D4" s="36">
        <f>+'Cons spec tot e finalizzati'!I179</f>
        <v>26</v>
      </c>
      <c r="E4" s="36">
        <f>+'Cons spec tot e finalizzati'!K179</f>
        <v>10</v>
      </c>
      <c r="F4" s="36">
        <f>+'Cons spec tot e finalizzati'!M179</f>
        <v>0</v>
      </c>
      <c r="G4" s="36">
        <f>+'Cons spec tot e finalizzati'!O179</f>
        <v>90</v>
      </c>
      <c r="H4" s="36">
        <f>+'Cons spec tot e finalizzati'!Q179</f>
        <v>70</v>
      </c>
      <c r="I4" s="36">
        <f>+'Cons spec tot e finalizzati'!S179</f>
        <v>0</v>
      </c>
      <c r="J4" s="36">
        <f>+'Cons spec tot e finalizzati'!U179</f>
        <v>0</v>
      </c>
      <c r="K4" s="36">
        <f>+'Cons spec tot e finalizzati'!W179</f>
        <v>211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108.68965517241381</v>
      </c>
      <c r="D6" s="109">
        <f t="shared" si="0"/>
        <v>116.8735632183908</v>
      </c>
      <c r="E6" s="109">
        <f t="shared" si="0"/>
        <v>128.32183908045977</v>
      </c>
      <c r="F6" s="109">
        <f t="shared" si="0"/>
        <v>135.17241379310346</v>
      </c>
      <c r="G6" s="109">
        <f t="shared" si="0"/>
        <v>142.29885057471265</v>
      </c>
      <c r="H6" s="109">
        <f t="shared" si="0"/>
        <v>143.54022988505747</v>
      </c>
      <c r="I6" s="109">
        <f t="shared" si="0"/>
        <v>146.02298850574712</v>
      </c>
      <c r="J6" s="109">
        <f t="shared" si="0"/>
        <v>141.6551724137931</v>
      </c>
      <c r="K6" s="109">
        <f>+K3/$B$3*100</f>
        <v>129.3793103448276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40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99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'!D187</f>
        <v>2288</v>
      </c>
      <c r="C3" s="34">
        <f>+'Cons spec netti '!E187</f>
        <v>2609</v>
      </c>
      <c r="D3" s="34">
        <f>+'Cons spec netti '!F187</f>
        <v>2694</v>
      </c>
      <c r="E3" s="34">
        <f>+'Cons spec netti '!G187</f>
        <v>2968</v>
      </c>
      <c r="F3" s="34">
        <f>+'Cons spec netti '!H187</f>
        <v>2980</v>
      </c>
      <c r="G3" s="34">
        <f>+'Cons spec netti '!I187</f>
        <v>3172</v>
      </c>
      <c r="H3" s="34">
        <f>+'Cons spec netti '!J187</f>
        <v>3159</v>
      </c>
      <c r="I3" s="34">
        <f>+'Cons spec netti '!K187</f>
        <v>3030</v>
      </c>
      <c r="J3" s="34">
        <f>+'Cons spec netti '!L187</f>
        <v>3076</v>
      </c>
      <c r="K3" s="34">
        <f>+'Cons spec netti '!M187</f>
        <v>2952</v>
      </c>
    </row>
    <row r="4" spans="1:11" ht="15" customHeight="1">
      <c r="A4" s="41" t="s">
        <v>38</v>
      </c>
      <c r="B4" s="34">
        <f>+'Cons spec tot e finalizzati'!E187</f>
        <v>480</v>
      </c>
      <c r="C4" s="34">
        <f>+'Cons spec tot e finalizzati'!G187</f>
        <v>0</v>
      </c>
      <c r="D4" s="36">
        <f>+'Cons spec tot e finalizzati'!I187</f>
        <v>0</v>
      </c>
      <c r="E4" s="36">
        <f>+'Cons spec tot e finalizzati'!K187</f>
        <v>4</v>
      </c>
      <c r="F4" s="36">
        <f>+'Cons spec tot e finalizzati'!M187</f>
        <v>5</v>
      </c>
      <c r="G4" s="36">
        <f>+'Cons spec tot e finalizzati'!O187</f>
        <v>2</v>
      </c>
      <c r="H4" s="36">
        <f>+'Cons spec tot e finalizzati'!Q187</f>
        <v>1</v>
      </c>
      <c r="I4" s="36">
        <f>+'Cons spec tot e finalizzati'!S187</f>
        <v>64</v>
      </c>
      <c r="J4" s="36">
        <f>+'Cons spec tot e finalizzati'!U187</f>
        <v>128</v>
      </c>
      <c r="K4" s="36">
        <f>+'Cons spec tot e finalizzati'!W187</f>
        <v>65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114.02972027972027</v>
      </c>
      <c r="D6" s="109">
        <f t="shared" si="0"/>
        <v>117.74475524475525</v>
      </c>
      <c r="E6" s="109">
        <f t="shared" si="0"/>
        <v>129.72027972027973</v>
      </c>
      <c r="F6" s="109">
        <f t="shared" si="0"/>
        <v>130.24475524475525</v>
      </c>
      <c r="G6" s="109">
        <f t="shared" si="0"/>
        <v>138.63636363636365</v>
      </c>
      <c r="H6" s="109">
        <f t="shared" si="0"/>
        <v>138.0681818181818</v>
      </c>
      <c r="I6" s="109">
        <f t="shared" si="0"/>
        <v>132.43006993006995</v>
      </c>
      <c r="J6" s="109">
        <f t="shared" si="0"/>
        <v>134.44055944055944</v>
      </c>
      <c r="K6" s="109">
        <f>+K3/$B$3*100</f>
        <v>129.020979020979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4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100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'!D194</f>
        <v>3287</v>
      </c>
      <c r="C3" s="34">
        <f>+'Cons spec netti '!E194</f>
        <v>3312</v>
      </c>
      <c r="D3" s="34">
        <f>+'Cons spec netti '!F194</f>
        <v>3424</v>
      </c>
      <c r="E3" s="34">
        <f>+'Cons spec netti '!G194</f>
        <v>3530</v>
      </c>
      <c r="F3" s="34">
        <f>+'Cons spec netti '!H194</f>
        <v>3386</v>
      </c>
      <c r="G3" s="34">
        <f>+'Cons spec netti '!I194</f>
        <v>3492</v>
      </c>
      <c r="H3" s="34">
        <f>+'Cons spec netti '!J194</f>
        <v>3382</v>
      </c>
      <c r="I3" s="34">
        <f>+'Cons spec netti '!K194</f>
        <v>3482</v>
      </c>
      <c r="J3" s="34">
        <f>+'Cons spec netti '!L194</f>
        <v>3705</v>
      </c>
      <c r="K3" s="34">
        <f>+'Cons spec netti '!M194</f>
        <v>3325</v>
      </c>
    </row>
    <row r="4" spans="1:11" ht="15" customHeight="1">
      <c r="A4" s="41" t="s">
        <v>38</v>
      </c>
      <c r="B4" s="34">
        <f>+'Cons spec tot e finalizzati'!E194</f>
        <v>0</v>
      </c>
      <c r="C4" s="34">
        <f>+'Cons spec tot e finalizzati'!G194</f>
        <v>0</v>
      </c>
      <c r="D4" s="36">
        <f>+'Cons spec tot e finalizzati'!I194</f>
        <v>0</v>
      </c>
      <c r="E4" s="36">
        <f>+'Cons spec tot e finalizzati'!K194</f>
        <v>0</v>
      </c>
      <c r="F4" s="36">
        <f>+'Cons spec tot e finalizzati'!M194</f>
        <v>0</v>
      </c>
      <c r="G4" s="36">
        <f>+'Cons spec tot e finalizzati'!O194</f>
        <v>0</v>
      </c>
      <c r="H4" s="36">
        <f>+'Cons spec tot e finalizzati'!Q194</f>
        <v>12</v>
      </c>
      <c r="I4" s="36">
        <f>+'Cons spec tot e finalizzati'!S194</f>
        <v>41</v>
      </c>
      <c r="J4" s="36">
        <f>+'Cons spec tot e finalizzati'!U194</f>
        <v>130</v>
      </c>
      <c r="K4" s="36">
        <f>+'Cons spec tot e finalizzati'!W194</f>
        <v>0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100.76057195010648</v>
      </c>
      <c r="D6" s="109">
        <f t="shared" si="0"/>
        <v>104.1679342865835</v>
      </c>
      <c r="E6" s="109">
        <f t="shared" si="0"/>
        <v>107.39275935503498</v>
      </c>
      <c r="F6" s="109">
        <f t="shared" si="0"/>
        <v>103.01186492242167</v>
      </c>
      <c r="G6" s="109">
        <f t="shared" si="0"/>
        <v>106.23668999087315</v>
      </c>
      <c r="H6" s="109">
        <f t="shared" si="0"/>
        <v>102.89017341040463</v>
      </c>
      <c r="I6" s="109">
        <f t="shared" si="0"/>
        <v>105.93246121083055</v>
      </c>
      <c r="J6" s="109">
        <f t="shared" si="0"/>
        <v>112.71676300578035</v>
      </c>
      <c r="K6" s="109">
        <f>+K3/$B$3*100</f>
        <v>101.15606936416187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74" display="'Cons spec tot e finalizzati'!A174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42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101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'!D202</f>
        <v>3170</v>
      </c>
      <c r="C3" s="34">
        <f>+'Cons spec netti '!E202</f>
        <v>3484</v>
      </c>
      <c r="D3" s="34">
        <f>+'Cons spec netti '!F202</f>
        <v>3564</v>
      </c>
      <c r="E3" s="34">
        <f>+'Cons spec netti '!G202</f>
        <v>4497</v>
      </c>
      <c r="F3" s="34">
        <f>+'Cons spec netti '!H202</f>
        <v>4538</v>
      </c>
      <c r="G3" s="34">
        <f>+'Cons spec netti '!I202</f>
        <v>4811</v>
      </c>
      <c r="H3" s="34">
        <f>+'Cons spec netti '!J202</f>
        <v>4696</v>
      </c>
      <c r="I3" s="34">
        <f>+'Cons spec netti '!K202</f>
        <v>4916</v>
      </c>
      <c r="J3" s="34">
        <f>+'Cons spec netti '!L202</f>
        <v>5069</v>
      </c>
      <c r="K3" s="34">
        <f>+'Cons spec netti '!M202</f>
        <v>4656</v>
      </c>
    </row>
    <row r="4" spans="1:11" ht="15" customHeight="1">
      <c r="A4" s="41" t="s">
        <v>38</v>
      </c>
      <c r="B4" s="34">
        <f>+'Cons spec tot e finalizzati'!E202</f>
        <v>42</v>
      </c>
      <c r="C4" s="34">
        <f>+'Cons spec tot e finalizzati'!G202</f>
        <v>0</v>
      </c>
      <c r="D4" s="36">
        <f>+'Cons spec tot e finalizzati'!I202</f>
        <v>0</v>
      </c>
      <c r="E4" s="36">
        <f>+'Cons spec tot e finalizzati'!K202</f>
        <v>0</v>
      </c>
      <c r="F4" s="36">
        <f>+'Cons spec tot e finalizzati'!M202</f>
        <v>0</v>
      </c>
      <c r="G4" s="36">
        <f>+'Cons spec tot e finalizzati'!O202</f>
        <v>2</v>
      </c>
      <c r="H4" s="36">
        <f>+'Cons spec tot e finalizzati'!Q202</f>
        <v>35</v>
      </c>
      <c r="I4" s="36">
        <f>+'Cons spec tot e finalizzati'!S202</f>
        <v>376</v>
      </c>
      <c r="J4" s="36">
        <f>+'Cons spec tot e finalizzati'!U202</f>
        <v>162</v>
      </c>
      <c r="K4" s="36">
        <f>+'Cons spec tot e finalizzati'!W202</f>
        <v>404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109.90536277602523</v>
      </c>
      <c r="D6" s="109">
        <f t="shared" si="0"/>
        <v>112.42902208201893</v>
      </c>
      <c r="E6" s="109">
        <f t="shared" si="0"/>
        <v>141.86119873817034</v>
      </c>
      <c r="F6" s="109">
        <f t="shared" si="0"/>
        <v>143.15457413249212</v>
      </c>
      <c r="G6" s="109">
        <f t="shared" si="0"/>
        <v>151.7665615141956</v>
      </c>
      <c r="H6" s="109">
        <f t="shared" si="0"/>
        <v>148.13880126182966</v>
      </c>
      <c r="I6" s="109">
        <f t="shared" si="0"/>
        <v>155.0788643533123</v>
      </c>
      <c r="J6" s="109">
        <f t="shared" si="0"/>
        <v>159.90536277602524</v>
      </c>
      <c r="K6" s="109">
        <f>+K3/$B$3*100</f>
        <v>146.87697160883283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3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30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'!D210</f>
        <v>3371.5</v>
      </c>
      <c r="C3" s="34">
        <f>+'Cons spec netti '!E210</f>
        <v>3499</v>
      </c>
      <c r="D3" s="34">
        <f>+'Cons spec netti '!F210</f>
        <v>3534</v>
      </c>
      <c r="E3" s="34">
        <f>+'Cons spec netti '!G210</f>
        <v>3683</v>
      </c>
      <c r="F3" s="34">
        <f>+'Cons spec netti '!H210</f>
        <v>3773</v>
      </c>
      <c r="G3" s="34">
        <f>+'Cons spec netti '!I210</f>
        <v>3779</v>
      </c>
      <c r="H3" s="34">
        <f>+'Cons spec netti '!J210</f>
        <v>3827</v>
      </c>
      <c r="I3" s="34">
        <f>+'Cons spec netti '!K210</f>
        <v>3799</v>
      </c>
      <c r="J3" s="34">
        <f>+'Cons spec netti '!L210</f>
        <v>3823</v>
      </c>
      <c r="K3" s="34">
        <f>+'Cons spec netti '!M210</f>
        <v>3589</v>
      </c>
    </row>
    <row r="4" spans="1:11" ht="15" customHeight="1">
      <c r="A4" s="41" t="s">
        <v>38</v>
      </c>
      <c r="B4" s="34">
        <f>+'Cons spec tot e finalizzati'!E210</f>
        <v>0</v>
      </c>
      <c r="C4" s="34">
        <f>+'Cons spec tot e finalizzati'!G210</f>
        <v>0</v>
      </c>
      <c r="D4" s="36">
        <f>+'Cons spec tot e finalizzati'!I210</f>
        <v>0</v>
      </c>
      <c r="E4" s="36">
        <f>+'Cons spec tot e finalizzati'!K210</f>
        <v>0</v>
      </c>
      <c r="F4" s="36">
        <f>+'Cons spec tot e finalizzati'!M210</f>
        <v>0</v>
      </c>
      <c r="G4" s="36">
        <f>+'Cons spec tot e finalizzati'!O210</f>
        <v>0</v>
      </c>
      <c r="H4" s="36">
        <f>+'Cons spec tot e finalizzati'!Q210</f>
        <v>18</v>
      </c>
      <c r="I4" s="36">
        <f>+'Cons spec tot e finalizzati'!S210</f>
        <v>13</v>
      </c>
      <c r="J4" s="36">
        <f>+'Cons spec tot e finalizzati'!U210</f>
        <v>0</v>
      </c>
      <c r="K4" s="36">
        <f>+'Cons spec tot e finalizzati'!W210</f>
        <v>0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103.78169954026397</v>
      </c>
      <c r="D6" s="109">
        <f t="shared" si="0"/>
        <v>104.81981313955214</v>
      </c>
      <c r="E6" s="109">
        <f t="shared" si="0"/>
        <v>109.23921103366455</v>
      </c>
      <c r="F6" s="109">
        <f t="shared" si="0"/>
        <v>111.90864600326265</v>
      </c>
      <c r="G6" s="109">
        <f t="shared" si="0"/>
        <v>112.08660833456918</v>
      </c>
      <c r="H6" s="109">
        <f t="shared" si="0"/>
        <v>113.51030698502151</v>
      </c>
      <c r="I6" s="109">
        <f t="shared" si="0"/>
        <v>112.67981610559099</v>
      </c>
      <c r="J6" s="109">
        <f t="shared" si="0"/>
        <v>113.39166543081714</v>
      </c>
      <c r="K6" s="109">
        <f>+K3/$B$3*100</f>
        <v>106.45113450986207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7.7109375" style="0" bestFit="1" customWidth="1"/>
    <col min="11" max="11" width="7.7109375" style="0" customWidth="1"/>
  </cols>
  <sheetData>
    <row r="1" ht="12.75">
      <c r="A1" s="119" t="s">
        <v>31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'!D218</f>
        <v>3953</v>
      </c>
      <c r="C3" s="34">
        <f>+'Cons spec netti '!E218</f>
        <v>4146.506293027315</v>
      </c>
      <c r="D3" s="34">
        <f>+'Cons spec netti '!F218</f>
        <v>4554</v>
      </c>
      <c r="E3" s="34">
        <f>+'Cons spec netti '!G218</f>
        <v>4761</v>
      </c>
      <c r="F3" s="34">
        <f>+'Cons spec netti '!H218</f>
        <v>4822</v>
      </c>
      <c r="G3" s="34">
        <f>+'Cons spec netti '!I218</f>
        <v>4854</v>
      </c>
      <c r="H3" s="34">
        <f>+'Cons spec netti '!J218</f>
        <v>4798</v>
      </c>
      <c r="I3" s="34">
        <f>+'Cons spec netti '!K218</f>
        <v>4859</v>
      </c>
      <c r="J3" s="34">
        <f>+'Cons spec netti '!L218</f>
        <v>4987</v>
      </c>
      <c r="K3" s="34">
        <f>+'Cons spec netti '!M218</f>
        <v>4861</v>
      </c>
    </row>
    <row r="4" spans="1:11" ht="15" customHeight="1">
      <c r="A4" s="41" t="s">
        <v>38</v>
      </c>
      <c r="B4" s="34">
        <f>+'Cons spec tot e finalizzati'!E218</f>
        <v>15</v>
      </c>
      <c r="C4" s="34">
        <f>+'Cons spec tot e finalizzati'!G218</f>
        <v>15.493706972684596</v>
      </c>
      <c r="D4" s="36">
        <f>+'Cons spec tot e finalizzati'!I218</f>
        <v>5</v>
      </c>
      <c r="E4" s="36">
        <f>+'Cons spec tot e finalizzati'!K218</f>
        <v>0</v>
      </c>
      <c r="F4" s="36">
        <f>+'Cons spec tot e finalizzati'!M218</f>
        <v>15</v>
      </c>
      <c r="G4" s="36">
        <f>+'Cons spec tot e finalizzati'!O218</f>
        <v>0</v>
      </c>
      <c r="H4" s="36">
        <f>+'Cons spec tot e finalizzati'!Q218</f>
        <v>6</v>
      </c>
      <c r="I4" s="36">
        <f>+'Cons spec tot e finalizzati'!S218</f>
        <v>226</v>
      </c>
      <c r="J4" s="36">
        <f>+'Cons spec tot e finalizzati'!U218</f>
        <v>165</v>
      </c>
      <c r="K4" s="36">
        <f>+'Cons spec tot e finalizzati'!W218</f>
        <v>342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104.89517563944636</v>
      </c>
      <c r="D6" s="109">
        <f t="shared" si="0"/>
        <v>115.20364280293447</v>
      </c>
      <c r="E6" s="109">
        <f t="shared" si="0"/>
        <v>120.44017202124968</v>
      </c>
      <c r="F6" s="109">
        <f t="shared" si="0"/>
        <v>121.98330381988363</v>
      </c>
      <c r="G6" s="109">
        <f t="shared" si="0"/>
        <v>122.79281558310144</v>
      </c>
      <c r="H6" s="109">
        <f t="shared" si="0"/>
        <v>121.37616999747027</v>
      </c>
      <c r="I6" s="109">
        <f t="shared" si="0"/>
        <v>122.91930179610422</v>
      </c>
      <c r="J6" s="109">
        <f t="shared" si="0"/>
        <v>126.15734884897547</v>
      </c>
      <c r="K6" s="109">
        <f>+K3/$B$3*100</f>
        <v>122.96989628130535</v>
      </c>
    </row>
    <row r="7" spans="1:11" ht="12.75">
      <c r="A7" t="s">
        <v>36</v>
      </c>
      <c r="B7" s="35">
        <f>+Casa!B7</f>
        <v>100</v>
      </c>
      <c r="C7" s="35">
        <f>+Casa!C7</f>
        <v>102.7</v>
      </c>
      <c r="D7" s="35">
        <f>+Casa!D7</f>
        <v>105.1</v>
      </c>
      <c r="E7" s="35">
        <f>+Casa!E7</f>
        <v>107.2</v>
      </c>
      <c r="F7" s="35">
        <f>+Casa!F7</f>
        <v>108.9</v>
      </c>
      <c r="G7" s="35">
        <f>+Casa!G7</f>
        <v>110.4</v>
      </c>
      <c r="H7" s="35">
        <f>+Casa!H7</f>
        <v>112.7</v>
      </c>
      <c r="I7" s="35">
        <f>+Casa!I7</f>
        <v>114.7</v>
      </c>
      <c r="J7" s="35">
        <f>+Casa!J7</f>
        <v>118.2</v>
      </c>
      <c r="K7" s="35">
        <f>+Casa!K7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10" width="8.7109375" style="0" bestFit="1" customWidth="1"/>
    <col min="11" max="11" width="8.7109375" style="0" customWidth="1"/>
  </cols>
  <sheetData>
    <row r="1" ht="12.75">
      <c r="A1" s="119" t="s">
        <v>95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'!D226</f>
        <v>108868</v>
      </c>
      <c r="C3" s="34">
        <f>+'Cons spec netti '!E226</f>
        <v>111908.82778228243</v>
      </c>
      <c r="D3" s="34">
        <f>+'Cons spec netti '!F226</f>
        <v>116469</v>
      </c>
      <c r="E3" s="34">
        <f>+'Cons spec netti '!G226</f>
        <v>120890</v>
      </c>
      <c r="F3" s="34">
        <f>+'Cons spec netti '!H226</f>
        <v>126984</v>
      </c>
      <c r="G3" s="34">
        <f>+'Cons spec netti '!I226</f>
        <v>125972</v>
      </c>
      <c r="H3" s="34">
        <f>+'Cons spec netti '!J226</f>
        <v>118246</v>
      </c>
      <c r="I3" s="34">
        <f>+'Cons spec netti '!K226</f>
        <v>125207</v>
      </c>
      <c r="J3" s="34">
        <f>+'Cons spec netti '!L226</f>
        <v>124810</v>
      </c>
      <c r="K3" s="34">
        <f>+'Cons spec netti '!M226</f>
        <v>117464</v>
      </c>
    </row>
    <row r="4" spans="1:11" ht="15" customHeight="1">
      <c r="A4" s="41" t="s">
        <v>38</v>
      </c>
      <c r="B4" s="34">
        <f>+'Cons spec tot e finalizzati'!E226</f>
        <v>19397</v>
      </c>
      <c r="C4" s="34">
        <f>+'Cons spec tot e finalizzati'!G226</f>
        <v>15916.172217717569</v>
      </c>
      <c r="D4" s="36">
        <f>+'Cons spec tot e finalizzati'!I226</f>
        <v>21935</v>
      </c>
      <c r="E4" s="36">
        <f>+'Cons spec tot e finalizzati'!K226</f>
        <v>23234</v>
      </c>
      <c r="F4" s="36">
        <f>+'Cons spec tot e finalizzati'!M226</f>
        <v>24838</v>
      </c>
      <c r="G4" s="36">
        <f>+'Cons spec tot e finalizzati'!O226</f>
        <v>28122</v>
      </c>
      <c r="H4" s="36">
        <f>+'Cons spec tot e finalizzati'!Q226</f>
        <v>17471</v>
      </c>
      <c r="I4" s="36">
        <f>+'Cons spec tot e finalizzati'!S226</f>
        <v>25758</v>
      </c>
      <c r="J4" s="36">
        <f>+'Cons spec tot e finalizzati'!U226</f>
        <v>32689</v>
      </c>
      <c r="K4" s="36">
        <f>+'Cons spec tot e finalizzati'!W226</f>
        <v>32167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102.79313276838229</v>
      </c>
      <c r="D6" s="109">
        <f t="shared" si="0"/>
        <v>106.98184957930705</v>
      </c>
      <c r="E6" s="109">
        <f t="shared" si="0"/>
        <v>111.04273064628725</v>
      </c>
      <c r="F6" s="109">
        <f t="shared" si="0"/>
        <v>116.64033508468972</v>
      </c>
      <c r="G6" s="109">
        <f t="shared" si="0"/>
        <v>115.71076900466619</v>
      </c>
      <c r="H6" s="109">
        <f t="shared" si="0"/>
        <v>108.61410148069221</v>
      </c>
      <c r="I6" s="109">
        <f t="shared" si="0"/>
        <v>115.00808318330455</v>
      </c>
      <c r="J6" s="109">
        <f t="shared" si="0"/>
        <v>114.64342139104235</v>
      </c>
      <c r="K6" s="109">
        <f>+K3/$B$3*100</f>
        <v>107.89580041885587</v>
      </c>
    </row>
    <row r="7" spans="1:11" ht="12.75">
      <c r="A7" t="s">
        <v>36</v>
      </c>
      <c r="B7" s="35">
        <f>+Quartieri!B7</f>
        <v>100</v>
      </c>
      <c r="C7" s="35">
        <f>+Quartieri!C7</f>
        <v>102.7</v>
      </c>
      <c r="D7" s="35">
        <f>+Quartieri!D7</f>
        <v>105.1</v>
      </c>
      <c r="E7" s="35">
        <f>+Quartieri!E7</f>
        <v>107.2</v>
      </c>
      <c r="F7" s="35">
        <f>+Quartieri!F7</f>
        <v>108.9</v>
      </c>
      <c r="G7" s="35">
        <f>+Quartieri!G7</f>
        <v>110.4</v>
      </c>
      <c r="H7" s="35">
        <f>+Quartieri!H7</f>
        <v>112.7</v>
      </c>
      <c r="I7" s="35">
        <f>+Quartieri!I7</f>
        <v>114.7</v>
      </c>
      <c r="J7" s="35">
        <f>+Quartieri!J7</f>
        <v>118.2</v>
      </c>
      <c r="K7" s="35">
        <f>+Quartieri!K7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209" display="'Cons spec tot e finalizzati'!A20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121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'!D13</f>
        <v>1170</v>
      </c>
      <c r="C3" s="34">
        <f>+'Cons spec netti '!E13</f>
        <v>1747</v>
      </c>
      <c r="D3" s="34">
        <f>+'Cons spec netti '!F13</f>
        <v>1534</v>
      </c>
      <c r="E3" s="34">
        <f>+'Cons spec netti '!G13</f>
        <v>1500</v>
      </c>
      <c r="F3" s="34">
        <f>+'Cons spec netti '!H13</f>
        <v>1327</v>
      </c>
      <c r="G3" s="34">
        <f>+'Cons spec netti '!I13</f>
        <v>939</v>
      </c>
      <c r="H3" s="34">
        <f>+'Cons spec netti '!J13</f>
        <v>572</v>
      </c>
      <c r="I3" s="34">
        <f>+'Cons spec netti '!K13</f>
        <v>746</v>
      </c>
      <c r="J3" s="34">
        <f>+'Cons spec netti '!L13</f>
        <v>738</v>
      </c>
      <c r="K3" s="34">
        <f>+'Cons spec netti '!M13</f>
        <v>620</v>
      </c>
    </row>
    <row r="4" spans="1:11" ht="15" customHeight="1">
      <c r="A4" s="41" t="s">
        <v>38</v>
      </c>
      <c r="B4" s="34">
        <f>+'Cons spec tot e finalizzati'!E13</f>
        <v>1697</v>
      </c>
      <c r="C4" s="27">
        <f>+'Cons spec tot e finalizzati'!G13</f>
        <v>1411</v>
      </c>
      <c r="D4" s="36">
        <f>+'Cons spec tot e finalizzati'!I13</f>
        <v>1287</v>
      </c>
      <c r="E4" s="36">
        <f>+'Cons spec tot e finalizzati'!K13</f>
        <v>1143</v>
      </c>
      <c r="F4" s="36">
        <f>+'Cons spec tot e finalizzati'!M13</f>
        <v>1819</v>
      </c>
      <c r="G4" s="36">
        <f>+'Cons spec tot e finalizzati'!O13</f>
        <v>3761</v>
      </c>
      <c r="H4" s="36">
        <f>+'Cons spec tot e finalizzati'!Q13</f>
        <v>72</v>
      </c>
      <c r="I4" s="36">
        <f>+'Cons spec tot e finalizzati'!S13</f>
        <v>115</v>
      </c>
      <c r="J4" s="36">
        <f>+'Cons spec tot e finalizzati'!U13</f>
        <v>298</v>
      </c>
      <c r="K4" s="36">
        <f>+'Cons spec tot e finalizzati'!W13</f>
        <v>70</v>
      </c>
    </row>
    <row r="5" spans="2:3" ht="12.75">
      <c r="B5" s="34"/>
      <c r="C5" s="4"/>
    </row>
    <row r="6" spans="1:11" ht="12.75">
      <c r="A6" t="s">
        <v>39</v>
      </c>
      <c r="B6" s="108">
        <f>+B7</f>
        <v>100</v>
      </c>
      <c r="C6" s="109">
        <f aca="true" t="shared" si="0" ref="C6:J6">+C3/$B$3*100</f>
        <v>149.31623931623932</v>
      </c>
      <c r="D6" s="109">
        <f t="shared" si="0"/>
        <v>131.11111111111111</v>
      </c>
      <c r="E6" s="109">
        <f t="shared" si="0"/>
        <v>128.2051282051282</v>
      </c>
      <c r="F6" s="109">
        <f t="shared" si="0"/>
        <v>113.41880341880342</v>
      </c>
      <c r="G6" s="109">
        <f t="shared" si="0"/>
        <v>80.25641025641026</v>
      </c>
      <c r="H6" s="109">
        <f t="shared" si="0"/>
        <v>48.888888888888886</v>
      </c>
      <c r="I6" s="109">
        <f t="shared" si="0"/>
        <v>63.760683760683754</v>
      </c>
      <c r="J6" s="109">
        <f t="shared" si="0"/>
        <v>63.07692307692307</v>
      </c>
      <c r="K6" s="109">
        <f>+K3/$B$3*100</f>
        <v>52.991452991452995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8.28125" style="0" bestFit="1" customWidth="1"/>
    <col min="3" max="10" width="7.7109375" style="0" bestFit="1" customWidth="1"/>
    <col min="11" max="11" width="7.7109375" style="0" customWidth="1"/>
  </cols>
  <sheetData>
    <row r="1" ht="12.75">
      <c r="A1" s="119" t="s">
        <v>122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'!D19</f>
        <v>3345</v>
      </c>
      <c r="C3" s="34">
        <f>+'Cons spec netti '!E19</f>
        <v>3101</v>
      </c>
      <c r="D3" s="34">
        <f>+'Cons spec netti '!F19</f>
        <v>3006</v>
      </c>
      <c r="E3" s="34">
        <f>+'Cons spec netti '!G19</f>
        <v>4384</v>
      </c>
      <c r="F3" s="34">
        <f>+'Cons spec netti '!H19</f>
        <v>6668</v>
      </c>
      <c r="G3" s="34">
        <f>+'Cons spec netti '!I19</f>
        <v>6523</v>
      </c>
      <c r="H3" s="34">
        <f>+'Cons spec netti '!J19</f>
        <v>10165</v>
      </c>
      <c r="I3" s="34">
        <f>+'Cons spec netti '!K19</f>
        <v>11747</v>
      </c>
      <c r="J3" s="34">
        <f>+'Cons spec netti '!L19</f>
        <v>9254</v>
      </c>
      <c r="K3" s="34">
        <f>+'Cons spec netti '!M19</f>
        <v>7241</v>
      </c>
    </row>
    <row r="4" spans="1:11" ht="15" customHeight="1">
      <c r="A4" s="41" t="s">
        <v>38</v>
      </c>
      <c r="B4" s="34">
        <f>+'Cons spec tot e finalizzati'!E19</f>
        <v>5</v>
      </c>
      <c r="C4" s="34">
        <f>+'Cons spec tot e finalizzati'!G19</f>
        <v>0</v>
      </c>
      <c r="D4" s="36">
        <f>+'Cons spec tot e finalizzati'!I19</f>
        <v>0</v>
      </c>
      <c r="E4" s="36">
        <f>+'Cons spec tot e finalizzati'!K19</f>
        <v>5</v>
      </c>
      <c r="F4" s="36">
        <f>+'Cons spec tot e finalizzati'!M19</f>
        <v>1</v>
      </c>
      <c r="G4" s="36">
        <f>+'Cons spec tot e finalizzati'!O19</f>
        <v>7</v>
      </c>
      <c r="H4" s="36">
        <f>+'Cons spec tot e finalizzati'!Q19</f>
        <v>0</v>
      </c>
      <c r="I4" s="36">
        <f>+'Cons spec tot e finalizzati'!S19</f>
        <v>64</v>
      </c>
      <c r="J4" s="36">
        <f>+'Cons spec tot e finalizzati'!U19</f>
        <v>0</v>
      </c>
      <c r="K4" s="36">
        <f>+'Cons spec tot e finalizzati'!W19</f>
        <v>0</v>
      </c>
    </row>
    <row r="5" spans="2:3" ht="12.75">
      <c r="B5" s="34"/>
      <c r="C5" s="4"/>
    </row>
    <row r="6" spans="1:11" ht="12.75">
      <c r="A6" t="s">
        <v>39</v>
      </c>
      <c r="B6" s="109">
        <f aca="true" t="shared" si="0" ref="B6:J6">+B3/$B$3*100</f>
        <v>100</v>
      </c>
      <c r="C6" s="109">
        <f t="shared" si="0"/>
        <v>92.70553064275038</v>
      </c>
      <c r="D6" s="109">
        <f t="shared" si="0"/>
        <v>89.86547085201794</v>
      </c>
      <c r="E6" s="109">
        <f t="shared" si="0"/>
        <v>131.06128550074737</v>
      </c>
      <c r="F6" s="109">
        <f t="shared" si="0"/>
        <v>199.3423019431988</v>
      </c>
      <c r="G6" s="109">
        <f t="shared" si="0"/>
        <v>195.00747384155457</v>
      </c>
      <c r="H6" s="109">
        <f t="shared" si="0"/>
        <v>303.88639760837066</v>
      </c>
      <c r="I6" s="109">
        <f t="shared" si="0"/>
        <v>351.18086696562034</v>
      </c>
      <c r="J6" s="109">
        <f t="shared" si="0"/>
        <v>276.65171898355754</v>
      </c>
      <c r="K6" s="109">
        <f>+K3/$B$3*100</f>
        <v>216.47234678624812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6"/>
      <c r="C10" s="36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.75">
      <c r="B16" s="35"/>
      <c r="C16" s="35"/>
    </row>
    <row r="17" ht="12.75">
      <c r="B17" s="35"/>
    </row>
    <row r="18" spans="2:3" ht="12.75">
      <c r="B18" s="35"/>
      <c r="C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19" display="'Cons spec tot e finalizzati'!A1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123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'!D25</f>
        <v>227</v>
      </c>
      <c r="C3" s="34">
        <f>+'Cons spec netti '!E25</f>
        <v>239</v>
      </c>
      <c r="D3" s="34">
        <f>+'Cons spec netti '!F25</f>
        <v>280</v>
      </c>
      <c r="E3" s="34">
        <f>+'Cons spec netti '!G25</f>
        <v>265</v>
      </c>
      <c r="F3" s="34">
        <f>+'Cons spec netti '!H25</f>
        <v>215</v>
      </c>
      <c r="G3" s="34">
        <f>+'Cons spec netti '!I25</f>
        <v>203</v>
      </c>
      <c r="H3" s="34">
        <f>+'Cons spec netti '!J25</f>
        <v>224</v>
      </c>
      <c r="I3" s="34">
        <f>+'Cons spec netti '!K25</f>
        <v>298</v>
      </c>
      <c r="J3" s="34">
        <f>+'Cons spec netti '!L25</f>
        <v>200</v>
      </c>
      <c r="K3" s="34">
        <f>+'Cons spec netti '!M25</f>
        <v>239</v>
      </c>
    </row>
    <row r="4" spans="1:11" ht="15" customHeight="1">
      <c r="A4" s="41" t="s">
        <v>38</v>
      </c>
      <c r="B4" s="34">
        <f>+'Cons spec tot e finalizzati'!E25</f>
        <v>0</v>
      </c>
      <c r="C4" s="36">
        <f>+'Cons spec tot e finalizzati'!G25</f>
        <v>0</v>
      </c>
      <c r="D4" s="36">
        <f>+'Cons spec tot e finalizzati'!I25</f>
        <v>0</v>
      </c>
      <c r="E4" s="36">
        <f>+'Cons spec tot e finalizzati'!K25</f>
        <v>0</v>
      </c>
      <c r="F4" s="36">
        <f>+'Cons spec tot e finalizzati'!M25</f>
        <v>0</v>
      </c>
      <c r="G4" s="36">
        <f>+'Cons spec tot e finalizzati'!O25</f>
        <v>0</v>
      </c>
      <c r="H4" s="36">
        <f>+'Cons spec tot e finalizzati'!Q25</f>
        <v>0</v>
      </c>
      <c r="I4" s="36">
        <f>+'Cons spec tot e finalizzati'!S25</f>
        <v>0</v>
      </c>
      <c r="J4" s="36">
        <f>+'Cons spec tot e finalizzati'!U25</f>
        <v>0</v>
      </c>
      <c r="K4" s="36">
        <f>+'Cons spec tot e finalizzati'!W25</f>
        <v>0</v>
      </c>
    </row>
    <row r="5" ht="12.75">
      <c r="B5" s="34"/>
    </row>
    <row r="6" spans="1:11" ht="12.75">
      <c r="A6" t="s">
        <v>39</v>
      </c>
      <c r="B6" s="109">
        <f aca="true" t="shared" si="0" ref="B6:J6">+B3/$B$3*100</f>
        <v>100</v>
      </c>
      <c r="C6" s="109">
        <f t="shared" si="0"/>
        <v>105.2863436123348</v>
      </c>
      <c r="D6" s="109">
        <f t="shared" si="0"/>
        <v>123.34801762114537</v>
      </c>
      <c r="E6" s="109">
        <f t="shared" si="0"/>
        <v>116.74008810572687</v>
      </c>
      <c r="F6" s="109">
        <f t="shared" si="0"/>
        <v>94.7136563876652</v>
      </c>
      <c r="G6" s="109">
        <f t="shared" si="0"/>
        <v>89.42731277533039</v>
      </c>
      <c r="H6" s="109">
        <f t="shared" si="0"/>
        <v>98.6784140969163</v>
      </c>
      <c r="I6" s="109">
        <f t="shared" si="0"/>
        <v>131.27753303964758</v>
      </c>
      <c r="J6" s="109">
        <f t="shared" si="0"/>
        <v>88.10572687224669</v>
      </c>
      <c r="K6" s="109">
        <f>+K3/$B$3*100</f>
        <v>105.2863436123348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ht="12.75">
      <c r="B8" s="34"/>
    </row>
    <row r="9" ht="12.75">
      <c r="B9" s="34"/>
    </row>
    <row r="10" ht="12.75">
      <c r="B10" s="36"/>
    </row>
    <row r="13" ht="12.75">
      <c r="B13" s="35"/>
    </row>
    <row r="14" ht="12.75">
      <c r="B14" s="35"/>
    </row>
    <row r="15" ht="12.75">
      <c r="B15" s="35"/>
    </row>
    <row r="16" ht="12.75">
      <c r="B16" s="35"/>
    </row>
    <row r="17" ht="12.75">
      <c r="B17" s="35"/>
    </row>
    <row r="18" ht="12.75">
      <c r="B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25" display="'Cons spec tot e finalizzati'!A25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1">
    <pageSetUpPr fitToPage="1"/>
  </sheetPr>
  <dimension ref="A1:K29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6.7109375" style="0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124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'!D26</f>
        <v>0</v>
      </c>
      <c r="C3" s="34">
        <f>+'Cons spec netti '!E26</f>
        <v>603</v>
      </c>
      <c r="D3" s="34">
        <f>+'Cons spec netti '!F26</f>
        <v>637</v>
      </c>
      <c r="E3" s="34">
        <f>+'Cons spec netti '!G26</f>
        <v>1212</v>
      </c>
      <c r="F3" s="34">
        <f>+'Cons spec netti '!H26</f>
        <v>1065</v>
      </c>
      <c r="G3" s="34">
        <f>+'Cons spec netti '!I26</f>
        <v>1094</v>
      </c>
      <c r="H3" s="34">
        <f>+'Cons spec netti '!J26</f>
        <v>854</v>
      </c>
      <c r="I3" s="34">
        <f>+'Cons spec netti '!K26</f>
        <v>773</v>
      </c>
      <c r="J3" s="34">
        <f>+'Cons spec netti '!L26</f>
        <v>274</v>
      </c>
      <c r="K3" s="34">
        <f>+'Cons spec netti '!M26</f>
        <v>271</v>
      </c>
    </row>
    <row r="4" spans="1:11" ht="15" customHeight="1">
      <c r="A4" s="41" t="s">
        <v>38</v>
      </c>
      <c r="B4" s="34">
        <f>+'Cons spec tot e finalizzati'!E26</f>
        <v>0</v>
      </c>
      <c r="C4" s="36">
        <f>+'Cons spec tot e finalizzati'!G26</f>
        <v>155</v>
      </c>
      <c r="D4" s="36">
        <f>+'Cons spec tot e finalizzati'!I26</f>
        <v>395</v>
      </c>
      <c r="E4" s="36">
        <f>+'Cons spec tot e finalizzati'!K26</f>
        <v>423</v>
      </c>
      <c r="F4" s="36">
        <f>+'Cons spec tot e finalizzati'!M26</f>
        <v>435</v>
      </c>
      <c r="G4" s="36">
        <f>+'Cons spec tot e finalizzati'!O26</f>
        <v>456</v>
      </c>
      <c r="H4" s="36">
        <f>+'Cons spec tot e finalizzati'!Q26</f>
        <v>216</v>
      </c>
      <c r="I4" s="36">
        <f>+'Cons spec tot e finalizzati'!S26</f>
        <v>229</v>
      </c>
      <c r="J4" s="36">
        <f>+'Cons spec tot e finalizzati'!U26</f>
        <v>249</v>
      </c>
      <c r="K4" s="36">
        <f>+'Cons spec tot e finalizzati'!W26</f>
        <v>310</v>
      </c>
    </row>
    <row r="5" ht="12.75">
      <c r="B5" s="34"/>
    </row>
    <row r="6" spans="1:11" ht="12.75">
      <c r="A6" t="s">
        <v>39</v>
      </c>
      <c r="B6" s="109">
        <v>100</v>
      </c>
      <c r="C6" s="109">
        <v>100</v>
      </c>
      <c r="D6" s="109">
        <v>100</v>
      </c>
      <c r="E6" s="109">
        <v>100</v>
      </c>
      <c r="F6" s="109">
        <v>100</v>
      </c>
      <c r="G6" s="109">
        <v>100</v>
      </c>
      <c r="H6" s="109">
        <v>100</v>
      </c>
      <c r="I6" s="109">
        <v>100</v>
      </c>
      <c r="J6" s="109">
        <v>100</v>
      </c>
      <c r="K6" s="109">
        <v>100</v>
      </c>
    </row>
    <row r="7" spans="1:11" ht="12.75">
      <c r="A7" t="s">
        <v>36</v>
      </c>
      <c r="B7" s="35">
        <f>+'Staff politico isti'!B7</f>
        <v>100</v>
      </c>
      <c r="C7" s="35">
        <f>+'Staff politico isti'!C7</f>
        <v>102.7</v>
      </c>
      <c r="D7" s="35">
        <f>+'Staff politico isti'!D7</f>
        <v>105.1</v>
      </c>
      <c r="E7" s="35">
        <f>+'Staff politico isti'!E7</f>
        <v>107.2</v>
      </c>
      <c r="F7" s="35">
        <f>+'Staff politico isti'!F7</f>
        <v>108.9</v>
      </c>
      <c r="G7" s="35">
        <f>+'Staff politico isti'!G7</f>
        <v>110.4</v>
      </c>
      <c r="H7" s="35">
        <f>+'Staff politico isti'!H7</f>
        <v>112.7</v>
      </c>
      <c r="I7" s="35">
        <f>+'Staff politico isti'!I7</f>
        <v>114.7</v>
      </c>
      <c r="J7" s="35">
        <f>+'Staff politico isti'!J7</f>
        <v>118.2</v>
      </c>
      <c r="K7" s="35">
        <f>+'Staff politico isti'!K7</f>
        <v>118.6</v>
      </c>
    </row>
    <row r="8" ht="12.75">
      <c r="B8" s="34"/>
    </row>
    <row r="9" ht="12.75">
      <c r="B9" s="34"/>
    </row>
    <row r="10" ht="12.75">
      <c r="B10" s="36"/>
    </row>
    <row r="13" ht="12.75">
      <c r="B13" s="35"/>
    </row>
    <row r="14" ht="12.75">
      <c r="B14" s="35"/>
    </row>
    <row r="15" ht="12.75">
      <c r="B15" s="35"/>
    </row>
    <row r="16" ht="12.75">
      <c r="B16" s="35"/>
    </row>
    <row r="17" ht="12.75">
      <c r="B17" s="35"/>
    </row>
    <row r="18" ht="12.75">
      <c r="B18" s="35"/>
    </row>
    <row r="19" ht="12.75">
      <c r="B19" s="35"/>
    </row>
    <row r="20" ht="12.75">
      <c r="B20" s="35"/>
    </row>
    <row r="21" ht="12.75">
      <c r="B21" s="35"/>
    </row>
    <row r="29" ht="12.75">
      <c r="A29" s="117" t="s">
        <v>102</v>
      </c>
    </row>
  </sheetData>
  <hyperlinks>
    <hyperlink ref="A29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L30"/>
  <sheetViews>
    <sheetView workbookViewId="0" topLeftCell="A1">
      <selection activeCell="A30" sqref="A30"/>
    </sheetView>
  </sheetViews>
  <sheetFormatPr defaultColWidth="9.140625" defaultRowHeight="12.75"/>
  <cols>
    <col min="1" max="1" width="24.8515625" style="0" bestFit="1" customWidth="1"/>
    <col min="2" max="2" width="6.7109375" style="0" bestFit="1" customWidth="1"/>
    <col min="3" max="3" width="5.57421875" style="0" bestFit="1" customWidth="1"/>
    <col min="4" max="5" width="6.7109375" style="0" bestFit="1" customWidth="1"/>
    <col min="6" max="10" width="7.140625" style="0" bestFit="1" customWidth="1"/>
    <col min="11" max="11" width="7.140625" style="0" customWidth="1"/>
  </cols>
  <sheetData>
    <row r="1" ht="12.75">
      <c r="A1" s="119" t="s">
        <v>94</v>
      </c>
    </row>
    <row r="2" spans="2:11" ht="12.75">
      <c r="B2" s="110">
        <f>+'Cons spec netti '!D6</f>
        <v>2000</v>
      </c>
      <c r="C2" s="110">
        <f>+'Cons spec netti '!E6</f>
        <v>2001</v>
      </c>
      <c r="D2" s="110">
        <f>+'Cons spec netti '!F6</f>
        <v>2002</v>
      </c>
      <c r="E2" s="110">
        <f>+'Cons spec netti '!G6</f>
        <v>2003</v>
      </c>
      <c r="F2" s="110">
        <f>+'Cons spec netti '!H6</f>
        <v>2004</v>
      </c>
      <c r="G2" s="110">
        <f>+'Cons spec netti '!I6</f>
        <v>2005</v>
      </c>
      <c r="H2" s="110">
        <f>+'Cons spec netti '!J6</f>
        <v>2006</v>
      </c>
      <c r="I2" s="110">
        <f>+'Cons spec netti '!K6</f>
        <v>2007</v>
      </c>
      <c r="J2" s="110">
        <f>+'Cons spec netti '!L6</f>
        <v>2008</v>
      </c>
      <c r="K2" s="110">
        <f>+'Cons spec netti '!M6</f>
        <v>2009</v>
      </c>
    </row>
    <row r="3" spans="1:11" ht="12.75">
      <c r="A3" s="41" t="s">
        <v>41</v>
      </c>
      <c r="B3" s="34">
        <f>+'Cons spec netti '!D29</f>
        <v>250</v>
      </c>
      <c r="C3" s="34">
        <f>+'Cons spec netti '!E29</f>
        <v>874</v>
      </c>
      <c r="D3" s="34">
        <f>+'Cons spec netti '!F29</f>
        <v>810</v>
      </c>
      <c r="E3" s="34">
        <f>+'Cons spec netti '!G29</f>
        <v>291</v>
      </c>
      <c r="F3" s="34">
        <f>+'Cons spec netti '!H29</f>
        <v>191</v>
      </c>
      <c r="G3" s="34">
        <f>+'Cons spec netti '!I29</f>
        <v>258</v>
      </c>
      <c r="H3" s="34">
        <f>+'Cons spec netti '!J29</f>
        <v>239</v>
      </c>
      <c r="I3" s="34">
        <f>+'Cons spec netti '!K29</f>
        <v>208</v>
      </c>
      <c r="J3" s="34">
        <f>+'Cons spec netti '!L29</f>
        <v>189</v>
      </c>
      <c r="K3" s="34">
        <f>+'Cons spec netti '!M29</f>
        <v>131</v>
      </c>
    </row>
    <row r="4" spans="1:11" ht="15" customHeight="1">
      <c r="A4" s="41" t="s">
        <v>38</v>
      </c>
      <c r="B4" s="34">
        <f>+'Cons spec tot e finalizzati'!E29</f>
        <v>0</v>
      </c>
      <c r="C4" s="27">
        <f>+'Cons spec tot e finalizzati'!G29</f>
        <v>0</v>
      </c>
      <c r="D4" s="36">
        <f>+'Cons spec tot e finalizzati'!I29</f>
        <v>0</v>
      </c>
      <c r="E4" s="36">
        <f>+'Cons spec tot e finalizzati'!K29</f>
        <v>0</v>
      </c>
      <c r="F4" s="36">
        <f>+'Cons spec tot e finalizzati'!M29</f>
        <v>0</v>
      </c>
      <c r="G4" s="36">
        <f>+'Cons spec tot e finalizzati'!O29</f>
        <v>0</v>
      </c>
      <c r="H4" s="36">
        <f>+'Cons spec tot e finalizzati'!Q29</f>
        <v>30</v>
      </c>
      <c r="I4" s="36">
        <f>+'Cons spec tot e finalizzati'!S29</f>
        <v>0</v>
      </c>
      <c r="J4" s="36">
        <f>+'Cons spec tot e finalizzati'!U29</f>
        <v>0</v>
      </c>
      <c r="K4" s="36">
        <f>+'Cons spec tot e finalizzati'!W29</f>
        <v>0</v>
      </c>
    </row>
    <row r="5" spans="2:3" ht="12.75">
      <c r="B5" s="34"/>
      <c r="C5" s="4"/>
    </row>
    <row r="6" spans="1:12" ht="12.75">
      <c r="A6" t="s">
        <v>39</v>
      </c>
      <c r="B6" s="109">
        <f>+B3/$B$3*100</f>
        <v>100</v>
      </c>
      <c r="C6" s="109">
        <f aca="true" t="shared" si="0" ref="C6:K6">+C3/$B$3*100</f>
        <v>349.6</v>
      </c>
      <c r="D6" s="109">
        <f t="shared" si="0"/>
        <v>324</v>
      </c>
      <c r="E6" s="109">
        <f t="shared" si="0"/>
        <v>116.39999999999999</v>
      </c>
      <c r="F6" s="109">
        <f t="shared" si="0"/>
        <v>76.4</v>
      </c>
      <c r="G6" s="109">
        <f t="shared" si="0"/>
        <v>103.2</v>
      </c>
      <c r="H6" s="109">
        <f t="shared" si="0"/>
        <v>95.6</v>
      </c>
      <c r="I6" s="109">
        <f t="shared" si="0"/>
        <v>83.2</v>
      </c>
      <c r="J6" s="109">
        <f t="shared" si="0"/>
        <v>75.6</v>
      </c>
      <c r="K6" s="109">
        <f t="shared" si="0"/>
        <v>52.400000000000006</v>
      </c>
      <c r="L6" s="109"/>
    </row>
    <row r="7" spans="1:11" ht="12.75">
      <c r="A7" t="s">
        <v>36</v>
      </c>
      <c r="B7" s="35">
        <f>+'SEG GEN'!B7</f>
        <v>100</v>
      </c>
      <c r="C7" s="35">
        <f>+'SEG GEN'!C7</f>
        <v>102.7</v>
      </c>
      <c r="D7" s="35">
        <f>+'SEG GEN'!D7</f>
        <v>105.1</v>
      </c>
      <c r="E7" s="35">
        <f>+'SEG GEN'!E7</f>
        <v>107.2</v>
      </c>
      <c r="F7" s="35">
        <f>+'SEG GEN'!F7</f>
        <v>108.9</v>
      </c>
      <c r="G7" s="35">
        <f>+'SEG GEN'!G7</f>
        <v>110.4</v>
      </c>
      <c r="H7" s="35">
        <f>+'SEG GEN'!H7</f>
        <v>112.7</v>
      </c>
      <c r="I7" s="35">
        <f>+'SEG GEN'!I7</f>
        <v>114.7</v>
      </c>
      <c r="J7" s="35">
        <f>+'SEG GEN'!J7</f>
        <v>118.2</v>
      </c>
      <c r="K7" s="35">
        <f>+'SEG GEN'!K7</f>
        <v>118.6</v>
      </c>
    </row>
    <row r="8" spans="2:3" ht="12.75">
      <c r="B8" s="34"/>
      <c r="C8" s="4"/>
    </row>
    <row r="9" spans="2:3" ht="12.75">
      <c r="B9" s="34"/>
      <c r="C9" s="4"/>
    </row>
    <row r="10" spans="2:3" ht="12.75">
      <c r="B10" s="34"/>
      <c r="C10" s="4"/>
    </row>
    <row r="11" spans="2:3" ht="12.75">
      <c r="B11" s="34"/>
      <c r="C11" s="4"/>
    </row>
    <row r="12" spans="2:11" ht="12.75">
      <c r="B12" s="108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2:11" ht="12.7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3" ht="12.75">
      <c r="B14" s="34"/>
      <c r="C14" s="4"/>
    </row>
    <row r="15" spans="2:3" ht="12.75">
      <c r="B15" s="34"/>
      <c r="C15" s="4"/>
    </row>
    <row r="16" spans="2:3" ht="12.75">
      <c r="B16" s="36"/>
      <c r="C16" s="36"/>
    </row>
    <row r="19" spans="2:3" ht="12.75">
      <c r="B19" s="35"/>
      <c r="C19" s="35"/>
    </row>
    <row r="20" spans="2:3" ht="12.75">
      <c r="B20" s="35"/>
      <c r="C20" s="35"/>
    </row>
    <row r="21" spans="2:3" ht="12.75">
      <c r="B21" s="35"/>
      <c r="C21" s="35"/>
    </row>
    <row r="22" spans="2:3" ht="12.75">
      <c r="B22" s="35"/>
      <c r="C22" s="35"/>
    </row>
    <row r="23" ht="12.75">
      <c r="B23" s="35"/>
    </row>
    <row r="24" spans="2:3" ht="12.75">
      <c r="B24" s="35"/>
      <c r="C24" s="35"/>
    </row>
    <row r="25" ht="12.75">
      <c r="B25" s="35"/>
    </row>
    <row r="26" ht="12.75">
      <c r="B26" s="35"/>
    </row>
    <row r="27" ht="12.75">
      <c r="B27" s="35"/>
    </row>
    <row r="30" ht="12.75">
      <c r="A30" s="117" t="s">
        <v>102</v>
      </c>
    </row>
  </sheetData>
  <hyperlinks>
    <hyperlink ref="A30" location="'Cons spec tot e finalizzati'!A9" display="'Cons spec tot e finalizzati'!A9"/>
  </hyperlinks>
  <printOptions/>
  <pageMargins left="0.75" right="0.75" top="1.85" bottom="1.03" header="0.92" footer="0.5"/>
  <pageSetup fitToHeight="1" fitToWidth="1" horizontalDpi="600" verticalDpi="600" orientation="landscape" paperSize="9" scale="96" r:id="rId2"/>
  <headerFooter alignWithMargins="0">
    <oddHeader>&amp;CCONSUNTIVO 2004
SERIE STORICA CONSUMI SPECIFICI 1997 - 2004
SETTORE ISTRUZIONE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2005-06-10T08:22:51Z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