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45" tabRatio="601" activeTab="0"/>
  </bookViews>
  <sheets>
    <sheet name="Entrate tot e finalizzati" sheetId="1" r:id="rId1"/>
    <sheet name="Entrate nette" sheetId="2" r:id="rId2"/>
  </sheets>
  <externalReferences>
    <externalReference r:id="rId5"/>
  </externalReferences>
  <definedNames>
    <definedName name="_xlnm.Print_Area" localSheetId="1">'Entrate nette'!$A$1:$K$269</definedName>
    <definedName name="_xlnm.Print_Area" localSheetId="0">'Entrate tot e finalizzati'!$A$1:$T$269</definedName>
    <definedName name="CRITERIO100">#REF!</definedName>
    <definedName name="CRITERIO101">#REF!</definedName>
    <definedName name="CRITERIO102">#REF!</definedName>
    <definedName name="CRITERIO103">#REF!</definedName>
    <definedName name="CRITERIO104">#REF!</definedName>
    <definedName name="CRITERIO105">#REF!</definedName>
    <definedName name="CRITERIO106">#REF!</definedName>
    <definedName name="CRITERIO107">#REF!</definedName>
    <definedName name="CRITERIO108">#REF!</definedName>
    <definedName name="CRITERIO109">#REF!</definedName>
    <definedName name="CRITERIO11">#REF!</definedName>
    <definedName name="CRITERIO116">#REF!</definedName>
    <definedName name="CRITERIO117">#REF!</definedName>
    <definedName name="CRITERIO118">#REF!</definedName>
    <definedName name="CRITERIO119">#REF!</definedName>
    <definedName name="CRITERIO120">#REF!</definedName>
    <definedName name="CRITERIO121">#REF!</definedName>
    <definedName name="CRITERIO123">#REF!</definedName>
    <definedName name="CRITERIO124">#REF!</definedName>
    <definedName name="CRITERIO125">#REF!</definedName>
    <definedName name="CRITERIO126">#REF!</definedName>
    <definedName name="CRITERIO127">#REF!</definedName>
    <definedName name="CRITERIO129">#REF!</definedName>
    <definedName name="CRITERIO130">#REF!</definedName>
    <definedName name="CRITERIO132">#REF!</definedName>
    <definedName name="CRITERIO133">#REF!</definedName>
    <definedName name="CRITERIO134">#REF!</definedName>
    <definedName name="CRITERIO135">#REF!</definedName>
    <definedName name="CRITERIO136">#REF!</definedName>
    <definedName name="CRITERIO137">#REF!</definedName>
    <definedName name="CRITERIO138">#REF!</definedName>
    <definedName name="CRITERIO139">#REF!</definedName>
    <definedName name="CRITERIO140">#REF!</definedName>
    <definedName name="CRITERIO141">#REF!</definedName>
    <definedName name="CRITERIO142">#REF!</definedName>
    <definedName name="CRITERIO143">#REF!</definedName>
    <definedName name="CRITERIO144">#REF!</definedName>
    <definedName name="CRITERIO145">#REF!</definedName>
    <definedName name="CRITERIO146">#REF!</definedName>
    <definedName name="CRITERIO156">#REF!</definedName>
    <definedName name="CRITERIO157">#REF!</definedName>
    <definedName name="CRITERIO158">#REF!</definedName>
    <definedName name="CRITERIO159">#REF!</definedName>
    <definedName name="CRITERIO160">#REF!</definedName>
    <definedName name="CRITERIO161">#REF!</definedName>
    <definedName name="CRITERIO162">#REF!</definedName>
    <definedName name="CRITERIO163">#REF!</definedName>
    <definedName name="CRITERIO164">#REF!</definedName>
    <definedName name="CRITERIO165">#REF!</definedName>
    <definedName name="CRITERIO166">#REF!</definedName>
    <definedName name="CRITERIO167">#REF!</definedName>
    <definedName name="CRITERIO168">#REF!</definedName>
    <definedName name="CRITERIO169">#REF!</definedName>
    <definedName name="CRITERIO170">#REF!</definedName>
    <definedName name="CRITERIO171">#REF!</definedName>
    <definedName name="CRITERIO172">#REF!</definedName>
    <definedName name="CRITERIO173">#REF!</definedName>
    <definedName name="CRITERIO174">#REF!</definedName>
    <definedName name="CRITERIO175">#REF!</definedName>
    <definedName name="CRITERIO176">#REF!</definedName>
    <definedName name="CRITERIO177">#REF!</definedName>
    <definedName name="CRITERIO178">#REF!</definedName>
    <definedName name="CRITERIO179">#REF!</definedName>
    <definedName name="CRITERIO180">#REF!</definedName>
    <definedName name="CRITERIO181">#REF!</definedName>
    <definedName name="CRITERIO182">#REF!</definedName>
    <definedName name="CRITERIO183">#REF!</definedName>
    <definedName name="CRITERIO184">#REF!</definedName>
    <definedName name="CRITERIO185">#REF!</definedName>
    <definedName name="CRITERIO186">#REF!</definedName>
    <definedName name="CRITERIO187">#REF!</definedName>
    <definedName name="CRITERIO188">#REF!</definedName>
    <definedName name="CRITERIO189">#REF!</definedName>
    <definedName name="CRITERIO190">#REF!</definedName>
    <definedName name="CRITERIO191">#REF!</definedName>
    <definedName name="CRITERIO192">#REF!</definedName>
    <definedName name="CRITERIO193">#REF!</definedName>
    <definedName name="CRITERIO194">#REF!</definedName>
    <definedName name="CRITERIO195">#REF!</definedName>
    <definedName name="CRITERIO196">#REF!</definedName>
    <definedName name="CRITERIO197">#REF!</definedName>
    <definedName name="CRITERIO198">#REF!</definedName>
    <definedName name="CRITERIO199">#REF!</definedName>
    <definedName name="CRITERIO2">#REF!</definedName>
    <definedName name="CRITERIO200">#REF!</definedName>
    <definedName name="CRITERIO201">#REF!</definedName>
    <definedName name="CRITERIO202">#REF!</definedName>
    <definedName name="CRITERIO203">#REF!</definedName>
    <definedName name="CRITERIO204">#REF!</definedName>
    <definedName name="CRITERIO205">#REF!</definedName>
    <definedName name="CRITERIO206">#REF!</definedName>
    <definedName name="CRITERIO207">#REF!</definedName>
    <definedName name="CRITERIO208">#REF!</definedName>
    <definedName name="CRITERIO209">#REF!</definedName>
    <definedName name="CRITERIO210">#REF!</definedName>
    <definedName name="CRITERIO211">#REF!</definedName>
    <definedName name="CRITERIO212">#REF!</definedName>
    <definedName name="CRITERIO213">#REF!</definedName>
    <definedName name="CRITERIO214">#REF!</definedName>
    <definedName name="CRITERIO215">#REF!</definedName>
    <definedName name="CRITERIO216">#REF!</definedName>
    <definedName name="CRITERIO217">#REF!</definedName>
    <definedName name="CRITERIO218">#REF!</definedName>
    <definedName name="CRITERIO219">#REF!</definedName>
    <definedName name="CRITERIO220">#REF!</definedName>
    <definedName name="CRITERIO221">#REF!</definedName>
    <definedName name="CRITERIO222">#REF!</definedName>
    <definedName name="CRITERIO223">#REF!</definedName>
    <definedName name="CRITERIO224">#REF!</definedName>
    <definedName name="CRITERIO225">#REF!</definedName>
    <definedName name="CRITERIO226">#REF!</definedName>
    <definedName name="CRITERIO227">#REF!</definedName>
    <definedName name="CRITERIO228">#REF!</definedName>
    <definedName name="CRITERIO229">#REF!</definedName>
    <definedName name="CRITERIO230">#REF!</definedName>
    <definedName name="CRITERIO231">#REF!</definedName>
    <definedName name="CRITERIO232">#REF!</definedName>
    <definedName name="CRITERIO233">#REF!</definedName>
    <definedName name="CRITERIO234">#REF!</definedName>
    <definedName name="CRITERIO235">#REF!</definedName>
    <definedName name="CRITERIO236">#REF!</definedName>
    <definedName name="CRITERIO237">#REF!</definedName>
    <definedName name="CRITERIO238">#REF!</definedName>
    <definedName name="CRITERIO239">#REF!</definedName>
    <definedName name="CRITERIO240">#REF!</definedName>
    <definedName name="CRITERIO241">#REF!</definedName>
    <definedName name="CRITERIO242">#REF!</definedName>
    <definedName name="CRITERIO243">#REF!</definedName>
    <definedName name="CRITERIO244">#REF!</definedName>
    <definedName name="CRITERIO245">#REF!</definedName>
    <definedName name="CRITERIO246">#REF!</definedName>
    <definedName name="CRITERIO251">#REF!</definedName>
    <definedName name="CRITERIO254">#REF!</definedName>
    <definedName name="CRITERIO259">#REF!</definedName>
    <definedName name="CRITERIO260">#REF!</definedName>
    <definedName name="CRITERIO28">#REF!</definedName>
    <definedName name="CRITERIO29">#REF!</definedName>
    <definedName name="CRITERIO30">#REF!</definedName>
    <definedName name="CRITERIO31">#REF!</definedName>
    <definedName name="CRITERIO32">#REF!</definedName>
    <definedName name="CRITERIO33">#REF!</definedName>
    <definedName name="CRITERIO34">#REF!</definedName>
    <definedName name="CRITERIO35">#REF!</definedName>
    <definedName name="CRITERIO36">#REF!</definedName>
    <definedName name="CRITERIO37">#REF!</definedName>
    <definedName name="CRITERIO38">#REF!</definedName>
    <definedName name="CRITERIO39">#REF!</definedName>
    <definedName name="CRITERIO4">#REF!</definedName>
    <definedName name="CRITERIO40">#REF!</definedName>
    <definedName name="CRITERIO41">#REF!</definedName>
    <definedName name="CRITERIO42">#REF!</definedName>
    <definedName name="CRITERIO43">#REF!</definedName>
    <definedName name="CRITERIO44">#REF!</definedName>
    <definedName name="CRITERIO45">#REF!</definedName>
    <definedName name="CRITERIO47">#REF!</definedName>
    <definedName name="CRITERIO48">#REF!</definedName>
    <definedName name="CRITERIO49">#REF!</definedName>
    <definedName name="CRITERIO5">#REF!</definedName>
    <definedName name="CRITERIO50">#REF!</definedName>
    <definedName name="CRITERIO51">#REF!</definedName>
    <definedName name="CRITERIO52">#REF!</definedName>
    <definedName name="CRITERIO53">#REF!</definedName>
    <definedName name="CRITERIO55">#REF!</definedName>
    <definedName name="CRITERIO56">#REF!</definedName>
    <definedName name="CRITERIO57">#REF!</definedName>
    <definedName name="CRITERIO58">#REF!</definedName>
    <definedName name="CRITERIO59">#REF!</definedName>
    <definedName name="CRITERIO6">#REF!</definedName>
    <definedName name="CRITERIO60">#REF!</definedName>
    <definedName name="CRITERIO61">#REF!</definedName>
    <definedName name="CRITERIO62">#REF!</definedName>
    <definedName name="CRITERIO63">#REF!</definedName>
    <definedName name="CRITERIO64">#REF!</definedName>
    <definedName name="CRITERIO65">#REF!</definedName>
    <definedName name="CRITERIO66">#REF!</definedName>
    <definedName name="CRITERIO67">#REF!</definedName>
    <definedName name="CRITERIO68">#REF!</definedName>
    <definedName name="CRITERIO69">#REF!</definedName>
    <definedName name="CRITERIO7">#REF!</definedName>
    <definedName name="CRITERIO70">#REF!</definedName>
    <definedName name="CRITERIO71">#REF!</definedName>
    <definedName name="CRITERIO72">#REF!</definedName>
    <definedName name="CRITERIO73">#REF!</definedName>
    <definedName name="CRITERIO74">#REF!</definedName>
    <definedName name="CRITERIO75">#REF!</definedName>
    <definedName name="CRITERIO76">#REF!</definedName>
    <definedName name="CRITERIO77">#REF!</definedName>
    <definedName name="CRITERIO78">#REF!</definedName>
    <definedName name="CRITERIO79">#REF!</definedName>
    <definedName name="CRITERIO8">#REF!</definedName>
    <definedName name="CRITERIO80">#REF!</definedName>
    <definedName name="CRITERIO81">#REF!</definedName>
    <definedName name="CRITERIO82">#REF!</definedName>
    <definedName name="CRITERIO83">#REF!</definedName>
    <definedName name="CRITERIO84">#REF!</definedName>
    <definedName name="CRITERIO85">#REF!</definedName>
    <definedName name="CRITERIO86">#REF!</definedName>
    <definedName name="CRITERIO87">#REF!</definedName>
    <definedName name="CRITERIO88">#REF!</definedName>
    <definedName name="CRITERIO89">#REF!</definedName>
    <definedName name="CRITERIO9">#REF!</definedName>
    <definedName name="CRITERIO90">#REF!</definedName>
    <definedName name="CRITERIO91">#REF!</definedName>
    <definedName name="CRITERIO92">#REF!</definedName>
    <definedName name="CRITERIO93">#REF!</definedName>
    <definedName name="CRITERIO94">#REF!</definedName>
    <definedName name="CRITERIO95">#REF!</definedName>
    <definedName name="CRITERIO96">#REF!</definedName>
    <definedName name="CRITERIO97">#REF!</definedName>
    <definedName name="CRITERIO98">#REF!</definedName>
    <definedName name="CRITERIO99">#REF!</definedName>
    <definedName name="dbase">'[1]file'!$A$1:$N$450</definedName>
    <definedName name="_xlnm.Print_Titles" localSheetId="1">'Entrate nette'!$1:$7</definedName>
    <definedName name="_xlnm.Print_Titles" localSheetId="0">'Entrate tot e finalizzati'!$1:$7</definedName>
  </definedNames>
  <calcPr fullCalcOnLoad="1"/>
</workbook>
</file>

<file path=xl/sharedStrings.xml><?xml version="1.0" encoding="utf-8"?>
<sst xmlns="http://schemas.openxmlformats.org/spreadsheetml/2006/main" count="581" uniqueCount="146">
  <si>
    <t>DIREZIONE GENERALE</t>
  </si>
  <si>
    <t>PERSONALE E ORGANIZZAZIONE</t>
  </si>
  <si>
    <t>QUARTIERE NAVILE</t>
  </si>
  <si>
    <t>QUARTIERE RENO</t>
  </si>
  <si>
    <t>QUARTIERE S.DONATO</t>
  </si>
  <si>
    <t>QUARTIERE SAVENA</t>
  </si>
  <si>
    <t>IN MIGLIAIA DI EURO</t>
  </si>
  <si>
    <t>TOTALE</t>
  </si>
  <si>
    <t>+</t>
  </si>
  <si>
    <t>TOT</t>
  </si>
  <si>
    <t>CONS</t>
  </si>
  <si>
    <t>* Per risorse "finalizzate" si intendono le entrate derivanti da trasferimenti ed altro a cui corrisponde un'uscita vincolata.</t>
  </si>
  <si>
    <t>ENTRATE</t>
  </si>
  <si>
    <t>QUARTIERI</t>
  </si>
  <si>
    <t>ALTRE ENTRATE CORRENTI</t>
  </si>
  <si>
    <t>UTILI DI AZIENDE E SOCIETA'</t>
  </si>
  <si>
    <t>TRASFERIMENTI DA ALTRI ENTI DEL SETTORE PUBBLICO</t>
  </si>
  <si>
    <t>TRASFERIMENTI DA ORGANISMI INTERNAZIONALI E COMUNITARI</t>
  </si>
  <si>
    <t>ALTRI PROVENTI E SANZIONI</t>
  </si>
  <si>
    <t>ALTRI PROVENTI DI BENI</t>
  </si>
  <si>
    <t>PROVENTI E SANZIONI</t>
  </si>
  <si>
    <t>DIRITTI DIVERSI</t>
  </si>
  <si>
    <t>PROVENTI NIDI</t>
  </si>
  <si>
    <t>TRASFERIMENTI REGIONE PER GESTIONE SERVIZI</t>
  </si>
  <si>
    <t>RIMBORSO SPESE DIVERSE</t>
  </si>
  <si>
    <t>FONDO ORDINARIO</t>
  </si>
  <si>
    <t>CONCORSO PER MUTUI</t>
  </si>
  <si>
    <t>INTERESSI FINALIZZATI</t>
  </si>
  <si>
    <t>INTERESSI SU ANTICIPAZIONI E CREDITI</t>
  </si>
  <si>
    <t>IVA</t>
  </si>
  <si>
    <t>FONDO CONSOLIDATO</t>
  </si>
  <si>
    <t>FONDO PEREQUATIVO SQUILIBRI FISCALITA' LOCALE</t>
  </si>
  <si>
    <t>CONTRIBUTI DI ENTI, ISTITUTI E PRIVATI</t>
  </si>
  <si>
    <t>RIMBORSO DI SPESE DIVERSE</t>
  </si>
  <si>
    <t>AVANZO DI AMMINISTRAZIONE APPLICATO</t>
  </si>
  <si>
    <t>TRASFERIMENTI DA STATO</t>
  </si>
  <si>
    <t>TRASFERIMENTI DA REGIONE</t>
  </si>
  <si>
    <t>ICIAP</t>
  </si>
  <si>
    <t>ICI</t>
  </si>
  <si>
    <t>IMPOSTA SULLA PUBBLICITA'</t>
  </si>
  <si>
    <t>ADDIZIONALE ENEL (e altro)</t>
  </si>
  <si>
    <t>TASSA SMALTIMENTO RIFIUTI</t>
  </si>
  <si>
    <t>TASSA OCCUPAZIONE SPAZI</t>
  </si>
  <si>
    <t>TASSA SULLE CONCESSIONI COMUNALI</t>
  </si>
  <si>
    <t>DIRITTI PER PUBBLICHE AFFISSIONI</t>
  </si>
  <si>
    <t>CANONE ACQUE REFLUE (11)</t>
  </si>
  <si>
    <t>ALTRI PROVENTI E SANZIONI FINALIZZATI</t>
  </si>
  <si>
    <t>PROVENTI CONCESSIONI PUBBLICITARIE</t>
  </si>
  <si>
    <t>IRAP</t>
  </si>
  <si>
    <t>ADDIZIONALE COMUNALE IRPEF</t>
  </si>
  <si>
    <t>CANONE OCCUPAZIONE SPAZI E AREE PUBBLICHE (ex TOSAP)</t>
  </si>
  <si>
    <t>PROVENTI SERVIZI FOGNATURA</t>
  </si>
  <si>
    <t xml:space="preserve">PROVENTI DI SERVIZI </t>
  </si>
  <si>
    <t xml:space="preserve">PROVENTI DI BENI </t>
  </si>
  <si>
    <t>FITTI IMMOBILI COMMERCIALI COMUNALI</t>
  </si>
  <si>
    <t>FITTI IMMOBILI COMMERCIALI AREE MERCATALI</t>
  </si>
  <si>
    <t>FITTI IMMOBILI COMMERCIALI IPPODROMO ARCOVEGGIO</t>
  </si>
  <si>
    <t>FITTI IMMOBILI USO ABITATIVO (12)</t>
  </si>
  <si>
    <t>FITTI COMMERCIALI FINALIZZATI</t>
  </si>
  <si>
    <t>FITTI IMMOBILI LFA</t>
  </si>
  <si>
    <t>PROVENTI SERVIZI CIMITERIALI</t>
  </si>
  <si>
    <t>PROVENTI SERVIZI AGENZIA TRASPORTI ED ONORANZE FUNEBRI</t>
  </si>
  <si>
    <t>PROVENTI SERVIZI NECROSCOPICI/POLIZIA MORTUARIA</t>
  </si>
  <si>
    <t>PROVENTI VENDITA LOCULI</t>
  </si>
  <si>
    <t xml:space="preserve">ALTRI PROVENTI E SANZIONI </t>
  </si>
  <si>
    <t xml:space="preserve">RIMBORSO SPESE DIVERSE </t>
  </si>
  <si>
    <t xml:space="preserve">TRASFERIMENTI DA STATO </t>
  </si>
  <si>
    <t xml:space="preserve">CONTRIBUTI DI ENTI ED ISTITUTI PRIVATI </t>
  </si>
  <si>
    <t>PROVENTI SERVIZI INTEGRATIVI</t>
  </si>
  <si>
    <t>TRASFERIMENTI REGIONE PER FUNZIONI DELEGATE</t>
  </si>
  <si>
    <t>PROVENTI REFEZIONE SCOLASTICA</t>
  </si>
  <si>
    <t>PROVENTI ATTIVITA' CULTURALI</t>
  </si>
  <si>
    <t xml:space="preserve">TRASFERIMENTI DA ALTRI ENTI DEL SETTORE PUBBLICO </t>
  </si>
  <si>
    <t>FITTI PALAZZO RE ENZO</t>
  </si>
  <si>
    <t>PROVENTI IMPIANTI SPORTIVI</t>
  </si>
  <si>
    <t>PROVENTI DA ISTITUZIONI ESTIVE</t>
  </si>
  <si>
    <t>PROVENTI CONTROLLO EDILIZIO</t>
  </si>
  <si>
    <t>PROVENTI DA PARCHEGGI</t>
  </si>
  <si>
    <t>PROVENTI E DIRITTI SERVIZI DEMOGRAFICI</t>
  </si>
  <si>
    <t>AMMENDE PER CONTRAVVENZIONI</t>
  </si>
  <si>
    <t>AMMENDE PER CONTRAVVENZIONI: ORDINARIE</t>
  </si>
  <si>
    <t>AMMENDE PER CONTRAVVENZIONI: PREGRESSE</t>
  </si>
  <si>
    <t>PROVENTI PER RIMOZIONE</t>
  </si>
  <si>
    <t>AMMENDE PER CONTRAVVENZIONI: RECUPERO CREDITI</t>
  </si>
  <si>
    <t>(**) Il 2001 è al netto di contributi (€ 34.206 mgl da Regione e € 3.434 mgl da Stato) per trasporto pubblico locale trasferiti ad ATC</t>
  </si>
  <si>
    <t>MOBILITA' URBANA (**)</t>
  </si>
  <si>
    <t xml:space="preserve">LEGALE </t>
  </si>
  <si>
    <t xml:space="preserve">SEGRETERIA GENERALE </t>
  </si>
  <si>
    <t>SISTEMI INFORMATIVI E TELEMATICI</t>
  </si>
  <si>
    <t>COMPARTECIPAZIONE GETTITO IRPEF</t>
  </si>
  <si>
    <t>FITTI IMMOBILI COMMERCIALI ACER</t>
  </si>
  <si>
    <t>ICI RECUPERO ARRETRATI</t>
  </si>
  <si>
    <t>ADDIZIONALE COMUNALE IRPEF- ESERCIZI PRECEDENTI</t>
  </si>
  <si>
    <t>TASSA SMALTIMENTO RIFIUTI - RECUPERO ARRETRATI</t>
  </si>
  <si>
    <t>FITTI ALLOGGI IMMIGRATI/PROFUGHI/NOMADI</t>
  </si>
  <si>
    <t>FITTI SALA BORSA</t>
  </si>
  <si>
    <t>di cui fin.*</t>
  </si>
  <si>
    <t xml:space="preserve">TRASFERIMENTI DA ORGANISMI INTERNAZIONALI E COMUNITARI </t>
  </si>
  <si>
    <t>PARTECIPAZIONI SOCIETARIE</t>
  </si>
  <si>
    <t>POLIZIA MUNICIPALE E PROTEZIONE CIVILE</t>
  </si>
  <si>
    <t>LAVORI PUBBLICI</t>
  </si>
  <si>
    <t>AMBIENTE E VERDE URBANO</t>
  </si>
  <si>
    <t>SERVIZI DEMOGRAFICI</t>
  </si>
  <si>
    <t>SOPRAVVENIENZE ATTIVE</t>
  </si>
  <si>
    <t>PROVENTI SERVIZI: RECUPERO PREGRESSI</t>
  </si>
  <si>
    <t>FITTI IMM. USO ABITATIVO IAR</t>
  </si>
  <si>
    <t>FITTI IMMOBILI COMMERCIALI IAR</t>
  </si>
  <si>
    <t>CONCESSIONI IN USO FOGNATURE E RETI (HERA)</t>
  </si>
  <si>
    <t>PROVENTI SERVIZI SOCIO ASSISTENZIALI</t>
  </si>
  <si>
    <t xml:space="preserve">DIRITTI DIVERSI </t>
  </si>
  <si>
    <t>QUARTIERE S.VITALE</t>
  </si>
  <si>
    <t xml:space="preserve">TRASFERIMENTI DA REGIONE </t>
  </si>
  <si>
    <t xml:space="preserve">ALTRI PROVENTI DI BENI </t>
  </si>
  <si>
    <t xml:space="preserve">ALTRE ENTRATE CORRENTI </t>
  </si>
  <si>
    <t>TRASFERIMENTI DA STATO (**)</t>
  </si>
  <si>
    <t>TRASFERIMENTI DA REGIONE  (**)</t>
  </si>
  <si>
    <t xml:space="preserve">FITTI ERP </t>
  </si>
  <si>
    <t xml:space="preserve">TRASFERIMENTI DA ALTRI ENTI DEL SETTORE PUBBLICO  </t>
  </si>
  <si>
    <t>PROVENTI PERMESSI ACCESSO ZONA TRAFFICO LIMITATO</t>
  </si>
  <si>
    <t>QUARTIERE BORGO PANIGALE</t>
  </si>
  <si>
    <t>QUARTIERE SANTO STEFANO</t>
  </si>
  <si>
    <t>QUARTIERE SARAGOZZA</t>
  </si>
  <si>
    <t>ADDIZIONALE COMUNALE DIRITTI D'IMBARCO</t>
  </si>
  <si>
    <t>STAFF POLITICO ISTITUZIONALE</t>
  </si>
  <si>
    <t>GABINETTO E STAFF DEL SINDACO</t>
  </si>
  <si>
    <t>SETTORI DI STAFF</t>
  </si>
  <si>
    <t>AFFARI ISTITUZIONALI E DECENTRAMENTO</t>
  </si>
  <si>
    <t xml:space="preserve"> ACQUISTI BENI E SERVIZI</t>
  </si>
  <si>
    <t>FINANZA E RAGIONERIA</t>
  </si>
  <si>
    <t>COMUNICAZIONE E RAPPORTI CON I CITTADINI</t>
  </si>
  <si>
    <t>SETTORI DI LINE</t>
  </si>
  <si>
    <t xml:space="preserve"> PATRIMONIO</t>
  </si>
  <si>
    <t>COORDINAMENTO SOCIALE E SALUTE</t>
  </si>
  <si>
    <t>ISTRUZIONE E POLITICHE DELLE DIFFERENZE</t>
  </si>
  <si>
    <t>CULTURA E RAPPORTI CON L'UNIVERSITA'</t>
  </si>
  <si>
    <t>ATTIVITA' PRODUTTIVE E COMMERCIALI</t>
  </si>
  <si>
    <t>SPORT, GIOVANI E TURISMO</t>
  </si>
  <si>
    <t>TERRITORIO E URBANISTICA</t>
  </si>
  <si>
    <t>POLITICHE ABITATIVE</t>
  </si>
  <si>
    <t xml:space="preserve">ENTRATE NETTE : SERIE STORICA (1998 - 2006) </t>
  </si>
  <si>
    <t xml:space="preserve">ENTRATE: SERIE STORICA (1998 - 2007) </t>
  </si>
  <si>
    <t>PROGRAMMAZIONE CONTROLLI E STATISTICA</t>
  </si>
  <si>
    <t>PROGRAMMAZIONE, CONTROLLI E STATISTICA</t>
  </si>
  <si>
    <t>PROVENTI SERVIZI NECROSCOPICI</t>
  </si>
  <si>
    <t>COORDINAMENTO AMMINISTRATIVO QUARTIERI</t>
  </si>
  <si>
    <t>FITTI IMMOBILI LLFFAA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</si>
</sst>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.0_-;\-* #,##0.0_-;_-* &quot;-&quot;_-;_-@_-"/>
    <numFmt numFmtId="179" formatCode="0.0"/>
    <numFmt numFmtId="180" formatCode="0.000"/>
    <numFmt numFmtId="181" formatCode="0_ ;\-0\ 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Symbol"/>
      <family val="1"/>
    </font>
    <font>
      <sz val="12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" fillId="0" borderId="6" xfId="0" applyFont="1" applyBorder="1" applyAlignment="1">
      <alignment/>
    </xf>
    <xf numFmtId="3" fontId="2" fillId="2" borderId="10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6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" borderId="8" xfId="0" applyFont="1" applyFill="1" applyBorder="1" applyAlignment="1">
      <alignment horizontal="centerContinuous"/>
    </xf>
    <xf numFmtId="0" fontId="6" fillId="3" borderId="11" xfId="0" applyFont="1" applyFill="1" applyBorder="1" applyAlignment="1">
      <alignment horizontal="centerContinuous"/>
    </xf>
    <xf numFmtId="0" fontId="6" fillId="3" borderId="3" xfId="0" applyFont="1" applyFill="1" applyBorder="1" applyAlignment="1">
      <alignment horizontal="centerContinuous"/>
    </xf>
    <xf numFmtId="0" fontId="6" fillId="3" borderId="5" xfId="0" applyFont="1" applyFill="1" applyBorder="1" applyAlignment="1">
      <alignment horizontal="centerContinuous"/>
    </xf>
    <xf numFmtId="0" fontId="2" fillId="3" borderId="11" xfId="0" applyFont="1" applyFill="1" applyBorder="1" applyAlignment="1">
      <alignment horizontal="centerContinuous"/>
    </xf>
    <xf numFmtId="3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1" fillId="0" borderId="4" xfId="0" applyNumberFormat="1" applyFont="1" applyFill="1" applyBorder="1" applyAlignment="1">
      <alignment/>
    </xf>
    <xf numFmtId="0" fontId="2" fillId="3" borderId="12" xfId="0" applyFont="1" applyFill="1" applyBorder="1" applyAlignment="1">
      <alignment horizontal="centerContinuous"/>
    </xf>
    <xf numFmtId="0" fontId="2" fillId="0" borderId="1" xfId="0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 quotePrefix="1">
      <alignment/>
    </xf>
    <xf numFmtId="0" fontId="0" fillId="0" borderId="0" xfId="0" applyFont="1" applyFill="1" applyAlignment="1">
      <alignment/>
    </xf>
    <xf numFmtId="3" fontId="1" fillId="0" borderId="5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1" fontId="1" fillId="0" borderId="6" xfId="16" applyFont="1" applyFill="1" applyBorder="1" applyAlignment="1">
      <alignment horizontal="right"/>
    </xf>
    <xf numFmtId="41" fontId="1" fillId="0" borderId="4" xfId="16" applyFont="1" applyFill="1" applyBorder="1" applyAlignment="1">
      <alignment horizontal="right"/>
    </xf>
    <xf numFmtId="41" fontId="1" fillId="0" borderId="4" xfId="16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centerContinuous"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41" fontId="1" fillId="0" borderId="6" xfId="16" applyFont="1" applyFill="1" applyBorder="1" applyAlignment="1">
      <alignment/>
    </xf>
    <xf numFmtId="41" fontId="1" fillId="0" borderId="4" xfId="16" applyFont="1" applyBorder="1" applyAlignment="1">
      <alignment/>
    </xf>
    <xf numFmtId="41" fontId="1" fillId="0" borderId="5" xfId="16" applyFont="1" applyFill="1" applyBorder="1" applyAlignment="1">
      <alignment/>
    </xf>
    <xf numFmtId="0" fontId="2" fillId="0" borderId="4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3" fontId="2" fillId="0" borderId="6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3" fontId="7" fillId="5" borderId="12" xfId="0" applyNumberFormat="1" applyFont="1" applyFill="1" applyBorder="1" applyAlignment="1">
      <alignment/>
    </xf>
    <xf numFmtId="0" fontId="2" fillId="0" borderId="1" xfId="0" applyFont="1" applyFill="1" applyBorder="1" applyAlignment="1" quotePrefix="1">
      <alignment/>
    </xf>
    <xf numFmtId="41" fontId="1" fillId="0" borderId="6" xfId="16" applyFont="1" applyFill="1" applyBorder="1" applyAlignment="1">
      <alignment/>
    </xf>
    <xf numFmtId="0" fontId="6" fillId="3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41" fontId="1" fillId="0" borderId="7" xfId="16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" fillId="0" borderId="1" xfId="0" applyFont="1" applyBorder="1" applyAlignment="1">
      <alignment/>
    </xf>
    <xf numFmtId="3" fontId="1" fillId="0" borderId="6" xfId="0" applyNumberFormat="1" applyFont="1" applyBorder="1" applyAlignment="1">
      <alignment horizontal="left"/>
    </xf>
    <xf numFmtId="41" fontId="1" fillId="0" borderId="5" xfId="16" applyFont="1" applyBorder="1" applyAlignment="1">
      <alignment/>
    </xf>
    <xf numFmtId="3" fontId="1" fillId="0" borderId="0" xfId="0" applyNumberFormat="1" applyFont="1" applyAlignment="1">
      <alignment/>
    </xf>
    <xf numFmtId="0" fontId="1" fillId="4" borderId="9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2" fillId="0" borderId="3" xfId="0" applyFont="1" applyFill="1" applyBorder="1" applyAlignment="1">
      <alignment/>
    </xf>
    <xf numFmtId="0" fontId="4" fillId="0" borderId="2" xfId="0" applyFont="1" applyBorder="1" applyAlignment="1">
      <alignment horizontal="centerContinuous"/>
    </xf>
    <xf numFmtId="0" fontId="2" fillId="3" borderId="13" xfId="0" applyFont="1" applyFill="1" applyBorder="1" applyAlignment="1">
      <alignment horizontal="centerContinuous"/>
    </xf>
    <xf numFmtId="3" fontId="1" fillId="0" borderId="2" xfId="0" applyNumberFormat="1" applyFont="1" applyBorder="1" applyAlignment="1">
      <alignment/>
    </xf>
    <xf numFmtId="0" fontId="3" fillId="0" borderId="3" xfId="0" applyFont="1" applyFill="1" applyBorder="1" applyAlignment="1">
      <alignment/>
    </xf>
    <xf numFmtId="41" fontId="1" fillId="0" borderId="7" xfId="16" applyFont="1" applyFill="1" applyBorder="1" applyAlignment="1">
      <alignment/>
    </xf>
    <xf numFmtId="0" fontId="6" fillId="3" borderId="10" xfId="0" applyFont="1" applyFill="1" applyBorder="1" applyAlignment="1">
      <alignment horizontal="centerContinuous"/>
    </xf>
    <xf numFmtId="3" fontId="3" fillId="4" borderId="10" xfId="0" applyNumberFormat="1" applyFont="1" applyFill="1" applyBorder="1" applyAlignment="1">
      <alignment/>
    </xf>
    <xf numFmtId="0" fontId="7" fillId="5" borderId="14" xfId="0" applyFont="1" applyFill="1" applyBorder="1" applyAlignment="1">
      <alignment/>
    </xf>
    <xf numFmtId="0" fontId="8" fillId="5" borderId="15" xfId="0" applyFont="1" applyFill="1" applyBorder="1" applyAlignment="1">
      <alignment/>
    </xf>
    <xf numFmtId="0" fontId="6" fillId="3" borderId="3" xfId="0" applyFont="1" applyFill="1" applyBorder="1" applyAlignment="1">
      <alignment horizontal="center"/>
    </xf>
    <xf numFmtId="0" fontId="0" fillId="0" borderId="5" xfId="0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41" fontId="1" fillId="0" borderId="0" xfId="16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1" fontId="1" fillId="0" borderId="6" xfId="16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BDG%20In%20EURO\Uscite%20con%20sp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146</v>
          </cell>
          <cell r="C2" t="str">
            <v>Coordinamento organizzazione decentrata                     </v>
          </cell>
          <cell r="D2">
            <v>5</v>
          </cell>
          <cell r="E2">
            <v>71</v>
          </cell>
          <cell r="F2" t="str">
            <v>CONSUMI SPECIFICI                                           </v>
          </cell>
          <cell r="G2">
            <v>0</v>
          </cell>
          <cell r="H2">
            <v>72122.78</v>
          </cell>
          <cell r="I2">
            <v>1438848.92</v>
          </cell>
          <cell r="J2">
            <v>1901077.85</v>
          </cell>
          <cell r="K2">
            <v>2253301.45</v>
          </cell>
        </row>
        <row r="3">
          <cell r="A3" t="str">
            <v>CDG6 </v>
          </cell>
          <cell r="B3">
            <v>5</v>
          </cell>
          <cell r="C3" t="str">
            <v>Staff del Consiglio                                         </v>
          </cell>
          <cell r="D3">
            <v>5</v>
          </cell>
          <cell r="E3">
            <v>71</v>
          </cell>
          <cell r="F3" t="str">
            <v>CONSUMI SPECIFICI                                           </v>
          </cell>
          <cell r="G3">
            <v>0</v>
          </cell>
          <cell r="H3">
            <v>21239.29</v>
          </cell>
          <cell r="I3">
            <v>340861.55</v>
          </cell>
          <cell r="J3">
            <v>289215.86</v>
          </cell>
          <cell r="K3">
            <v>289215.86</v>
          </cell>
        </row>
        <row r="4">
          <cell r="A4" t="str">
            <v>CDG6 </v>
          </cell>
          <cell r="B4">
            <v>28</v>
          </cell>
          <cell r="C4" t="str">
            <v>Direzione, amm.ne/altro - Gabinetto                         </v>
          </cell>
          <cell r="D4">
            <v>5</v>
          </cell>
          <cell r="E4">
            <v>71</v>
          </cell>
          <cell r="F4" t="str">
            <v>CONSUMI SPECIFICI                                           </v>
          </cell>
          <cell r="G4">
            <v>0</v>
          </cell>
          <cell r="H4">
            <v>48589.98</v>
          </cell>
          <cell r="I4">
            <v>521518.18</v>
          </cell>
          <cell r="J4">
            <v>782432.21</v>
          </cell>
          <cell r="K4">
            <v>472558.07</v>
          </cell>
        </row>
        <row r="5">
          <cell r="A5" t="str">
            <v>CDG6 </v>
          </cell>
          <cell r="B5">
            <v>31</v>
          </cell>
          <cell r="C5" t="str">
            <v>Cerimoniale                                                 </v>
          </cell>
          <cell r="D5">
            <v>5</v>
          </cell>
          <cell r="E5">
            <v>71</v>
          </cell>
          <cell r="F5" t="str">
            <v>CONSUMI SPECIFICI                                           </v>
          </cell>
          <cell r="G5">
            <v>0</v>
          </cell>
          <cell r="H5">
            <v>13040.54</v>
          </cell>
          <cell r="I5">
            <v>113620.52</v>
          </cell>
          <cell r="J5">
            <v>258228.45</v>
          </cell>
          <cell r="K5">
            <v>258228.45</v>
          </cell>
        </row>
        <row r="6">
          <cell r="A6" t="str">
            <v>CDG6 </v>
          </cell>
          <cell r="B6">
            <v>247</v>
          </cell>
          <cell r="C6" t="str">
            <v>Direzione, amm.,CDG/altro-inf.cittadino                     </v>
          </cell>
          <cell r="D6">
            <v>5</v>
          </cell>
          <cell r="E6">
            <v>71</v>
          </cell>
          <cell r="F6" t="str">
            <v>CONSUMI SPECIFICI                                           </v>
          </cell>
          <cell r="G6">
            <v>0</v>
          </cell>
          <cell r="H6">
            <v>72371.38</v>
          </cell>
          <cell r="I6">
            <v>103291.37</v>
          </cell>
          <cell r="J6">
            <v>103291.37</v>
          </cell>
          <cell r="K6">
            <v>92962.25</v>
          </cell>
        </row>
        <row r="7">
          <cell r="A7" t="str">
            <v>CDG6 </v>
          </cell>
          <cell r="B7">
            <v>11</v>
          </cell>
          <cell r="C7" t="str">
            <v>Ragioneria                                                  </v>
          </cell>
          <cell r="D7">
            <v>5</v>
          </cell>
          <cell r="E7">
            <v>71</v>
          </cell>
          <cell r="F7" t="str">
            <v>CONSUMI SPECIFICI                                           </v>
          </cell>
          <cell r="G7">
            <v>0</v>
          </cell>
          <cell r="H7">
            <v>13856.54</v>
          </cell>
          <cell r="I7">
            <v>181772.16</v>
          </cell>
          <cell r="J7">
            <v>186936.76</v>
          </cell>
          <cell r="K7">
            <v>181772.16</v>
          </cell>
        </row>
        <row r="8">
          <cell r="A8" t="str">
            <v>CDG6 </v>
          </cell>
          <cell r="B8">
            <v>75</v>
          </cell>
          <cell r="C8" t="str">
            <v>Progetti e relazioni internazionali                         </v>
          </cell>
          <cell r="D8">
            <v>5</v>
          </cell>
          <cell r="E8">
            <v>71</v>
          </cell>
          <cell r="F8" t="str">
            <v>CONSUMI SPECIFICI                                           </v>
          </cell>
          <cell r="G8">
            <v>0</v>
          </cell>
          <cell r="H8">
            <v>140390.21</v>
          </cell>
          <cell r="I8">
            <v>2052970.4</v>
          </cell>
          <cell r="J8">
            <v>2034840.19</v>
          </cell>
          <cell r="K8">
            <v>1874738.55</v>
          </cell>
        </row>
        <row r="9">
          <cell r="A9" t="str">
            <v>CDG6 </v>
          </cell>
          <cell r="B9">
            <v>36</v>
          </cell>
          <cell r="C9" t="str">
            <v>Inn.amm./regolamenti/Città metr./contr.                     </v>
          </cell>
          <cell r="D9">
            <v>5</v>
          </cell>
          <cell r="E9">
            <v>71</v>
          </cell>
          <cell r="F9" t="str">
            <v>CONSUMI SPECIFICI                                           </v>
          </cell>
          <cell r="G9">
            <v>0</v>
          </cell>
          <cell r="H9">
            <v>11593.93</v>
          </cell>
          <cell r="I9">
            <v>134278.79</v>
          </cell>
          <cell r="J9">
            <v>134278.79</v>
          </cell>
          <cell r="K9">
            <v>126531.94</v>
          </cell>
        </row>
        <row r="10">
          <cell r="A10" t="str">
            <v>CDG6 </v>
          </cell>
          <cell r="B10">
            <v>37</v>
          </cell>
          <cell r="C10" t="str">
            <v>Trasformazioni strutturali                                  </v>
          </cell>
          <cell r="D10">
            <v>5</v>
          </cell>
          <cell r="E10">
            <v>71</v>
          </cell>
          <cell r="F10" t="str">
            <v>CONSUMI SPECIFICI                                           </v>
          </cell>
          <cell r="G10">
            <v>0</v>
          </cell>
          <cell r="H10">
            <v>21617.35</v>
          </cell>
          <cell r="I10">
            <v>81504.13</v>
          </cell>
          <cell r="J10">
            <v>80980.44</v>
          </cell>
          <cell r="K10">
            <v>80998.06</v>
          </cell>
        </row>
        <row r="11">
          <cell r="A11" t="str">
            <v>CDG6 </v>
          </cell>
          <cell r="B11">
            <v>30</v>
          </cell>
          <cell r="C11" t="str">
            <v>Ufficio Stampa                                              </v>
          </cell>
          <cell r="D11">
            <v>5</v>
          </cell>
          <cell r="E11">
            <v>71</v>
          </cell>
          <cell r="F11" t="str">
            <v>CONSUMI SPECIFICI                                           </v>
          </cell>
          <cell r="G11">
            <v>0</v>
          </cell>
          <cell r="H11">
            <v>28534.24</v>
          </cell>
          <cell r="I11">
            <v>292417.9</v>
          </cell>
          <cell r="J11">
            <v>294380.44</v>
          </cell>
          <cell r="K11">
            <v>294380.43</v>
          </cell>
        </row>
        <row r="12">
          <cell r="A12" t="str">
            <v>CDG6 </v>
          </cell>
          <cell r="B12">
            <v>248</v>
          </cell>
          <cell r="C12" t="str">
            <v>U.R.P.                                                      </v>
          </cell>
          <cell r="D12">
            <v>5</v>
          </cell>
          <cell r="E12">
            <v>71</v>
          </cell>
          <cell r="F12" t="str">
            <v>CONSUMI SPECIFICI                                           </v>
          </cell>
          <cell r="G12">
            <v>0</v>
          </cell>
          <cell r="H12">
            <v>2036.29</v>
          </cell>
          <cell r="I12">
            <v>83666.02</v>
          </cell>
          <cell r="J12">
            <v>83666.02</v>
          </cell>
          <cell r="K12">
            <v>83666.02</v>
          </cell>
        </row>
        <row r="13">
          <cell r="A13" t="str">
            <v>CDG6 </v>
          </cell>
          <cell r="B13">
            <v>249</v>
          </cell>
          <cell r="C13" t="str">
            <v>Iperbole/progetti europei                                   </v>
          </cell>
          <cell r="D13">
            <v>5</v>
          </cell>
          <cell r="E13">
            <v>71</v>
          </cell>
          <cell r="F13" t="str">
            <v>CONSUMI SPECIFICI                                           </v>
          </cell>
          <cell r="G13">
            <v>0</v>
          </cell>
          <cell r="H13">
            <v>3658.24</v>
          </cell>
          <cell r="I13">
            <v>748862.5</v>
          </cell>
          <cell r="J13">
            <v>612001.42</v>
          </cell>
          <cell r="K13">
            <v>612001.42</v>
          </cell>
        </row>
        <row r="14">
          <cell r="A14" t="str">
            <v>CDG6 </v>
          </cell>
          <cell r="B14">
            <v>61</v>
          </cell>
          <cell r="C14" t="str">
            <v>Direzione, amm., CDG/altro - Pers.e org.                    </v>
          </cell>
          <cell r="D14">
            <v>5</v>
          </cell>
          <cell r="E14">
            <v>71</v>
          </cell>
          <cell r="F14" t="str">
            <v>CONSUMI SPECIFICI                                           </v>
          </cell>
          <cell r="G14">
            <v>0</v>
          </cell>
          <cell r="H14">
            <v>32349.05</v>
          </cell>
          <cell r="I14">
            <v>294380.44</v>
          </cell>
          <cell r="J14">
            <v>294380.44</v>
          </cell>
          <cell r="K14">
            <v>232405.61</v>
          </cell>
        </row>
        <row r="15">
          <cell r="A15" t="str">
            <v>CDG6 </v>
          </cell>
          <cell r="B15">
            <v>64</v>
          </cell>
          <cell r="C15" t="str">
            <v>Formazione e sviluppo -C.U.F.                               </v>
          </cell>
          <cell r="D15">
            <v>5</v>
          </cell>
          <cell r="E15">
            <v>71</v>
          </cell>
          <cell r="F15" t="str">
            <v>CONSUMI SPECIFICI                                           </v>
          </cell>
          <cell r="G15">
            <v>0</v>
          </cell>
          <cell r="H15">
            <v>26253.22</v>
          </cell>
          <cell r="I15">
            <v>366684.4</v>
          </cell>
          <cell r="J15">
            <v>366684.4</v>
          </cell>
          <cell r="K15">
            <v>433823.8</v>
          </cell>
        </row>
        <row r="16">
          <cell r="A16" t="str">
            <v>CDG6 </v>
          </cell>
          <cell r="B16">
            <v>62</v>
          </cell>
          <cell r="C16" t="str">
            <v>Personale e organizzazione non gestiti                      </v>
          </cell>
          <cell r="D16">
            <v>5</v>
          </cell>
          <cell r="E16">
            <v>71</v>
          </cell>
          <cell r="F16" t="str">
            <v>CONSUMI SPECIFICI                                           </v>
          </cell>
          <cell r="G16">
            <v>0</v>
          </cell>
          <cell r="H16">
            <v>2151.9</v>
          </cell>
          <cell r="I16">
            <v>20658.28</v>
          </cell>
          <cell r="J16">
            <v>20658.28</v>
          </cell>
          <cell r="K16">
            <v>20658.28</v>
          </cell>
        </row>
        <row r="17">
          <cell r="A17" t="str">
            <v>CDG6 </v>
          </cell>
          <cell r="B17">
            <v>33</v>
          </cell>
          <cell r="C17" t="str">
            <v>Direzione, amm./altro - Aff. gen. e ist.                    </v>
          </cell>
          <cell r="D17">
            <v>5</v>
          </cell>
          <cell r="E17">
            <v>71</v>
          </cell>
          <cell r="F17" t="str">
            <v>CONSUMI SPECIFICI                                           </v>
          </cell>
          <cell r="G17">
            <v>0</v>
          </cell>
          <cell r="H17">
            <v>6994.89</v>
          </cell>
          <cell r="I17">
            <v>74369.8</v>
          </cell>
          <cell r="J17">
            <v>51645.68</v>
          </cell>
          <cell r="K17">
            <v>51645.68</v>
          </cell>
        </row>
        <row r="18">
          <cell r="A18" t="str">
            <v>CDG6 </v>
          </cell>
          <cell r="B18">
            <v>252</v>
          </cell>
          <cell r="C18" t="str">
            <v>Segreteria generale                                         </v>
          </cell>
          <cell r="D18">
            <v>5</v>
          </cell>
          <cell r="E18">
            <v>71</v>
          </cell>
          <cell r="F18" t="str">
            <v>CONSUMI SPECIFICI                                           </v>
          </cell>
          <cell r="G18">
            <v>0</v>
          </cell>
          <cell r="H18">
            <v>12911.42</v>
          </cell>
          <cell r="I18">
            <v>250481.59</v>
          </cell>
          <cell r="J18">
            <v>825298.13</v>
          </cell>
          <cell r="K18">
            <v>802057.57</v>
          </cell>
        </row>
        <row r="19">
          <cell r="A19" t="str">
            <v>CDG6 </v>
          </cell>
          <cell r="B19">
            <v>2</v>
          </cell>
          <cell r="C19" t="str">
            <v>Direzione Generale                                          </v>
          </cell>
          <cell r="D19">
            <v>5</v>
          </cell>
          <cell r="E19">
            <v>71</v>
          </cell>
          <cell r="F19" t="str">
            <v>CONSUMI SPECIFICI                                           </v>
          </cell>
          <cell r="G19">
            <v>0</v>
          </cell>
          <cell r="H19">
            <v>150.63</v>
          </cell>
          <cell r="I19">
            <v>2065.83</v>
          </cell>
          <cell r="J19">
            <v>2065.83</v>
          </cell>
          <cell r="K19">
            <v>2065.83</v>
          </cell>
        </row>
        <row r="20">
          <cell r="A20" t="str">
            <v>CDG6 </v>
          </cell>
          <cell r="B20">
            <v>65</v>
          </cell>
          <cell r="C20" t="str">
            <v>Normativa amministrazione e bilancio                        </v>
          </cell>
          <cell r="D20">
            <v>5</v>
          </cell>
          <cell r="E20">
            <v>71</v>
          </cell>
          <cell r="F20" t="str">
            <v>CONSUMI SPECIFICI                                           </v>
          </cell>
          <cell r="G20">
            <v>0</v>
          </cell>
          <cell r="H20">
            <v>24101.33</v>
          </cell>
          <cell r="I20">
            <v>234987.88</v>
          </cell>
          <cell r="J20">
            <v>234987.88</v>
          </cell>
          <cell r="K20">
            <v>260810.73</v>
          </cell>
        </row>
        <row r="21">
          <cell r="A21" t="str">
            <v>CDG6 </v>
          </cell>
          <cell r="B21">
            <v>63</v>
          </cell>
          <cell r="C21" t="str">
            <v>Relazioni sindacali e organizzazione                        </v>
          </cell>
          <cell r="D21">
            <v>5</v>
          </cell>
          <cell r="E21">
            <v>71</v>
          </cell>
          <cell r="F21" t="str">
            <v>CONSUMI SPECIFICI                                           </v>
          </cell>
          <cell r="G21">
            <v>0</v>
          </cell>
          <cell r="H21">
            <v>7919.01</v>
          </cell>
          <cell r="I21">
            <v>61974.83</v>
          </cell>
          <cell r="J21">
            <v>61974.83</v>
          </cell>
          <cell r="K21">
            <v>41316.55</v>
          </cell>
        </row>
        <row r="22">
          <cell r="A22" t="str">
            <v>CDG6 </v>
          </cell>
          <cell r="B22">
            <v>34</v>
          </cell>
          <cell r="C22" t="str">
            <v>Protocollo archivio                                         </v>
          </cell>
          <cell r="D22">
            <v>5</v>
          </cell>
          <cell r="E22">
            <v>71</v>
          </cell>
          <cell r="F22" t="str">
            <v>CONSUMI SPECIFICI                                           </v>
          </cell>
          <cell r="G22">
            <v>0</v>
          </cell>
          <cell r="H22">
            <v>5438.39</v>
          </cell>
          <cell r="I22">
            <v>23240.56</v>
          </cell>
          <cell r="J22">
            <v>23240.56</v>
          </cell>
          <cell r="K22">
            <v>23240.56</v>
          </cell>
        </row>
        <row r="23">
          <cell r="A23" t="str">
            <v>CDG6 </v>
          </cell>
          <cell r="B23">
            <v>66</v>
          </cell>
          <cell r="C23" t="str">
            <v>Direzione, amm./altro - Pianif. e contr.                    </v>
          </cell>
          <cell r="D23">
            <v>5</v>
          </cell>
          <cell r="E23">
            <v>71</v>
          </cell>
          <cell r="F23" t="str">
            <v>CONSUMI SPECIFICI                                           </v>
          </cell>
          <cell r="G23">
            <v>0</v>
          </cell>
          <cell r="H23">
            <v>4519</v>
          </cell>
          <cell r="I23">
            <v>74886.26</v>
          </cell>
          <cell r="J23">
            <v>147190.22</v>
          </cell>
          <cell r="K23">
            <v>121367.37</v>
          </cell>
        </row>
        <row r="24">
          <cell r="A24" t="str">
            <v>CDG6 </v>
          </cell>
          <cell r="B24">
            <v>39</v>
          </cell>
          <cell r="C24" t="str">
            <v>Direzione, amm., CDG/altro - Acquisti                       </v>
          </cell>
          <cell r="D24">
            <v>5</v>
          </cell>
          <cell r="E24">
            <v>71</v>
          </cell>
          <cell r="F24" t="str">
            <v>CONSUMI SPECIFICI                                           </v>
          </cell>
          <cell r="G24">
            <v>0</v>
          </cell>
          <cell r="H24">
            <v>1721.52</v>
          </cell>
          <cell r="I24">
            <v>20658.28</v>
          </cell>
          <cell r="J24">
            <v>20700</v>
          </cell>
          <cell r="K24">
            <v>20658.28</v>
          </cell>
        </row>
        <row r="25">
          <cell r="A25" t="str">
            <v>CDG6 </v>
          </cell>
          <cell r="B25">
            <v>43</v>
          </cell>
          <cell r="C25" t="str">
            <v>Coordinamento entrate                                       </v>
          </cell>
          <cell r="D25">
            <v>5</v>
          </cell>
          <cell r="E25">
            <v>71</v>
          </cell>
          <cell r="F25" t="str">
            <v>CONSUMI SPECIFICI                                           </v>
          </cell>
          <cell r="G25">
            <v>0</v>
          </cell>
          <cell r="H25">
            <v>62851.76</v>
          </cell>
          <cell r="I25">
            <v>928135.02</v>
          </cell>
          <cell r="J25">
            <v>1003604.87</v>
          </cell>
          <cell r="K25">
            <v>1003604.86</v>
          </cell>
        </row>
        <row r="26">
          <cell r="A26" t="str">
            <v>CDG6 </v>
          </cell>
          <cell r="B26">
            <v>44</v>
          </cell>
          <cell r="C26" t="str">
            <v>Patrimonio                                                  </v>
          </cell>
          <cell r="D26">
            <v>5</v>
          </cell>
          <cell r="E26">
            <v>71</v>
          </cell>
          <cell r="F26" t="str">
            <v>CONSUMI SPECIFICI                                           </v>
          </cell>
          <cell r="G26">
            <v>0</v>
          </cell>
          <cell r="H26">
            <v>13277.24</v>
          </cell>
          <cell r="I26">
            <v>152354.78</v>
          </cell>
          <cell r="J26">
            <v>175595.35</v>
          </cell>
          <cell r="K26">
            <v>123949.66</v>
          </cell>
        </row>
        <row r="27">
          <cell r="A27" t="str">
            <v>CDG6 </v>
          </cell>
          <cell r="B27">
            <v>58</v>
          </cell>
          <cell r="C27" t="str">
            <v>Manutenzione edilizia e servizio calore                     </v>
          </cell>
          <cell r="D27">
            <v>5</v>
          </cell>
          <cell r="E27">
            <v>71</v>
          </cell>
          <cell r="F27" t="str">
            <v>CONSUMI SPECIFICI                                           </v>
          </cell>
          <cell r="G27">
            <v>0</v>
          </cell>
          <cell r="H27">
            <v>418507.5</v>
          </cell>
          <cell r="I27">
            <v>3870328</v>
          </cell>
          <cell r="J27">
            <v>4157478.05</v>
          </cell>
          <cell r="K27">
            <v>4131655.18</v>
          </cell>
        </row>
        <row r="28">
          <cell r="A28" t="str">
            <v>CDG6 </v>
          </cell>
          <cell r="B28">
            <v>45</v>
          </cell>
          <cell r="C28" t="str">
            <v>Direzione, amm., CDG, qualità/altro LLPP                    </v>
          </cell>
          <cell r="D28">
            <v>5</v>
          </cell>
          <cell r="E28">
            <v>71</v>
          </cell>
          <cell r="F28" t="str">
            <v>CONSUMI SPECIFICI                                           </v>
          </cell>
          <cell r="G28">
            <v>0</v>
          </cell>
          <cell r="H28">
            <v>133835.5</v>
          </cell>
          <cell r="I28">
            <v>1499002.71</v>
          </cell>
          <cell r="J28">
            <v>2667499.86</v>
          </cell>
          <cell r="K28">
            <v>1376357.62</v>
          </cell>
        </row>
        <row r="29">
          <cell r="A29" t="str">
            <v>CDG6 </v>
          </cell>
          <cell r="B29">
            <v>140</v>
          </cell>
          <cell r="C29" t="str">
            <v>Direzione, amm.,CDG/altro - demografici                     </v>
          </cell>
          <cell r="D29">
            <v>5</v>
          </cell>
          <cell r="E29">
            <v>71</v>
          </cell>
          <cell r="F29" t="str">
            <v>CONSUMI SPECIFICI                                           </v>
          </cell>
          <cell r="G29">
            <v>0</v>
          </cell>
          <cell r="H29">
            <v>24338.04</v>
          </cell>
          <cell r="I29">
            <v>302437.16</v>
          </cell>
          <cell r="J29">
            <v>480304.92</v>
          </cell>
          <cell r="K29">
            <v>286633.58</v>
          </cell>
        </row>
        <row r="30">
          <cell r="A30" t="str">
            <v>CDG6 </v>
          </cell>
          <cell r="B30">
            <v>143</v>
          </cell>
          <cell r="C30" t="str">
            <v>Elettorale                                                  </v>
          </cell>
          <cell r="D30">
            <v>5</v>
          </cell>
          <cell r="E30">
            <v>71</v>
          </cell>
          <cell r="F30" t="str">
            <v>CONSUMI SPECIFICI                                           </v>
          </cell>
          <cell r="G30">
            <v>0</v>
          </cell>
          <cell r="H30">
            <v>1248.1</v>
          </cell>
          <cell r="I30">
            <v>12911.42</v>
          </cell>
          <cell r="J30">
            <v>9296.22</v>
          </cell>
          <cell r="K30">
            <v>9296.22</v>
          </cell>
        </row>
        <row r="31">
          <cell r="A31" t="str">
            <v>CDG6 </v>
          </cell>
          <cell r="B31">
            <v>141</v>
          </cell>
          <cell r="C31" t="str">
            <v>Stato civile                                                </v>
          </cell>
          <cell r="D31">
            <v>5</v>
          </cell>
          <cell r="E31">
            <v>71</v>
          </cell>
          <cell r="F31" t="str">
            <v>CONSUMI SPECIFICI                                           </v>
          </cell>
          <cell r="G31">
            <v>0</v>
          </cell>
          <cell r="H31">
            <v>24488.66</v>
          </cell>
          <cell r="I31">
            <v>302437.16</v>
          </cell>
          <cell r="J31">
            <v>303263.49</v>
          </cell>
          <cell r="K31">
            <v>199972.11</v>
          </cell>
        </row>
        <row r="32">
          <cell r="A32" t="str">
            <v>CDG6 </v>
          </cell>
          <cell r="B32">
            <v>69</v>
          </cell>
          <cell r="C32" t="str">
            <v>Direzione, amm., CDG/altro - sist. info.                    </v>
          </cell>
          <cell r="D32">
            <v>5</v>
          </cell>
          <cell r="E32">
            <v>71</v>
          </cell>
          <cell r="F32" t="str">
            <v>CONSUMI SPECIFICI                                           </v>
          </cell>
          <cell r="G32">
            <v>0</v>
          </cell>
          <cell r="H32">
            <v>4303.81</v>
          </cell>
          <cell r="I32">
            <v>51645.69</v>
          </cell>
          <cell r="J32">
            <v>51645.69</v>
          </cell>
          <cell r="K32">
            <v>51645.69</v>
          </cell>
        </row>
        <row r="33">
          <cell r="A33" t="str">
            <v>CDG6 </v>
          </cell>
          <cell r="B33">
            <v>8</v>
          </cell>
          <cell r="C33" t="str">
            <v>Qualita'                                                    </v>
          </cell>
          <cell r="D33">
            <v>5</v>
          </cell>
          <cell r="E33">
            <v>71</v>
          </cell>
          <cell r="F33" t="str">
            <v>CONSUMI SPECIFICI                                           </v>
          </cell>
          <cell r="G33">
            <v>0</v>
          </cell>
          <cell r="H33">
            <v>16718.87</v>
          </cell>
          <cell r="I33">
            <v>73853.34</v>
          </cell>
          <cell r="J33">
            <v>73853.34</v>
          </cell>
          <cell r="K33">
            <v>48030.5</v>
          </cell>
        </row>
        <row r="34">
          <cell r="A34" t="str">
            <v>CDG6 </v>
          </cell>
          <cell r="B34">
            <v>9</v>
          </cell>
          <cell r="C34" t="str">
            <v>Legale                                                      </v>
          </cell>
          <cell r="D34">
            <v>5</v>
          </cell>
          <cell r="E34">
            <v>71</v>
          </cell>
          <cell r="F34" t="str">
            <v>CONSUMI SPECIFICI                                           </v>
          </cell>
          <cell r="G34">
            <v>0</v>
          </cell>
          <cell r="H34">
            <v>26287.17</v>
          </cell>
          <cell r="I34">
            <v>281469.01</v>
          </cell>
          <cell r="J34">
            <v>281469.01</v>
          </cell>
          <cell r="K34">
            <v>255646.16</v>
          </cell>
        </row>
        <row r="35">
          <cell r="A35" t="str">
            <v>CDG6 </v>
          </cell>
          <cell r="B35">
            <v>70</v>
          </cell>
          <cell r="C35" t="str">
            <v>Operazioni e qualità                                        </v>
          </cell>
          <cell r="D35">
            <v>5</v>
          </cell>
          <cell r="E35">
            <v>71</v>
          </cell>
          <cell r="F35" t="str">
            <v>CONSUMI SPECIFICI                                           </v>
          </cell>
          <cell r="G35">
            <v>0</v>
          </cell>
          <cell r="H35">
            <v>177281.95</v>
          </cell>
          <cell r="I35">
            <v>2065827.6</v>
          </cell>
          <cell r="J35">
            <v>2117473.29</v>
          </cell>
          <cell r="K35">
            <v>1859244.84</v>
          </cell>
        </row>
        <row r="36">
          <cell r="A36" t="str">
            <v>CDG6 </v>
          </cell>
          <cell r="B36">
            <v>71</v>
          </cell>
          <cell r="C36" t="str">
            <v>Progettazione e sviluppo                                    </v>
          </cell>
          <cell r="D36">
            <v>5</v>
          </cell>
          <cell r="E36">
            <v>71</v>
          </cell>
          <cell r="F36" t="str">
            <v>CONSUMI SPECIFICI                                           </v>
          </cell>
          <cell r="G36">
            <v>0</v>
          </cell>
          <cell r="H36">
            <v>415362.4</v>
          </cell>
          <cell r="I36">
            <v>5009631.92</v>
          </cell>
          <cell r="J36">
            <v>6533179.77</v>
          </cell>
          <cell r="K36">
            <v>4880517.7</v>
          </cell>
        </row>
        <row r="37">
          <cell r="A37" t="str">
            <v>CDG6 </v>
          </cell>
          <cell r="B37">
            <v>51</v>
          </cell>
          <cell r="C37" t="str">
            <v>Impianti tecnologici                                        </v>
          </cell>
          <cell r="D37">
            <v>5</v>
          </cell>
          <cell r="E37">
            <v>71</v>
          </cell>
          <cell r="F37" t="str">
            <v>CONSUMI SPECIFICI                                           </v>
          </cell>
          <cell r="G37">
            <v>0</v>
          </cell>
          <cell r="H37">
            <v>37658.32</v>
          </cell>
          <cell r="I37">
            <v>344476.75</v>
          </cell>
          <cell r="J37">
            <v>353772.98</v>
          </cell>
          <cell r="K37">
            <v>353772.98</v>
          </cell>
        </row>
        <row r="38">
          <cell r="A38" t="str">
            <v>CDG6 </v>
          </cell>
          <cell r="B38">
            <v>135</v>
          </cell>
          <cell r="C38" t="str">
            <v>Atti amministrativi                                         </v>
          </cell>
          <cell r="D38">
            <v>5</v>
          </cell>
          <cell r="E38">
            <v>71</v>
          </cell>
          <cell r="F38" t="str">
            <v>CONSUMI SPECIFICI                                           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CDG6 </v>
          </cell>
          <cell r="B39">
            <v>102</v>
          </cell>
          <cell r="C39" t="str">
            <v>Direzione, amm.,CDG/altro - polizia mun.                    </v>
          </cell>
          <cell r="D39">
            <v>5</v>
          </cell>
          <cell r="E39">
            <v>71</v>
          </cell>
          <cell r="F39" t="str">
            <v>CONSUMI SPECIFICI                                           </v>
          </cell>
          <cell r="G39">
            <v>0</v>
          </cell>
          <cell r="H39">
            <v>48503.91</v>
          </cell>
          <cell r="I39">
            <v>573267.16</v>
          </cell>
          <cell r="J39">
            <v>694633.55</v>
          </cell>
          <cell r="K39">
            <v>694634.52</v>
          </cell>
        </row>
        <row r="40">
          <cell r="A40" t="str">
            <v>CDG6 </v>
          </cell>
          <cell r="B40">
            <v>107</v>
          </cell>
          <cell r="C40" t="str">
            <v>Servizio grande viabilità                                   </v>
          </cell>
          <cell r="D40">
            <v>5</v>
          </cell>
          <cell r="E40">
            <v>71</v>
          </cell>
          <cell r="F40" t="str">
            <v>CONSUMI SPECIFICI                                           </v>
          </cell>
          <cell r="G40">
            <v>0</v>
          </cell>
          <cell r="H40">
            <v>38276.63</v>
          </cell>
          <cell r="I40">
            <v>472558.06</v>
          </cell>
          <cell r="J40">
            <v>472558.08</v>
          </cell>
          <cell r="K40">
            <v>420912.37</v>
          </cell>
        </row>
        <row r="41">
          <cell r="A41" t="str">
            <v>CDG6 </v>
          </cell>
          <cell r="B41">
            <v>106</v>
          </cell>
          <cell r="C41" t="str">
            <v>Servizio violazioni amministrative                          </v>
          </cell>
          <cell r="D41">
            <v>5</v>
          </cell>
          <cell r="E41">
            <v>71</v>
          </cell>
          <cell r="F41" t="str">
            <v>CONSUMI SPECIFICI                                           </v>
          </cell>
          <cell r="G41">
            <v>0</v>
          </cell>
          <cell r="H41">
            <v>96862.92</v>
          </cell>
          <cell r="I41">
            <v>1730130.61</v>
          </cell>
          <cell r="J41">
            <v>1730130.61</v>
          </cell>
          <cell r="K41">
            <v>697216.81</v>
          </cell>
        </row>
        <row r="42">
          <cell r="A42" t="str">
            <v>CDG6 </v>
          </cell>
          <cell r="B42">
            <v>90</v>
          </cell>
          <cell r="C42" t="str">
            <v>Servizi all'infanzia                                        </v>
          </cell>
          <cell r="D42">
            <v>5</v>
          </cell>
          <cell r="E42">
            <v>71</v>
          </cell>
          <cell r="F42" t="str">
            <v>CONSUMI SPECIFICI                                           </v>
          </cell>
          <cell r="G42">
            <v>0</v>
          </cell>
          <cell r="H42">
            <v>49656.04</v>
          </cell>
          <cell r="I42">
            <v>750974.3</v>
          </cell>
          <cell r="J42">
            <v>855769.09</v>
          </cell>
          <cell r="K42">
            <v>736983.99</v>
          </cell>
        </row>
        <row r="43">
          <cell r="A43" t="str">
            <v>CDG6 </v>
          </cell>
          <cell r="B43">
            <v>260</v>
          </cell>
          <cell r="C43" t="str">
            <v>Diritto allo studio/handicap/rete scol.                     </v>
          </cell>
          <cell r="D43">
            <v>5</v>
          </cell>
          <cell r="E43">
            <v>71</v>
          </cell>
          <cell r="F43" t="str">
            <v>CONSUMI SPECIFICI                                           </v>
          </cell>
          <cell r="G43">
            <v>0</v>
          </cell>
          <cell r="H43">
            <v>38519.09</v>
          </cell>
          <cell r="I43">
            <v>825848.66</v>
          </cell>
          <cell r="J43">
            <v>1263770.02</v>
          </cell>
          <cell r="K43">
            <v>1232782.6</v>
          </cell>
        </row>
        <row r="44">
          <cell r="A44" t="str">
            <v>CDG6 </v>
          </cell>
          <cell r="B44">
            <v>95</v>
          </cell>
          <cell r="C44" t="str">
            <v>Laboratori e aule didattiche centrali                       </v>
          </cell>
          <cell r="D44">
            <v>5</v>
          </cell>
          <cell r="E44">
            <v>71</v>
          </cell>
          <cell r="F44" t="str">
            <v>CONSUMI SPECIFICI                                           </v>
          </cell>
          <cell r="G44">
            <v>0</v>
          </cell>
          <cell r="H44">
            <v>16440.54</v>
          </cell>
          <cell r="I44">
            <v>218461.27</v>
          </cell>
          <cell r="J44">
            <v>208132.13</v>
          </cell>
          <cell r="K44">
            <v>196253.62</v>
          </cell>
        </row>
        <row r="45">
          <cell r="A45" t="str">
            <v>CDG6 </v>
          </cell>
          <cell r="B45">
            <v>92</v>
          </cell>
          <cell r="C45" t="str">
            <v>Istituti Aldini Valeriani e Sirani                          </v>
          </cell>
          <cell r="D45">
            <v>5</v>
          </cell>
          <cell r="E45">
            <v>71</v>
          </cell>
          <cell r="F45" t="str">
            <v>CONSUMI SPECIFICI                                           </v>
          </cell>
          <cell r="G45">
            <v>0</v>
          </cell>
          <cell r="H45">
            <v>40914.06</v>
          </cell>
          <cell r="I45">
            <v>470298.55</v>
          </cell>
          <cell r="J45">
            <v>489407.46</v>
          </cell>
          <cell r="K45">
            <v>473913.76</v>
          </cell>
        </row>
        <row r="46">
          <cell r="A46" t="str">
            <v>CDG6 </v>
          </cell>
          <cell r="B46">
            <v>96</v>
          </cell>
          <cell r="C46" t="str">
            <v>Formazione professionale                                    </v>
          </cell>
          <cell r="D46">
            <v>5</v>
          </cell>
          <cell r="E46">
            <v>71</v>
          </cell>
          <cell r="F46" t="str">
            <v>CONSUMI SPECIFICI                                           </v>
          </cell>
          <cell r="G46">
            <v>0</v>
          </cell>
          <cell r="H46">
            <v>45189.97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CDG6 </v>
          </cell>
          <cell r="B47">
            <v>91</v>
          </cell>
          <cell r="C47" t="str">
            <v>Scambi internazionali e istituz. estive                     </v>
          </cell>
          <cell r="D47">
            <v>5</v>
          </cell>
          <cell r="E47">
            <v>71</v>
          </cell>
          <cell r="F47" t="str">
            <v>CONSUMI SPECIFICI                                           </v>
          </cell>
          <cell r="G47">
            <v>0</v>
          </cell>
          <cell r="H47">
            <v>82202.72</v>
          </cell>
          <cell r="I47">
            <v>973521.26</v>
          </cell>
          <cell r="J47">
            <v>911546.43</v>
          </cell>
          <cell r="K47">
            <v>911546.43</v>
          </cell>
        </row>
        <row r="48">
          <cell r="A48" t="str">
            <v>CDG6 </v>
          </cell>
          <cell r="B48">
            <v>88</v>
          </cell>
          <cell r="C48" t="str">
            <v>Direzione,amm.,CDG/altro - istr. e sport                    </v>
          </cell>
          <cell r="D48">
            <v>5</v>
          </cell>
          <cell r="E48">
            <v>71</v>
          </cell>
          <cell r="F48" t="str">
            <v>CONSUMI SPECIFICI                                           </v>
          </cell>
          <cell r="G48">
            <v>0</v>
          </cell>
          <cell r="H48">
            <v>19474.72</v>
          </cell>
          <cell r="I48">
            <v>457064.34</v>
          </cell>
          <cell r="J48">
            <v>315038.7</v>
          </cell>
          <cell r="K48">
            <v>291798.14</v>
          </cell>
        </row>
        <row r="49">
          <cell r="A49" t="str">
            <v>CDG6 </v>
          </cell>
          <cell r="B49">
            <v>94</v>
          </cell>
          <cell r="C49" t="str">
            <v>Politiche giovanili                                         </v>
          </cell>
          <cell r="D49">
            <v>5</v>
          </cell>
          <cell r="E49">
            <v>71</v>
          </cell>
          <cell r="F49" t="str">
            <v>CONSUMI SPECIFICI                                           </v>
          </cell>
          <cell r="G49">
            <v>0</v>
          </cell>
          <cell r="H49">
            <v>26339.31</v>
          </cell>
          <cell r="I49">
            <v>211747.32</v>
          </cell>
          <cell r="J49">
            <v>232405.6</v>
          </cell>
          <cell r="K49">
            <v>180759.91</v>
          </cell>
        </row>
        <row r="50">
          <cell r="A50" t="str">
            <v>CDG6 </v>
          </cell>
          <cell r="B50">
            <v>77</v>
          </cell>
          <cell r="C50" t="str">
            <v>Attività culturali gestione sale                            </v>
          </cell>
          <cell r="D50">
            <v>5</v>
          </cell>
          <cell r="E50">
            <v>71</v>
          </cell>
          <cell r="F50" t="str">
            <v>CONSUMI SPECIFICI                                           </v>
          </cell>
          <cell r="G50">
            <v>0</v>
          </cell>
          <cell r="H50">
            <v>73160.57</v>
          </cell>
          <cell r="I50">
            <v>520846.78</v>
          </cell>
          <cell r="J50">
            <v>1574289.73</v>
          </cell>
          <cell r="K50">
            <v>722135.86</v>
          </cell>
        </row>
        <row r="51">
          <cell r="A51" t="str">
            <v>CDG6 </v>
          </cell>
          <cell r="B51">
            <v>79</v>
          </cell>
          <cell r="C51" t="str">
            <v>Biblioteca dell'Archiginnasio                               </v>
          </cell>
          <cell r="D51">
            <v>5</v>
          </cell>
          <cell r="E51">
            <v>71</v>
          </cell>
          <cell r="F51" t="str">
            <v>CONSUMI SPECIFICI                                           </v>
          </cell>
          <cell r="G51">
            <v>0</v>
          </cell>
          <cell r="H51">
            <v>34994.26</v>
          </cell>
          <cell r="I51">
            <v>581530.47</v>
          </cell>
          <cell r="J51">
            <v>758675.18</v>
          </cell>
          <cell r="K51">
            <v>681206.65</v>
          </cell>
        </row>
        <row r="52">
          <cell r="A52" t="str">
            <v>CDG6 </v>
          </cell>
          <cell r="B52">
            <v>85</v>
          </cell>
          <cell r="C52" t="str">
            <v>Museo del Patrimonio industriale                            </v>
          </cell>
          <cell r="D52">
            <v>5</v>
          </cell>
          <cell r="E52">
            <v>71</v>
          </cell>
          <cell r="F52" t="str">
            <v>CONSUMI SPECIFICI                                           </v>
          </cell>
          <cell r="G52">
            <v>0</v>
          </cell>
          <cell r="H52">
            <v>14675.98</v>
          </cell>
          <cell r="I52">
            <v>287150.04</v>
          </cell>
          <cell r="J52">
            <v>184375.11</v>
          </cell>
          <cell r="K52">
            <v>184375.11</v>
          </cell>
        </row>
        <row r="53">
          <cell r="A53" t="str">
            <v>CDG6 </v>
          </cell>
          <cell r="B53">
            <v>82</v>
          </cell>
          <cell r="C53" t="str">
            <v>Musei Civici di arte antica                                 </v>
          </cell>
          <cell r="D53">
            <v>5</v>
          </cell>
          <cell r="E53">
            <v>71</v>
          </cell>
          <cell r="F53" t="str">
            <v>CONSUMI SPECIFICI                                           </v>
          </cell>
          <cell r="G53">
            <v>0</v>
          </cell>
          <cell r="H53">
            <v>45159.85</v>
          </cell>
          <cell r="I53">
            <v>565158.78</v>
          </cell>
          <cell r="J53">
            <v>710128.23</v>
          </cell>
          <cell r="K53">
            <v>635241.99</v>
          </cell>
        </row>
        <row r="54">
          <cell r="A54" t="str">
            <v>CDG6 </v>
          </cell>
          <cell r="B54">
            <v>80</v>
          </cell>
          <cell r="C54" t="str">
            <v>Sala Borsa/CentroDoc.Don.-Bibl.Naz.Don.                     </v>
          </cell>
          <cell r="D54">
            <v>5</v>
          </cell>
          <cell r="E54">
            <v>71</v>
          </cell>
          <cell r="F54" t="str">
            <v>CONSUMI SPECIFICI                                           </v>
          </cell>
          <cell r="G54">
            <v>0</v>
          </cell>
          <cell r="H54">
            <v>55971.02</v>
          </cell>
          <cell r="I54">
            <v>986949.12</v>
          </cell>
          <cell r="J54">
            <v>1422838.76</v>
          </cell>
          <cell r="K54">
            <v>1143952.04</v>
          </cell>
        </row>
        <row r="55">
          <cell r="A55" t="str">
            <v>CDG6 </v>
          </cell>
          <cell r="B55">
            <v>81</v>
          </cell>
          <cell r="C55" t="str">
            <v>Museo Archelogico                                           </v>
          </cell>
          <cell r="D55">
            <v>5</v>
          </cell>
          <cell r="E55">
            <v>71</v>
          </cell>
          <cell r="F55" t="str">
            <v>CONSUMI SPECIFICI                                           </v>
          </cell>
          <cell r="G55">
            <v>0</v>
          </cell>
          <cell r="H55">
            <v>24359.55</v>
          </cell>
          <cell r="I55">
            <v>261327.2</v>
          </cell>
          <cell r="J55">
            <v>543829.11</v>
          </cell>
          <cell r="K55">
            <v>445702.3</v>
          </cell>
        </row>
        <row r="56">
          <cell r="A56" t="str">
            <v>CDG6 </v>
          </cell>
          <cell r="B56">
            <v>254</v>
          </cell>
          <cell r="C56" t="str">
            <v>Prog.nuove ist.mus.:m.resistenza/Certosa                    </v>
          </cell>
          <cell r="D56">
            <v>5</v>
          </cell>
          <cell r="E56">
            <v>71</v>
          </cell>
          <cell r="F56" t="str">
            <v>CONSUMI SPECIFICI                                           </v>
          </cell>
          <cell r="G56">
            <v>0</v>
          </cell>
          <cell r="H56">
            <v>0</v>
          </cell>
          <cell r="I56">
            <v>36151.98</v>
          </cell>
          <cell r="J56">
            <v>531950.61</v>
          </cell>
          <cell r="K56">
            <v>214329.61</v>
          </cell>
        </row>
        <row r="57">
          <cell r="A57" t="str">
            <v>CDG6 </v>
          </cell>
          <cell r="B57">
            <v>83</v>
          </cell>
          <cell r="C57" t="str">
            <v>Istituzione Cineteca                                        </v>
          </cell>
          <cell r="D57">
            <v>5</v>
          </cell>
          <cell r="E57">
            <v>71</v>
          </cell>
          <cell r="F57" t="str">
            <v>CONSUMI SPECIFICI                                           </v>
          </cell>
          <cell r="G57">
            <v>0</v>
          </cell>
          <cell r="H57">
            <v>40929.21</v>
          </cell>
          <cell r="I57">
            <v>496315.08</v>
          </cell>
          <cell r="J57">
            <v>491150.51</v>
          </cell>
          <cell r="K57">
            <v>491150.51</v>
          </cell>
        </row>
        <row r="58">
          <cell r="A58" t="str">
            <v>CDG6 </v>
          </cell>
          <cell r="B58">
            <v>76</v>
          </cell>
          <cell r="C58" t="str">
            <v>Direzione, amm.,CDG/altro - Cultura                         </v>
          </cell>
          <cell r="D58">
            <v>5</v>
          </cell>
          <cell r="E58">
            <v>71</v>
          </cell>
          <cell r="F58" t="str">
            <v>CONSUMI SPECIFICI                                           </v>
          </cell>
          <cell r="G58">
            <v>0</v>
          </cell>
          <cell r="H58">
            <v>53899.7</v>
          </cell>
          <cell r="I58">
            <v>357465.66</v>
          </cell>
          <cell r="J58">
            <v>214701.46</v>
          </cell>
          <cell r="K58">
            <v>214701.46</v>
          </cell>
        </row>
        <row r="59">
          <cell r="A59" t="str">
            <v>CDG6 </v>
          </cell>
          <cell r="B59">
            <v>84</v>
          </cell>
          <cell r="C59" t="str">
            <v>Istituzione Galleria d'arte moderna                         </v>
          </cell>
          <cell r="D59">
            <v>5</v>
          </cell>
          <cell r="E59">
            <v>71</v>
          </cell>
          <cell r="F59" t="str">
            <v>CONSUMI SPECIFICI                                           </v>
          </cell>
          <cell r="G59">
            <v>0</v>
          </cell>
          <cell r="H59">
            <v>94683.76</v>
          </cell>
          <cell r="I59">
            <v>1133622.89</v>
          </cell>
          <cell r="J59">
            <v>1133622.89</v>
          </cell>
          <cell r="K59">
            <v>1133622.89</v>
          </cell>
        </row>
        <row r="60">
          <cell r="A60" t="str">
            <v>CDG6 </v>
          </cell>
          <cell r="B60">
            <v>86</v>
          </cell>
          <cell r="C60" t="str">
            <v>Enti culturali non gestiti                                  </v>
          </cell>
          <cell r="D60">
            <v>5</v>
          </cell>
          <cell r="E60">
            <v>71</v>
          </cell>
          <cell r="F60" t="str">
            <v>CONSUMI SPECIFICI                                           </v>
          </cell>
          <cell r="G60">
            <v>0</v>
          </cell>
          <cell r="H60">
            <v>11794.59</v>
          </cell>
          <cell r="I60">
            <v>212289.61</v>
          </cell>
          <cell r="J60">
            <v>167357.86</v>
          </cell>
          <cell r="K60">
            <v>167357.86</v>
          </cell>
        </row>
        <row r="61">
          <cell r="A61" t="str">
            <v>CDG6 </v>
          </cell>
          <cell r="B61">
            <v>78</v>
          </cell>
          <cell r="C61" t="str">
            <v>Teatri,spettacolo e prom.giovani artisti                    </v>
          </cell>
          <cell r="D61">
            <v>5</v>
          </cell>
          <cell r="E61">
            <v>71</v>
          </cell>
          <cell r="F61" t="str">
            <v>CONSUMI SPECIFICI                                           </v>
          </cell>
          <cell r="G61">
            <v>0</v>
          </cell>
          <cell r="H61">
            <v>254598.05</v>
          </cell>
          <cell r="I61">
            <v>3047575.5</v>
          </cell>
          <cell r="J61">
            <v>3015075.39</v>
          </cell>
          <cell r="K61">
            <v>2669049.27</v>
          </cell>
        </row>
        <row r="62">
          <cell r="A62" t="str">
            <v>CDG6 </v>
          </cell>
          <cell r="B62">
            <v>87</v>
          </cell>
          <cell r="C62" t="str">
            <v>Sistema dei musei ed attività espositive                    </v>
          </cell>
          <cell r="D62">
            <v>5</v>
          </cell>
          <cell r="E62">
            <v>71</v>
          </cell>
          <cell r="F62" t="str">
            <v>CONSUMI SPECIFICI                                           </v>
          </cell>
          <cell r="G62">
            <v>0</v>
          </cell>
          <cell r="H62">
            <v>12911.42</v>
          </cell>
          <cell r="I62">
            <v>154937.07</v>
          </cell>
          <cell r="J62">
            <v>175595.35</v>
          </cell>
          <cell r="K62">
            <v>175595.35</v>
          </cell>
        </row>
        <row r="63">
          <cell r="A63" t="str">
            <v>CDG6 </v>
          </cell>
          <cell r="B63">
            <v>204</v>
          </cell>
          <cell r="C63" t="str">
            <v>Cultura/giovani/sport - Q. San Donato                       </v>
          </cell>
          <cell r="D63">
            <v>5</v>
          </cell>
          <cell r="E63">
            <v>71</v>
          </cell>
          <cell r="F63" t="str">
            <v>CONSUMI SPECIFICI                                           </v>
          </cell>
          <cell r="G63">
            <v>0</v>
          </cell>
          <cell r="H63">
            <v>1721.52</v>
          </cell>
          <cell r="I63">
            <v>435118.04</v>
          </cell>
          <cell r="J63">
            <v>0</v>
          </cell>
          <cell r="K63">
            <v>0</v>
          </cell>
        </row>
        <row r="64">
          <cell r="A64" t="str">
            <v>CDG6 </v>
          </cell>
          <cell r="B64">
            <v>167</v>
          </cell>
          <cell r="C64" t="str">
            <v>Servizi socio assistenziali - Q. Navile                     </v>
          </cell>
          <cell r="D64">
            <v>5</v>
          </cell>
          <cell r="E64">
            <v>71</v>
          </cell>
          <cell r="F64" t="str">
            <v>CONSUMI SPECIFICI                                           </v>
          </cell>
          <cell r="G64">
            <v>0</v>
          </cell>
          <cell r="H64">
            <v>0</v>
          </cell>
          <cell r="I64">
            <v>10329.14</v>
          </cell>
          <cell r="J64">
            <v>0</v>
          </cell>
          <cell r="K64">
            <v>0</v>
          </cell>
        </row>
        <row r="65">
          <cell r="A65" t="str">
            <v>CDG6 </v>
          </cell>
          <cell r="B65">
            <v>47</v>
          </cell>
          <cell r="C65" t="str">
            <v>Studi e interventi storico-monumentali                      </v>
          </cell>
          <cell r="D65">
            <v>5</v>
          </cell>
          <cell r="E65">
            <v>71</v>
          </cell>
          <cell r="F65" t="str">
            <v>CONSUMI SPECIFICI                                           </v>
          </cell>
          <cell r="G65">
            <v>0</v>
          </cell>
          <cell r="H65">
            <v>150.63</v>
          </cell>
          <cell r="I65">
            <v>2065.83</v>
          </cell>
          <cell r="J65">
            <v>2065.83</v>
          </cell>
          <cell r="K65">
            <v>2065.83</v>
          </cell>
        </row>
        <row r="66">
          <cell r="A66" t="str">
            <v>CDG6 </v>
          </cell>
          <cell r="B66">
            <v>244</v>
          </cell>
          <cell r="C66" t="str">
            <v>Cultura/giovani/sport - Q. Savena                           </v>
          </cell>
          <cell r="D66">
            <v>5</v>
          </cell>
          <cell r="E66">
            <v>71</v>
          </cell>
          <cell r="F66" t="str">
            <v>CONSUMI SPECIFICI                                           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CDG6 </v>
          </cell>
          <cell r="B67">
            <v>126</v>
          </cell>
          <cell r="C67" t="str">
            <v>Istituz. Serv. per l'immigrazione (ISI)                     </v>
          </cell>
          <cell r="D67">
            <v>5</v>
          </cell>
          <cell r="E67">
            <v>71</v>
          </cell>
          <cell r="F67" t="str">
            <v>CONSUMI SPECIFICI                                           </v>
          </cell>
          <cell r="G67">
            <v>0</v>
          </cell>
          <cell r="H67">
            <v>96835.67</v>
          </cell>
          <cell r="I67">
            <v>1119590.76</v>
          </cell>
          <cell r="J67">
            <v>1734119.43</v>
          </cell>
          <cell r="K67">
            <v>1665829.49</v>
          </cell>
        </row>
        <row r="68">
          <cell r="A68" t="str">
            <v>CDG6 </v>
          </cell>
          <cell r="B68">
            <v>251</v>
          </cell>
          <cell r="C68" t="str">
            <v>Comitato Bologna 2000                                       </v>
          </cell>
          <cell r="D68">
            <v>5</v>
          </cell>
          <cell r="E68">
            <v>71</v>
          </cell>
          <cell r="F68" t="str">
            <v>CONSUMI SPECIFICI                                           </v>
          </cell>
          <cell r="G68">
            <v>0</v>
          </cell>
          <cell r="H68">
            <v>597113.86</v>
          </cell>
          <cell r="I68">
            <v>4648112.09</v>
          </cell>
          <cell r="J68">
            <v>0</v>
          </cell>
          <cell r="K68">
            <v>0</v>
          </cell>
        </row>
        <row r="69">
          <cell r="A69" t="str">
            <v>CDG6 </v>
          </cell>
          <cell r="B69">
            <v>93</v>
          </cell>
          <cell r="C69" t="str">
            <v>Sport                                                       </v>
          </cell>
          <cell r="D69">
            <v>5</v>
          </cell>
          <cell r="E69">
            <v>71</v>
          </cell>
          <cell r="F69" t="str">
            <v>CONSUMI SPECIFICI                                           </v>
          </cell>
          <cell r="G69">
            <v>0</v>
          </cell>
          <cell r="H69">
            <v>260557.24</v>
          </cell>
          <cell r="I69">
            <v>3052389.39</v>
          </cell>
          <cell r="J69">
            <v>3148966.83</v>
          </cell>
          <cell r="K69">
            <v>3128308.55</v>
          </cell>
        </row>
        <row r="70">
          <cell r="A70" t="str">
            <v>CDG6 </v>
          </cell>
          <cell r="B70">
            <v>73</v>
          </cell>
          <cell r="C70" t="str">
            <v>Economia e lavoro                                           </v>
          </cell>
          <cell r="D70">
            <v>5</v>
          </cell>
          <cell r="E70">
            <v>71</v>
          </cell>
          <cell r="F70" t="str">
            <v>CONSUMI SPECIFICI                                           </v>
          </cell>
          <cell r="G70">
            <v>0</v>
          </cell>
          <cell r="H70">
            <v>271617.38</v>
          </cell>
          <cell r="I70">
            <v>1997628.4</v>
          </cell>
          <cell r="J70">
            <v>3473835.61</v>
          </cell>
          <cell r="K70">
            <v>3431816.85</v>
          </cell>
        </row>
        <row r="71">
          <cell r="A71" t="str">
            <v>CDG6 </v>
          </cell>
          <cell r="B71">
            <v>74</v>
          </cell>
          <cell r="C71" t="str">
            <v>Controllo attività produttive                               </v>
          </cell>
          <cell r="D71">
            <v>5</v>
          </cell>
          <cell r="E71">
            <v>71</v>
          </cell>
          <cell r="F71" t="str">
            <v>CONSUMI SPECIFICI                                           </v>
          </cell>
          <cell r="G71">
            <v>0</v>
          </cell>
          <cell r="H71">
            <v>3651.35</v>
          </cell>
          <cell r="I71">
            <v>33525.28</v>
          </cell>
          <cell r="J71">
            <v>18075.99</v>
          </cell>
          <cell r="K71">
            <v>18075.99</v>
          </cell>
        </row>
        <row r="72">
          <cell r="A72" t="str">
            <v>CDG6 </v>
          </cell>
          <cell r="B72">
            <v>97</v>
          </cell>
          <cell r="C72" t="str">
            <v>Direzione, amm.,CDG/altro - traffico                        </v>
          </cell>
          <cell r="D72">
            <v>5</v>
          </cell>
          <cell r="E72">
            <v>71</v>
          </cell>
          <cell r="F72" t="str">
            <v>CONSUMI SPECIFICI                                           </v>
          </cell>
          <cell r="G72">
            <v>0</v>
          </cell>
          <cell r="H72">
            <v>6821.53</v>
          </cell>
          <cell r="I72">
            <v>655900.26</v>
          </cell>
          <cell r="J72">
            <v>239636</v>
          </cell>
          <cell r="K72">
            <v>231889.14</v>
          </cell>
        </row>
        <row r="73">
          <cell r="A73" t="str">
            <v>CDG6 </v>
          </cell>
          <cell r="B73">
            <v>60</v>
          </cell>
          <cell r="C73" t="str">
            <v>Manutenzione segnaletica e semafori                         </v>
          </cell>
          <cell r="D73">
            <v>5</v>
          </cell>
          <cell r="E73">
            <v>71</v>
          </cell>
          <cell r="F73" t="str">
            <v>CONSUMI SPECIFICI                                           </v>
          </cell>
          <cell r="G73">
            <v>0</v>
          </cell>
          <cell r="H73">
            <v>112410.65</v>
          </cell>
          <cell r="I73">
            <v>1714636.91</v>
          </cell>
          <cell r="J73">
            <v>1549370.7</v>
          </cell>
          <cell r="K73">
            <v>1394433.63</v>
          </cell>
        </row>
        <row r="74">
          <cell r="A74" t="str">
            <v>CDG6 </v>
          </cell>
          <cell r="B74">
            <v>56</v>
          </cell>
          <cell r="C74" t="str">
            <v>Manutenzione strade                                         </v>
          </cell>
          <cell r="D74">
            <v>5</v>
          </cell>
          <cell r="E74">
            <v>71</v>
          </cell>
          <cell r="F74" t="str">
            <v>CONSUMI SPECIFICI                                           </v>
          </cell>
          <cell r="G74">
            <v>0</v>
          </cell>
          <cell r="H74">
            <v>276511.03</v>
          </cell>
          <cell r="I74">
            <v>2176865.83</v>
          </cell>
          <cell r="J74">
            <v>2324056.05</v>
          </cell>
          <cell r="K74">
            <v>1962536.22</v>
          </cell>
        </row>
        <row r="75">
          <cell r="A75" t="str">
            <v>CDG6 </v>
          </cell>
          <cell r="B75">
            <v>101</v>
          </cell>
          <cell r="C75" t="str">
            <v>Rete semaforica                                             </v>
          </cell>
          <cell r="D75">
            <v>5</v>
          </cell>
          <cell r="E75">
            <v>71</v>
          </cell>
          <cell r="F75" t="str">
            <v>CONSUMI SPECIFICI                                           </v>
          </cell>
          <cell r="G75">
            <v>0</v>
          </cell>
          <cell r="H75">
            <v>22164.61</v>
          </cell>
          <cell r="I75">
            <v>165266.21</v>
          </cell>
          <cell r="J75">
            <v>125449.03</v>
          </cell>
          <cell r="K75">
            <v>99676.18</v>
          </cell>
        </row>
        <row r="76">
          <cell r="A76" t="str">
            <v>CDG6 </v>
          </cell>
          <cell r="B76">
            <v>262</v>
          </cell>
          <cell r="C76" t="str">
            <v>Piano sosta e parcheggi                                     </v>
          </cell>
          <cell r="D76">
            <v>5</v>
          </cell>
          <cell r="E76">
            <v>71</v>
          </cell>
          <cell r="F76" t="str">
            <v>CONSUMI SPECIFICI                                           </v>
          </cell>
          <cell r="G76">
            <v>0</v>
          </cell>
          <cell r="H76">
            <v>16010.17</v>
          </cell>
          <cell r="I76">
            <v>227241.03</v>
          </cell>
          <cell r="J76">
            <v>165266.2</v>
          </cell>
          <cell r="K76">
            <v>165266.2</v>
          </cell>
        </row>
        <row r="77">
          <cell r="A77" t="str">
            <v>CDG6 </v>
          </cell>
          <cell r="B77">
            <v>98</v>
          </cell>
          <cell r="C77" t="str">
            <v>Autorizz.ni,licenze e coord.interventi                      </v>
          </cell>
          <cell r="D77">
            <v>5</v>
          </cell>
          <cell r="E77">
            <v>71</v>
          </cell>
          <cell r="F77" t="str">
            <v>CONSUMI SPECIFICI                                           </v>
          </cell>
          <cell r="G77">
            <v>0</v>
          </cell>
          <cell r="H77">
            <v>8392.42</v>
          </cell>
          <cell r="I77">
            <v>103291.37</v>
          </cell>
          <cell r="J77">
            <v>108455.95</v>
          </cell>
          <cell r="K77">
            <v>92962.24</v>
          </cell>
        </row>
        <row r="78">
          <cell r="A78" t="str">
            <v>CDG6 </v>
          </cell>
          <cell r="B78">
            <v>4</v>
          </cell>
          <cell r="C78" t="str">
            <v>Pianificaz. infrastrutturale trasporti                      </v>
          </cell>
          <cell r="D78">
            <v>5</v>
          </cell>
          <cell r="E78">
            <v>71</v>
          </cell>
          <cell r="F78" t="str">
            <v>CONSUMI SPECIFICI                                           </v>
          </cell>
          <cell r="G78">
            <v>0</v>
          </cell>
          <cell r="H78">
            <v>10372.17</v>
          </cell>
          <cell r="I78">
            <v>54227.97</v>
          </cell>
          <cell r="J78">
            <v>299545</v>
          </cell>
          <cell r="K78">
            <v>299545</v>
          </cell>
        </row>
        <row r="79">
          <cell r="A79" t="str">
            <v>CDG6 </v>
          </cell>
          <cell r="B79">
            <v>100</v>
          </cell>
          <cell r="C79" t="str">
            <v>Studi, pianificazione e progettazione                       </v>
          </cell>
          <cell r="D79">
            <v>5</v>
          </cell>
          <cell r="E79">
            <v>71</v>
          </cell>
          <cell r="F79" t="str">
            <v>CONSUMI SPECIFICI                                           </v>
          </cell>
          <cell r="G79">
            <v>0</v>
          </cell>
          <cell r="H79">
            <v>60554.57</v>
          </cell>
          <cell r="I79">
            <v>1262737.12</v>
          </cell>
          <cell r="J79">
            <v>448284.59</v>
          </cell>
          <cell r="K79">
            <v>404385.75</v>
          </cell>
        </row>
        <row r="80">
          <cell r="A80" t="str">
            <v>CDG6 </v>
          </cell>
          <cell r="B80">
            <v>99</v>
          </cell>
          <cell r="C80" t="str">
            <v>Relazioni esterne                                           </v>
          </cell>
          <cell r="D80">
            <v>5</v>
          </cell>
          <cell r="E80">
            <v>71</v>
          </cell>
          <cell r="F80" t="str">
            <v>CONSUMI SPECIFICI                                           </v>
          </cell>
          <cell r="G80">
            <v>0</v>
          </cell>
          <cell r="H80">
            <v>1291.14</v>
          </cell>
          <cell r="I80">
            <v>67139.4</v>
          </cell>
          <cell r="J80">
            <v>69721.68</v>
          </cell>
          <cell r="K80">
            <v>43898.84</v>
          </cell>
        </row>
        <row r="81">
          <cell r="A81" t="str">
            <v>CDG6 </v>
          </cell>
          <cell r="B81">
            <v>261</v>
          </cell>
          <cell r="C81" t="str">
            <v>Gestione illuminazione e semafori                           </v>
          </cell>
          <cell r="D81">
            <v>5</v>
          </cell>
          <cell r="E81">
            <v>71</v>
          </cell>
          <cell r="F81" t="str">
            <v>CONSUMI SPECIFICI                                           </v>
          </cell>
          <cell r="G81">
            <v>0</v>
          </cell>
          <cell r="H81">
            <v>22843.21</v>
          </cell>
          <cell r="I81">
            <v>30987.41</v>
          </cell>
          <cell r="J81">
            <v>0</v>
          </cell>
          <cell r="K81">
            <v>3904414.15</v>
          </cell>
        </row>
        <row r="82">
          <cell r="A82" t="str">
            <v>CDG6 </v>
          </cell>
          <cell r="B82">
            <v>49</v>
          </cell>
          <cell r="C82" t="str">
            <v>Strade                                                      </v>
          </cell>
          <cell r="D82">
            <v>5</v>
          </cell>
          <cell r="E82">
            <v>71</v>
          </cell>
          <cell r="F82" t="str">
            <v>CONSUMI SPECIFICI                                           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CDG6 </v>
          </cell>
          <cell r="B83">
            <v>59</v>
          </cell>
          <cell r="C83" t="str">
            <v>Manutenzione illuminazione pubblica                         </v>
          </cell>
          <cell r="D83">
            <v>5</v>
          </cell>
          <cell r="E83">
            <v>71</v>
          </cell>
          <cell r="F83" t="str">
            <v>CONSUMI SPECIFICI                                           </v>
          </cell>
          <cell r="G83">
            <v>0</v>
          </cell>
          <cell r="H83">
            <v>135913.42</v>
          </cell>
          <cell r="I83">
            <v>1780743.39</v>
          </cell>
          <cell r="J83">
            <v>154937.07</v>
          </cell>
          <cell r="K83">
            <v>154937.07</v>
          </cell>
        </row>
        <row r="84">
          <cell r="A84" t="str">
            <v>CDG6 </v>
          </cell>
          <cell r="B84">
            <v>52</v>
          </cell>
          <cell r="C84" t="str">
            <v>Illuminazione pubblica                                      </v>
          </cell>
          <cell r="D84">
            <v>5</v>
          </cell>
          <cell r="E84">
            <v>71</v>
          </cell>
          <cell r="F84" t="str">
            <v>CONSUMI SPECIFICI                                           </v>
          </cell>
          <cell r="G84">
            <v>0</v>
          </cell>
          <cell r="H84">
            <v>27.97</v>
          </cell>
          <cell r="I84">
            <v>335.7</v>
          </cell>
          <cell r="J84">
            <v>361.51</v>
          </cell>
          <cell r="K84">
            <v>361.52</v>
          </cell>
        </row>
        <row r="85">
          <cell r="A85" t="str">
            <v>CDG6 </v>
          </cell>
          <cell r="B85">
            <v>136</v>
          </cell>
          <cell r="C85" t="str">
            <v>Urbanistica                                                 </v>
          </cell>
          <cell r="D85">
            <v>5</v>
          </cell>
          <cell r="E85">
            <v>71</v>
          </cell>
          <cell r="F85" t="str">
            <v>CONSUMI SPECIFICI                                           </v>
          </cell>
          <cell r="G85">
            <v>0</v>
          </cell>
          <cell r="H85">
            <v>26691.74</v>
          </cell>
          <cell r="I85">
            <v>473074.52</v>
          </cell>
          <cell r="J85">
            <v>1480165.84</v>
          </cell>
          <cell r="K85">
            <v>374947.71</v>
          </cell>
        </row>
        <row r="86">
          <cell r="A86" t="str">
            <v>CDG6 </v>
          </cell>
          <cell r="B86">
            <v>138</v>
          </cell>
          <cell r="C86" t="str">
            <v>Sistema informativo territoriale                            </v>
          </cell>
          <cell r="D86">
            <v>5</v>
          </cell>
          <cell r="E86">
            <v>71</v>
          </cell>
          <cell r="F86" t="str">
            <v>CONSUMI SPECIFICI                                           </v>
          </cell>
          <cell r="G86">
            <v>0</v>
          </cell>
          <cell r="H86">
            <v>18510.67</v>
          </cell>
          <cell r="I86">
            <v>343443.83</v>
          </cell>
          <cell r="J86">
            <v>344063.59</v>
          </cell>
          <cell r="K86">
            <v>307911.61</v>
          </cell>
        </row>
        <row r="87">
          <cell r="A87" t="str">
            <v>CDG6 </v>
          </cell>
          <cell r="B87">
            <v>134</v>
          </cell>
          <cell r="C87" t="str">
            <v>Ambiente                                                    </v>
          </cell>
          <cell r="D87">
            <v>5</v>
          </cell>
          <cell r="E87">
            <v>71</v>
          </cell>
          <cell r="F87" t="str">
            <v>CONSUMI SPECIFICI                                           </v>
          </cell>
          <cell r="G87">
            <v>0</v>
          </cell>
          <cell r="H87">
            <v>125959.53</v>
          </cell>
          <cell r="I87">
            <v>2910234.63</v>
          </cell>
          <cell r="J87">
            <v>1406828.61</v>
          </cell>
          <cell r="K87">
            <v>1680550.76</v>
          </cell>
        </row>
        <row r="88">
          <cell r="A88" t="str">
            <v>CDG6 </v>
          </cell>
          <cell r="B88">
            <v>137</v>
          </cell>
          <cell r="C88" t="str">
            <v>Controllo edilizio                                          </v>
          </cell>
          <cell r="D88">
            <v>5</v>
          </cell>
          <cell r="E88">
            <v>71</v>
          </cell>
          <cell r="F88" t="str">
            <v>CONSUMI SPECIFICI                                           </v>
          </cell>
          <cell r="G88">
            <v>0</v>
          </cell>
          <cell r="H88">
            <v>96405.29</v>
          </cell>
          <cell r="I88">
            <v>180759.91</v>
          </cell>
          <cell r="J88">
            <v>159585.19</v>
          </cell>
          <cell r="K88">
            <v>128597.77</v>
          </cell>
        </row>
        <row r="89">
          <cell r="A89" t="str">
            <v>CDG6 </v>
          </cell>
          <cell r="B89">
            <v>133</v>
          </cell>
          <cell r="C89" t="str">
            <v>Direz.,amm.,CDG/altro-territ.e riq.urb.                     </v>
          </cell>
          <cell r="D89">
            <v>5</v>
          </cell>
          <cell r="E89">
            <v>71</v>
          </cell>
          <cell r="F89" t="str">
            <v>CONSUMI SPECIFICI                                           </v>
          </cell>
          <cell r="G89">
            <v>0</v>
          </cell>
          <cell r="H89">
            <v>6025.33</v>
          </cell>
          <cell r="I89">
            <v>72303.97</v>
          </cell>
          <cell r="J89">
            <v>77468.54</v>
          </cell>
          <cell r="K89">
            <v>77468.53</v>
          </cell>
        </row>
        <row r="90">
          <cell r="A90" t="str">
            <v>CDG6 </v>
          </cell>
          <cell r="B90">
            <v>139</v>
          </cell>
          <cell r="C90" t="str">
            <v>Casa                                                        </v>
          </cell>
          <cell r="D90">
            <v>5</v>
          </cell>
          <cell r="E90">
            <v>71</v>
          </cell>
          <cell r="F90" t="str">
            <v>CONSUMI SPECIFICI                                           </v>
          </cell>
          <cell r="G90">
            <v>0</v>
          </cell>
          <cell r="H90">
            <v>45706.43</v>
          </cell>
          <cell r="I90">
            <v>958027.54</v>
          </cell>
          <cell r="J90">
            <v>6225888.04</v>
          </cell>
          <cell r="K90">
            <v>6225887.91</v>
          </cell>
        </row>
        <row r="91">
          <cell r="A91" t="str">
            <v>CDG6 </v>
          </cell>
          <cell r="B91">
            <v>7</v>
          </cell>
          <cell r="C91" t="str">
            <v>Protezione civile                                           </v>
          </cell>
          <cell r="D91">
            <v>5</v>
          </cell>
          <cell r="E91">
            <v>71</v>
          </cell>
          <cell r="F91" t="str">
            <v>CONSUMI SPECIFICI                                           </v>
          </cell>
          <cell r="G91">
            <v>0</v>
          </cell>
          <cell r="H91">
            <v>14719.03</v>
          </cell>
          <cell r="I91">
            <v>104840.76</v>
          </cell>
          <cell r="J91">
            <v>120334.47</v>
          </cell>
          <cell r="K91">
            <v>120334.47</v>
          </cell>
        </row>
        <row r="92">
          <cell r="A92" t="str">
            <v>CDG6 </v>
          </cell>
          <cell r="B92">
            <v>50</v>
          </cell>
          <cell r="C92" t="str">
            <v>Fognature                                                   </v>
          </cell>
          <cell r="D92">
            <v>5</v>
          </cell>
          <cell r="E92">
            <v>71</v>
          </cell>
          <cell r="F92" t="str">
            <v>CONSUMI SPECIFICI                                           </v>
          </cell>
          <cell r="G92">
            <v>0</v>
          </cell>
          <cell r="H92">
            <v>17215.23</v>
          </cell>
          <cell r="I92">
            <v>258228.45</v>
          </cell>
          <cell r="J92">
            <v>18592.45</v>
          </cell>
          <cell r="K92">
            <v>18592.45</v>
          </cell>
        </row>
        <row r="93">
          <cell r="A93" t="str">
            <v>CDG6 </v>
          </cell>
          <cell r="B93">
            <v>6</v>
          </cell>
          <cell r="C93" t="str">
            <v>Progetto speciale qualità urbana                            </v>
          </cell>
          <cell r="D93">
            <v>5</v>
          </cell>
          <cell r="E93">
            <v>71</v>
          </cell>
          <cell r="F93" t="str">
            <v>CONSUMI SPECIFICI                                           </v>
          </cell>
          <cell r="G93">
            <v>0</v>
          </cell>
          <cell r="H93">
            <v>1015.53</v>
          </cell>
          <cell r="I93">
            <v>237570.17</v>
          </cell>
          <cell r="J93">
            <v>309874.14</v>
          </cell>
          <cell r="K93">
            <v>51645.69</v>
          </cell>
        </row>
        <row r="94">
          <cell r="A94" t="str">
            <v>CDG6 </v>
          </cell>
          <cell r="B94">
            <v>57</v>
          </cell>
          <cell r="C94" t="str">
            <v>Manutenzione verde                                          </v>
          </cell>
          <cell r="D94">
            <v>5</v>
          </cell>
          <cell r="E94">
            <v>71</v>
          </cell>
          <cell r="F94" t="str">
            <v>CONSUMI SPECIFICI                                           </v>
          </cell>
          <cell r="G94">
            <v>0</v>
          </cell>
          <cell r="H94">
            <v>363239.46</v>
          </cell>
          <cell r="I94">
            <v>3697831.4</v>
          </cell>
          <cell r="J94">
            <v>3479370.13</v>
          </cell>
          <cell r="K94">
            <v>3479370.13</v>
          </cell>
        </row>
        <row r="95">
          <cell r="A95" t="str">
            <v>CDG6 </v>
          </cell>
          <cell r="B95">
            <v>118</v>
          </cell>
          <cell r="C95" t="str">
            <v>Servizi sociali a minori e famiglie                         </v>
          </cell>
          <cell r="D95">
            <v>5</v>
          </cell>
          <cell r="E95">
            <v>71</v>
          </cell>
          <cell r="F95" t="str">
            <v>CONSUMI SPECIFICI                                           </v>
          </cell>
          <cell r="G95">
            <v>0</v>
          </cell>
          <cell r="H95">
            <v>527390.59</v>
          </cell>
          <cell r="I95">
            <v>6607533.05</v>
          </cell>
          <cell r="J95">
            <v>6489679.78</v>
          </cell>
          <cell r="K95">
            <v>6258424.7</v>
          </cell>
        </row>
        <row r="96">
          <cell r="A96" t="str">
            <v>CDG6 </v>
          </cell>
          <cell r="B96">
            <v>108</v>
          </cell>
          <cell r="C96" t="str">
            <v>Direz., amm.,CDG/altro - socio sanitario                    </v>
          </cell>
          <cell r="D96">
            <v>5</v>
          </cell>
          <cell r="E96">
            <v>71</v>
          </cell>
          <cell r="F96" t="str">
            <v>CONSUMI SPECIFICI                                           </v>
          </cell>
          <cell r="G96">
            <v>0</v>
          </cell>
          <cell r="H96">
            <v>19465.01</v>
          </cell>
          <cell r="I96">
            <v>193671.33</v>
          </cell>
          <cell r="J96">
            <v>619748.29</v>
          </cell>
          <cell r="K96">
            <v>506127.76</v>
          </cell>
        </row>
        <row r="97">
          <cell r="A97" t="str">
            <v>CDG6 </v>
          </cell>
          <cell r="B97">
            <v>255</v>
          </cell>
          <cell r="C97" t="str">
            <v>Sicurezza urbana                                            </v>
          </cell>
          <cell r="D97">
            <v>5</v>
          </cell>
          <cell r="E97">
            <v>71</v>
          </cell>
          <cell r="F97" t="str">
            <v>CONSUMI SPECIFICI                                           </v>
          </cell>
          <cell r="G97">
            <v>0</v>
          </cell>
          <cell r="H97">
            <v>91423.31</v>
          </cell>
          <cell r="I97">
            <v>900184.38</v>
          </cell>
          <cell r="J97">
            <v>795343.63</v>
          </cell>
          <cell r="K97">
            <v>795343.62</v>
          </cell>
        </row>
        <row r="98">
          <cell r="A98" t="str">
            <v>CDG6 </v>
          </cell>
          <cell r="B98">
            <v>259</v>
          </cell>
          <cell r="C98" t="str">
            <v>Direzione/amm./altro salute e qualità                       </v>
          </cell>
          <cell r="D98">
            <v>5</v>
          </cell>
          <cell r="E98">
            <v>71</v>
          </cell>
          <cell r="F98" t="str">
            <v>CONSUMI SPECIFICI                                           </v>
          </cell>
          <cell r="G98">
            <v>0</v>
          </cell>
          <cell r="H98">
            <v>0</v>
          </cell>
          <cell r="I98">
            <v>5164.57</v>
          </cell>
          <cell r="J98">
            <v>5167.57</v>
          </cell>
          <cell r="K98">
            <v>5164.57</v>
          </cell>
        </row>
        <row r="99">
          <cell r="A99" t="str">
            <v>CDG6 </v>
          </cell>
          <cell r="B99">
            <v>130</v>
          </cell>
          <cell r="C99" t="str">
            <v>Sanità e igiene pubblica                                    </v>
          </cell>
          <cell r="D99">
            <v>5</v>
          </cell>
          <cell r="E99">
            <v>71</v>
          </cell>
          <cell r="F99" t="str">
            <v>CONSUMI SPECIFICI                                           </v>
          </cell>
          <cell r="G99">
            <v>0</v>
          </cell>
          <cell r="H99">
            <v>25040.01</v>
          </cell>
          <cell r="I99">
            <v>253063.88</v>
          </cell>
          <cell r="J99">
            <v>490634.05</v>
          </cell>
          <cell r="K99">
            <v>464811.2</v>
          </cell>
        </row>
        <row r="100">
          <cell r="A100" t="str">
            <v>CDG6 </v>
          </cell>
          <cell r="B100">
            <v>121</v>
          </cell>
          <cell r="C100" t="str">
            <v>Servizi sociali per adulti                                  </v>
          </cell>
          <cell r="D100">
            <v>5</v>
          </cell>
          <cell r="E100">
            <v>71</v>
          </cell>
          <cell r="F100" t="str">
            <v>CONSUMI SPECIFICI                                           </v>
          </cell>
          <cell r="G100">
            <v>0</v>
          </cell>
          <cell r="H100">
            <v>215159.31</v>
          </cell>
          <cell r="I100">
            <v>3232549.18</v>
          </cell>
          <cell r="J100">
            <v>2064371.36</v>
          </cell>
          <cell r="K100">
            <v>2064371.36</v>
          </cell>
        </row>
        <row r="101">
          <cell r="A101" t="str">
            <v>CDG6 </v>
          </cell>
          <cell r="B101">
            <v>119</v>
          </cell>
          <cell r="C101" t="str">
            <v>Servizi sociali per anziani e handicap                      </v>
          </cell>
          <cell r="D101">
            <v>5</v>
          </cell>
          <cell r="E101">
            <v>71</v>
          </cell>
          <cell r="F101" t="str">
            <v>CONSUMI SPECIFICI                                           </v>
          </cell>
          <cell r="G101">
            <v>0</v>
          </cell>
          <cell r="H101">
            <v>101231.4</v>
          </cell>
          <cell r="I101">
            <v>1484939.06</v>
          </cell>
          <cell r="J101">
            <v>1322296.99</v>
          </cell>
          <cell r="K101">
            <v>1322296.99</v>
          </cell>
        </row>
        <row r="102">
          <cell r="A102" t="str">
            <v>CDG6 </v>
          </cell>
          <cell r="B102">
            <v>116</v>
          </cell>
          <cell r="C102" t="str">
            <v>Direzione servizi sociali                                   </v>
          </cell>
          <cell r="D102">
            <v>5</v>
          </cell>
          <cell r="E102">
            <v>71</v>
          </cell>
          <cell r="F102" t="str">
            <v>CONSUMI SPECIFICI                                           </v>
          </cell>
          <cell r="G102">
            <v>0</v>
          </cell>
          <cell r="H102">
            <v>8607.62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CDG6 </v>
          </cell>
          <cell r="B103">
            <v>187</v>
          </cell>
          <cell r="C103" t="str">
            <v>Servi. socio assistenziali - Q. Reno                        </v>
          </cell>
          <cell r="D103">
            <v>5</v>
          </cell>
          <cell r="E103">
            <v>71</v>
          </cell>
          <cell r="F103" t="str">
            <v>CONSUMI SPECIFICI                                           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CDG6 </v>
          </cell>
          <cell r="B104">
            <v>125</v>
          </cell>
          <cell r="C104" t="str">
            <v>Servizi handicap gestione A.U.S.L.                          </v>
          </cell>
          <cell r="D104">
            <v>5</v>
          </cell>
          <cell r="E104">
            <v>71</v>
          </cell>
          <cell r="F104" t="str">
            <v>CONSUMI SPECIFICI                                           </v>
          </cell>
          <cell r="G104">
            <v>0</v>
          </cell>
          <cell r="H104">
            <v>291324.73</v>
          </cell>
          <cell r="I104">
            <v>4010287.82</v>
          </cell>
          <cell r="J104">
            <v>4131655.19</v>
          </cell>
          <cell r="K104">
            <v>4131655.19</v>
          </cell>
        </row>
        <row r="105">
          <cell r="A105" t="str">
            <v>CDG6 </v>
          </cell>
          <cell r="B105">
            <v>109</v>
          </cell>
          <cell r="C105" t="str">
            <v>Servizi funerari                                            </v>
          </cell>
          <cell r="D105">
            <v>5</v>
          </cell>
          <cell r="E105">
            <v>71</v>
          </cell>
          <cell r="F105" t="str">
            <v>CONSUMI SPECIFICI                                           </v>
          </cell>
          <cell r="G105">
            <v>0</v>
          </cell>
          <cell r="H105">
            <v>195074.39</v>
          </cell>
          <cell r="I105">
            <v>2412008.65</v>
          </cell>
          <cell r="J105">
            <v>2628920.56</v>
          </cell>
          <cell r="K105">
            <v>2499806.33</v>
          </cell>
        </row>
        <row r="106">
          <cell r="A106" t="str">
            <v>CDG6 </v>
          </cell>
          <cell r="B106">
            <v>48</v>
          </cell>
          <cell r="C106" t="str">
            <v>Edilizia pubblica                                           </v>
          </cell>
          <cell r="D106">
            <v>5</v>
          </cell>
          <cell r="E106">
            <v>71</v>
          </cell>
          <cell r="F106" t="str">
            <v>CONSUMI SPECIFICI                                           </v>
          </cell>
          <cell r="G106">
            <v>0</v>
          </cell>
          <cell r="H106">
            <v>30126.65</v>
          </cell>
          <cell r="I106">
            <v>413165.52</v>
          </cell>
          <cell r="J106">
            <v>516456.9</v>
          </cell>
          <cell r="K106">
            <v>516456.9</v>
          </cell>
        </row>
        <row r="107">
          <cell r="A107" t="str">
            <v>CDG6 </v>
          </cell>
          <cell r="B107">
            <v>72</v>
          </cell>
          <cell r="C107" t="str">
            <v>Direzione, amm.,CDG/altro - Economia                        </v>
          </cell>
          <cell r="D107">
            <v>5</v>
          </cell>
          <cell r="E107">
            <v>71</v>
          </cell>
          <cell r="F107" t="str">
            <v>CONSUMI SPECIFICI                                           </v>
          </cell>
          <cell r="G107">
            <v>0</v>
          </cell>
          <cell r="H107">
            <v>33139.32</v>
          </cell>
          <cell r="I107">
            <v>496831.53</v>
          </cell>
          <cell r="J107">
            <v>514907.52</v>
          </cell>
          <cell r="K107">
            <v>496831.53</v>
          </cell>
        </row>
        <row r="108">
          <cell r="A108" t="str">
            <v>CDG6 </v>
          </cell>
          <cell r="B108">
            <v>157</v>
          </cell>
          <cell r="C108" t="str">
            <v>Servizi socio assistenziali - Q. Borgo                      </v>
          </cell>
          <cell r="D108">
            <v>5</v>
          </cell>
          <cell r="E108">
            <v>5912</v>
          </cell>
          <cell r="F108" t="str">
            <v>Q.RI RIC.IN CASA RIP./AIUTI AUTONOMIA                       </v>
          </cell>
          <cell r="G108">
            <v>0</v>
          </cell>
          <cell r="H108">
            <v>26769.68</v>
          </cell>
          <cell r="I108">
            <v>185924.48</v>
          </cell>
          <cell r="J108">
            <v>154937.07</v>
          </cell>
          <cell r="K108">
            <v>154937.07</v>
          </cell>
        </row>
        <row r="109">
          <cell r="A109" t="str">
            <v>CDG6 </v>
          </cell>
          <cell r="B109">
            <v>167</v>
          </cell>
          <cell r="C109" t="str">
            <v>Servizi socio assistenziali - Q. Navile                     </v>
          </cell>
          <cell r="D109">
            <v>5</v>
          </cell>
          <cell r="E109">
            <v>5912</v>
          </cell>
          <cell r="F109" t="str">
            <v>Q.RI RIC.IN CASA RIP./AIUTI AUTONOMIA                       </v>
          </cell>
          <cell r="G109">
            <v>0</v>
          </cell>
          <cell r="H109">
            <v>79464.3</v>
          </cell>
          <cell r="I109">
            <v>1030847.97</v>
          </cell>
          <cell r="J109">
            <v>1027749.23</v>
          </cell>
          <cell r="K109">
            <v>1027749.23</v>
          </cell>
        </row>
        <row r="110">
          <cell r="A110" t="str">
            <v>CDG6 </v>
          </cell>
          <cell r="B110">
            <v>177</v>
          </cell>
          <cell r="C110" t="str">
            <v>Servizi socio assistenziali - Q. Porto                      </v>
          </cell>
          <cell r="D110">
            <v>5</v>
          </cell>
          <cell r="E110">
            <v>5912</v>
          </cell>
          <cell r="F110" t="str">
            <v>Q.RI RIC.IN CASA RIP./AIUTI AUTONOMIA                       </v>
          </cell>
          <cell r="G110">
            <v>0</v>
          </cell>
          <cell r="H110">
            <v>64961.67</v>
          </cell>
          <cell r="I110">
            <v>723039.66</v>
          </cell>
          <cell r="J110">
            <v>723039.66</v>
          </cell>
          <cell r="K110">
            <v>723039.66</v>
          </cell>
        </row>
        <row r="111">
          <cell r="A111" t="str">
            <v>CDG6 </v>
          </cell>
          <cell r="B111">
            <v>187</v>
          </cell>
          <cell r="C111" t="str">
            <v>Servi. socio assistenziali - Q. Reno                        </v>
          </cell>
          <cell r="D111">
            <v>5</v>
          </cell>
          <cell r="E111">
            <v>5912</v>
          </cell>
          <cell r="F111" t="str">
            <v>Q.RI RIC.IN CASA RIP./AIUTI AUTONOMIA                       </v>
          </cell>
          <cell r="G111">
            <v>0</v>
          </cell>
          <cell r="H111">
            <v>37109.51</v>
          </cell>
          <cell r="I111">
            <v>413165.52</v>
          </cell>
          <cell r="J111">
            <v>429692.14</v>
          </cell>
          <cell r="K111">
            <v>423494.66</v>
          </cell>
        </row>
        <row r="112">
          <cell r="A112" t="str">
            <v>CDG6 </v>
          </cell>
          <cell r="B112">
            <v>197</v>
          </cell>
          <cell r="C112" t="str">
            <v>Servi. socio assistenz. - Q. San Donato                     </v>
          </cell>
          <cell r="D112">
            <v>5</v>
          </cell>
          <cell r="E112">
            <v>5912</v>
          </cell>
          <cell r="F112" t="str">
            <v>Q.RI RIC.IN CASA RIP./AIUTI AUTONOMIA                       </v>
          </cell>
          <cell r="G112">
            <v>0</v>
          </cell>
          <cell r="H112">
            <v>44673.52</v>
          </cell>
          <cell r="I112">
            <v>562938.02</v>
          </cell>
          <cell r="J112">
            <v>588760.86</v>
          </cell>
          <cell r="K112">
            <v>583596.3</v>
          </cell>
        </row>
        <row r="113">
          <cell r="A113" t="str">
            <v>CDG6 </v>
          </cell>
          <cell r="B113">
            <v>207</v>
          </cell>
          <cell r="C113" t="str">
            <v>Servi. socio assistenz. - Q. S.Stefano                      </v>
          </cell>
          <cell r="D113">
            <v>5</v>
          </cell>
          <cell r="E113">
            <v>5912</v>
          </cell>
          <cell r="F113" t="str">
            <v>Q.RI RIC.IN CASA RIP./AIUTI AUTONOMIA                       </v>
          </cell>
          <cell r="G113">
            <v>0</v>
          </cell>
          <cell r="H113">
            <v>71659.94</v>
          </cell>
          <cell r="I113">
            <v>914128.71</v>
          </cell>
          <cell r="J113">
            <v>945116.13</v>
          </cell>
          <cell r="K113">
            <v>945116.13</v>
          </cell>
        </row>
        <row r="114">
          <cell r="A114" t="str">
            <v>CDG6 </v>
          </cell>
          <cell r="B114">
            <v>217</v>
          </cell>
          <cell r="C114" t="str">
            <v>Servi. socio assistenz. - Q. San Vitale                     </v>
          </cell>
          <cell r="D114">
            <v>5</v>
          </cell>
          <cell r="E114">
            <v>5912</v>
          </cell>
          <cell r="F114" t="str">
            <v>Q.RI RIC.IN CASA RIP./AIUTI AUTONOMIA                       </v>
          </cell>
          <cell r="G114">
            <v>0</v>
          </cell>
          <cell r="H114">
            <v>60287.05</v>
          </cell>
          <cell r="I114">
            <v>650735.69</v>
          </cell>
          <cell r="J114">
            <v>656416.72</v>
          </cell>
          <cell r="K114">
            <v>656416.72</v>
          </cell>
        </row>
        <row r="115">
          <cell r="A115" t="str">
            <v>CDG6 </v>
          </cell>
          <cell r="B115">
            <v>227</v>
          </cell>
          <cell r="C115" t="str">
            <v>Servi. socio assistenz. - Q. Saragozza                      </v>
          </cell>
          <cell r="D115">
            <v>5</v>
          </cell>
          <cell r="E115">
            <v>5912</v>
          </cell>
          <cell r="F115" t="str">
            <v>Q.RI RIC.IN CASA RIP./AIUTI AUTONOMIA                       </v>
          </cell>
          <cell r="G115">
            <v>0</v>
          </cell>
          <cell r="H115">
            <v>68860.92</v>
          </cell>
          <cell r="I115">
            <v>723039.66</v>
          </cell>
          <cell r="J115">
            <v>787597</v>
          </cell>
          <cell r="K115">
            <v>787596.77</v>
          </cell>
        </row>
        <row r="116">
          <cell r="A116" t="str">
            <v>CDG6 </v>
          </cell>
          <cell r="B116">
            <v>237</v>
          </cell>
          <cell r="C116" t="str">
            <v>Servi. socio assistenziali - Q. Savena                      </v>
          </cell>
          <cell r="D116">
            <v>5</v>
          </cell>
          <cell r="E116">
            <v>5912</v>
          </cell>
          <cell r="F116" t="str">
            <v>Q.RI RIC.IN CASA RIP./AIUTI AUTONOMIA                       </v>
          </cell>
          <cell r="G116">
            <v>0</v>
          </cell>
          <cell r="H116">
            <v>58316.59</v>
          </cell>
          <cell r="I116">
            <v>591859.61</v>
          </cell>
          <cell r="J116">
            <v>632143</v>
          </cell>
          <cell r="K116">
            <v>632143.24</v>
          </cell>
        </row>
        <row r="117">
          <cell r="A117" t="str">
            <v>CDG6 </v>
          </cell>
          <cell r="B117">
            <v>157</v>
          </cell>
          <cell r="C117" t="str">
            <v>Servizi socio assistenziali - Q. Borgo                      </v>
          </cell>
          <cell r="D117">
            <v>5</v>
          </cell>
          <cell r="E117">
            <v>5913</v>
          </cell>
          <cell r="F117" t="str">
            <v>Q.RI ASSISTENZA DOMICILIARE                                 </v>
          </cell>
          <cell r="G117">
            <v>0</v>
          </cell>
          <cell r="H117">
            <v>30099.75</v>
          </cell>
          <cell r="I117">
            <v>374431.25</v>
          </cell>
          <cell r="J117">
            <v>374431.25</v>
          </cell>
          <cell r="K117">
            <v>374431.25</v>
          </cell>
        </row>
        <row r="118">
          <cell r="A118" t="str">
            <v>CDG6 </v>
          </cell>
          <cell r="B118">
            <v>167</v>
          </cell>
          <cell r="C118" t="str">
            <v>Servizi socio assistenziali - Q. Navile                     </v>
          </cell>
          <cell r="D118">
            <v>5</v>
          </cell>
          <cell r="E118">
            <v>5913</v>
          </cell>
          <cell r="F118" t="str">
            <v>Q.RI ASSISTENZA DOMICILIARE                                 </v>
          </cell>
          <cell r="G118">
            <v>0</v>
          </cell>
          <cell r="H118">
            <v>63141.5</v>
          </cell>
          <cell r="I118">
            <v>836143.72</v>
          </cell>
          <cell r="J118">
            <v>893470.44</v>
          </cell>
          <cell r="K118">
            <v>893470.44</v>
          </cell>
        </row>
        <row r="119">
          <cell r="A119" t="str">
            <v>CDG6 </v>
          </cell>
          <cell r="B119">
            <v>177</v>
          </cell>
          <cell r="C119" t="str">
            <v>Servizi socio assistenziali - Q. Porto                      </v>
          </cell>
          <cell r="D119">
            <v>5</v>
          </cell>
          <cell r="E119">
            <v>5913</v>
          </cell>
          <cell r="F119" t="str">
            <v>Q.RI ASSISTENZA DOMICILIARE                                 </v>
          </cell>
          <cell r="G119">
            <v>0</v>
          </cell>
          <cell r="H119">
            <v>41079.84</v>
          </cell>
          <cell r="I119">
            <v>542279.74</v>
          </cell>
          <cell r="J119">
            <v>593925.44</v>
          </cell>
          <cell r="K119">
            <v>593925.43</v>
          </cell>
        </row>
        <row r="120">
          <cell r="A120" t="str">
            <v>CDG6 </v>
          </cell>
          <cell r="B120">
            <v>187</v>
          </cell>
          <cell r="C120" t="str">
            <v>Servi. socio assistenziali - Q. Reno                        </v>
          </cell>
          <cell r="D120">
            <v>5</v>
          </cell>
          <cell r="E120">
            <v>5913</v>
          </cell>
          <cell r="F120" t="str">
            <v>Q.RI ASSISTENZA DOMICILIARE                                 </v>
          </cell>
          <cell r="G120">
            <v>0</v>
          </cell>
          <cell r="H120">
            <v>35024.39</v>
          </cell>
          <cell r="I120">
            <v>464811.21</v>
          </cell>
          <cell r="J120">
            <v>480304.92</v>
          </cell>
          <cell r="K120">
            <v>475140.35</v>
          </cell>
        </row>
        <row r="121">
          <cell r="A121" t="str">
            <v>CDG6 </v>
          </cell>
          <cell r="B121">
            <v>197</v>
          </cell>
          <cell r="C121" t="str">
            <v>Servi. socio assistenz. - Q. San Donato                     </v>
          </cell>
          <cell r="D121">
            <v>5</v>
          </cell>
          <cell r="E121">
            <v>5913</v>
          </cell>
          <cell r="F121" t="str">
            <v>Q.RI ASSISTENZA DOMICILIARE                                 </v>
          </cell>
          <cell r="G121">
            <v>0</v>
          </cell>
          <cell r="H121">
            <v>43606.18</v>
          </cell>
          <cell r="I121">
            <v>635241.99</v>
          </cell>
          <cell r="J121">
            <v>593925.43</v>
          </cell>
          <cell r="K121">
            <v>586178.58</v>
          </cell>
        </row>
        <row r="122">
          <cell r="A122" t="str">
            <v>CDG6 </v>
          </cell>
          <cell r="B122">
            <v>207</v>
          </cell>
          <cell r="C122" t="str">
            <v>Servi. socio assistenz. - Q. S.Stefano                      </v>
          </cell>
          <cell r="D122">
            <v>5</v>
          </cell>
          <cell r="E122">
            <v>5913</v>
          </cell>
          <cell r="F122" t="str">
            <v>Q.RI ASSISTENZA DOMICILIARE                                 </v>
          </cell>
          <cell r="G122">
            <v>0</v>
          </cell>
          <cell r="H122">
            <v>50223.88</v>
          </cell>
          <cell r="I122">
            <v>666229.4</v>
          </cell>
          <cell r="J122">
            <v>699799.1</v>
          </cell>
          <cell r="K122">
            <v>699799.1</v>
          </cell>
        </row>
        <row r="123">
          <cell r="A123" t="str">
            <v>CDG6 </v>
          </cell>
          <cell r="B123">
            <v>217</v>
          </cell>
          <cell r="C123" t="str">
            <v>Servi. socio assistenz. - Q. San Vitale                     </v>
          </cell>
          <cell r="D123">
            <v>5</v>
          </cell>
          <cell r="E123">
            <v>5913</v>
          </cell>
          <cell r="F123" t="str">
            <v>Q.RI ASSISTENZA DOMICILIARE                                 </v>
          </cell>
          <cell r="G123">
            <v>0</v>
          </cell>
          <cell r="H123">
            <v>47622.06</v>
          </cell>
          <cell r="I123">
            <v>614583.71</v>
          </cell>
          <cell r="J123">
            <v>883915.98</v>
          </cell>
          <cell r="K123">
            <v>880300.78</v>
          </cell>
        </row>
        <row r="124">
          <cell r="A124" t="str">
            <v>CDG6 </v>
          </cell>
          <cell r="B124">
            <v>227</v>
          </cell>
          <cell r="C124" t="str">
            <v>Servi. socio assistenz. - Q. Saragozza                      </v>
          </cell>
          <cell r="D124">
            <v>5</v>
          </cell>
          <cell r="E124">
            <v>5913</v>
          </cell>
          <cell r="F124" t="str">
            <v>Q.RI ASSISTENZA DOMICILIARE                                 </v>
          </cell>
          <cell r="G124">
            <v>0</v>
          </cell>
          <cell r="H124">
            <v>49515.31</v>
          </cell>
          <cell r="I124">
            <v>655900.26</v>
          </cell>
          <cell r="J124">
            <v>676559</v>
          </cell>
          <cell r="K124">
            <v>676558.54</v>
          </cell>
        </row>
        <row r="125">
          <cell r="A125" t="str">
            <v>CDG6 </v>
          </cell>
          <cell r="B125">
            <v>237</v>
          </cell>
          <cell r="C125" t="str">
            <v>Servi. socio assistenziali - Q. Savena                      </v>
          </cell>
          <cell r="D125">
            <v>5</v>
          </cell>
          <cell r="E125">
            <v>5913</v>
          </cell>
          <cell r="F125" t="str">
            <v>Q.RI ASSISTENZA DOMICILIARE                                 </v>
          </cell>
          <cell r="G125">
            <v>0</v>
          </cell>
          <cell r="H125">
            <v>66631.55</v>
          </cell>
          <cell r="I125">
            <v>891921.06</v>
          </cell>
          <cell r="J125">
            <v>1106923</v>
          </cell>
          <cell r="K125">
            <v>1013520.84</v>
          </cell>
        </row>
        <row r="126">
          <cell r="A126" t="str">
            <v>CDG6 </v>
          </cell>
          <cell r="B126">
            <v>157</v>
          </cell>
          <cell r="C126" t="str">
            <v>Servizi socio assistenziali - Q. Borgo                      </v>
          </cell>
          <cell r="D126">
            <v>5</v>
          </cell>
          <cell r="E126">
            <v>5915</v>
          </cell>
          <cell r="F126" t="str">
            <v>Q.RI SUSSIDI MENSILI E UNA TANTUM                           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CDG6 </v>
          </cell>
          <cell r="B127">
            <v>167</v>
          </cell>
          <cell r="C127" t="str">
            <v>Servizi socio assistenziali - Q. Navile                     </v>
          </cell>
          <cell r="D127">
            <v>5</v>
          </cell>
          <cell r="E127">
            <v>5915</v>
          </cell>
          <cell r="F127" t="str">
            <v>Q.RI SUSSIDI MENSILI E UNA TANTUM                           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CDG6 </v>
          </cell>
          <cell r="B128">
            <v>177</v>
          </cell>
          <cell r="C128" t="str">
            <v>Servizi socio assistenziali - Q. Porto                      </v>
          </cell>
          <cell r="D128">
            <v>5</v>
          </cell>
          <cell r="E128">
            <v>5915</v>
          </cell>
          <cell r="F128" t="str">
            <v>Q.RI SUSSIDI MENSILI E UNA TANTUM                           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CDG6 </v>
          </cell>
          <cell r="B129">
            <v>187</v>
          </cell>
          <cell r="C129" t="str">
            <v>Servi. socio assistenziali - Q. Reno                        </v>
          </cell>
          <cell r="D129">
            <v>5</v>
          </cell>
          <cell r="E129">
            <v>5915</v>
          </cell>
          <cell r="F129" t="str">
            <v>Q.RI SUSSIDI MENSILI E UNA TANTUM                           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CDG6 </v>
          </cell>
          <cell r="B130">
            <v>197</v>
          </cell>
          <cell r="C130" t="str">
            <v>Servi. socio assistenz. - Q. San Donato                     </v>
          </cell>
          <cell r="D130">
            <v>5</v>
          </cell>
          <cell r="E130">
            <v>5915</v>
          </cell>
          <cell r="F130" t="str">
            <v>Q.RI SUSSIDI MENSILI E UNA TANTUM                           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CDG6 </v>
          </cell>
          <cell r="B131">
            <v>207</v>
          </cell>
          <cell r="C131" t="str">
            <v>Servi. socio assistenz. - Q. S.Stefano                      </v>
          </cell>
          <cell r="D131">
            <v>5</v>
          </cell>
          <cell r="E131">
            <v>5915</v>
          </cell>
          <cell r="F131" t="str">
            <v>Q.RI SUSSIDI MENSILI E UNA TANTUM                           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CDG6 </v>
          </cell>
          <cell r="B132">
            <v>217</v>
          </cell>
          <cell r="C132" t="str">
            <v>Servi. socio assistenz. - Q. San Vitale                     </v>
          </cell>
          <cell r="D132">
            <v>5</v>
          </cell>
          <cell r="E132">
            <v>5915</v>
          </cell>
          <cell r="F132" t="str">
            <v>Q.RI SUSSIDI MENSILI E UNA TANTUM                           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CDG6 </v>
          </cell>
          <cell r="B133">
            <v>227</v>
          </cell>
          <cell r="C133" t="str">
            <v>Servi. socio assistenz. - Q. Saragozza                      </v>
          </cell>
          <cell r="D133">
            <v>5</v>
          </cell>
          <cell r="E133">
            <v>5915</v>
          </cell>
          <cell r="F133" t="str">
            <v>Q.RI SUSSIDI MENSILI E UNA TANTUM                           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CDG6 </v>
          </cell>
          <cell r="B134">
            <v>237</v>
          </cell>
          <cell r="C134" t="str">
            <v>Servi. socio assistenziali - Q. Savena                      </v>
          </cell>
          <cell r="D134">
            <v>5</v>
          </cell>
          <cell r="E134">
            <v>5915</v>
          </cell>
          <cell r="F134" t="str">
            <v>Q.RI SUSSIDI MENSILI E UNA TANTUM                           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CDG6 </v>
          </cell>
          <cell r="B135">
            <v>157</v>
          </cell>
          <cell r="C135" t="str">
            <v>Servizi socio assistenziali - Q. Borgo                      </v>
          </cell>
          <cell r="D135">
            <v>5</v>
          </cell>
          <cell r="E135">
            <v>5916</v>
          </cell>
          <cell r="F135" t="str">
            <v>Q.RI BUONI TRASPORTO                                        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CDG6 </v>
          </cell>
          <cell r="B136">
            <v>167</v>
          </cell>
          <cell r="C136" t="str">
            <v>Servizi socio assistenziali - Q. Navile                     </v>
          </cell>
          <cell r="D136">
            <v>5</v>
          </cell>
          <cell r="E136">
            <v>5916</v>
          </cell>
          <cell r="F136" t="str">
            <v>Q.RI BUONI TRASPORTO                                        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CDG6 </v>
          </cell>
          <cell r="B137">
            <v>177</v>
          </cell>
          <cell r="C137" t="str">
            <v>Servizi socio assistenziali - Q. Porto                      </v>
          </cell>
          <cell r="D137">
            <v>5</v>
          </cell>
          <cell r="E137">
            <v>5916</v>
          </cell>
          <cell r="F137" t="str">
            <v>Q.RI BUONI TRASPORTO                                        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CDG6 </v>
          </cell>
          <cell r="B138">
            <v>187</v>
          </cell>
          <cell r="C138" t="str">
            <v>Servi. socio assistenziali - Q. Reno                        </v>
          </cell>
          <cell r="D138">
            <v>5</v>
          </cell>
          <cell r="E138">
            <v>5916</v>
          </cell>
          <cell r="F138" t="str">
            <v>Q.RI BUONI TRASPORTO                                        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CDG6 </v>
          </cell>
          <cell r="B139">
            <v>197</v>
          </cell>
          <cell r="C139" t="str">
            <v>Servi. socio assistenz. - Q. San Donato                     </v>
          </cell>
          <cell r="D139">
            <v>5</v>
          </cell>
          <cell r="E139">
            <v>5916</v>
          </cell>
          <cell r="F139" t="str">
            <v>Q.RI BUONI TRASPORTO                                        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CDG6 </v>
          </cell>
          <cell r="B140">
            <v>207</v>
          </cell>
          <cell r="C140" t="str">
            <v>Servi. socio assistenz. - Q. S.Stefano                      </v>
          </cell>
          <cell r="D140">
            <v>5</v>
          </cell>
          <cell r="E140">
            <v>5916</v>
          </cell>
          <cell r="F140" t="str">
            <v>Q.RI BUONI TRASPORTO                                        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CDG6 </v>
          </cell>
          <cell r="B141">
            <v>217</v>
          </cell>
          <cell r="C141" t="str">
            <v>Servi. socio assistenz. - Q. San Vitale                     </v>
          </cell>
          <cell r="D141">
            <v>5</v>
          </cell>
          <cell r="E141">
            <v>5916</v>
          </cell>
          <cell r="F141" t="str">
            <v>Q.RI BUONI TRASPORTO                                        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CDG6 </v>
          </cell>
          <cell r="B142">
            <v>227</v>
          </cell>
          <cell r="C142" t="str">
            <v>Servi. socio assistenz. - Q. Saragozza                      </v>
          </cell>
          <cell r="D142">
            <v>5</v>
          </cell>
          <cell r="E142">
            <v>5916</v>
          </cell>
          <cell r="F142" t="str">
            <v>Q.RI BUONI TRASPORTO                                        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CDG6 </v>
          </cell>
          <cell r="B143">
            <v>237</v>
          </cell>
          <cell r="C143" t="str">
            <v>Servi. socio assistenziali - Q. Savena                      </v>
          </cell>
          <cell r="D143">
            <v>5</v>
          </cell>
          <cell r="E143">
            <v>5916</v>
          </cell>
          <cell r="F143" t="str">
            <v>Q.RI BUONI TRASPORTO                                        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CDG6 </v>
          </cell>
          <cell r="B144">
            <v>157</v>
          </cell>
          <cell r="C144" t="str">
            <v>Servizi socio assistenziali - Q. Borgo                      </v>
          </cell>
          <cell r="D144">
            <v>5</v>
          </cell>
          <cell r="E144">
            <v>5917</v>
          </cell>
          <cell r="F144" t="str">
            <v>Q.RI INTERVENTI PER INVALIDI                                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CDG6 </v>
          </cell>
          <cell r="B145">
            <v>167</v>
          </cell>
          <cell r="C145" t="str">
            <v>Servizi socio assistenziali - Q. Navile                     </v>
          </cell>
          <cell r="D145">
            <v>5</v>
          </cell>
          <cell r="E145">
            <v>5917</v>
          </cell>
          <cell r="F145" t="str">
            <v>Q.RI INTERVENTI PER INVALIDI                                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CDG6 </v>
          </cell>
          <cell r="B146">
            <v>177</v>
          </cell>
          <cell r="C146" t="str">
            <v>Servizi socio assistenziali - Q. Porto                      </v>
          </cell>
          <cell r="D146">
            <v>5</v>
          </cell>
          <cell r="E146">
            <v>5917</v>
          </cell>
          <cell r="F146" t="str">
            <v>Q.RI INTERVENTI PER INVALIDI                                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CDG6 </v>
          </cell>
          <cell r="B147">
            <v>187</v>
          </cell>
          <cell r="C147" t="str">
            <v>Servi. socio assistenziali - Q. Reno                        </v>
          </cell>
          <cell r="D147">
            <v>5</v>
          </cell>
          <cell r="E147">
            <v>5917</v>
          </cell>
          <cell r="F147" t="str">
            <v>Q.RI INTERVENTI PER INVALIDI                                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CDG6 </v>
          </cell>
          <cell r="B148">
            <v>197</v>
          </cell>
          <cell r="C148" t="str">
            <v>Servi. socio assistenz. - Q. San Donato                     </v>
          </cell>
          <cell r="D148">
            <v>5</v>
          </cell>
          <cell r="E148">
            <v>5917</v>
          </cell>
          <cell r="F148" t="str">
            <v>Q.RI INTERVENTI PER INVALIDI                                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CDG6 </v>
          </cell>
          <cell r="B149">
            <v>207</v>
          </cell>
          <cell r="C149" t="str">
            <v>Servi. socio assistenz. - Q. S.Stefano                      </v>
          </cell>
          <cell r="D149">
            <v>5</v>
          </cell>
          <cell r="E149">
            <v>5917</v>
          </cell>
          <cell r="F149" t="str">
            <v>Q.RI INTERVENTI PER INVALIDI                                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CDG6 </v>
          </cell>
          <cell r="B150">
            <v>217</v>
          </cell>
          <cell r="C150" t="str">
            <v>Servi. socio assistenz. - Q. San Vitale                     </v>
          </cell>
          <cell r="D150">
            <v>5</v>
          </cell>
          <cell r="E150">
            <v>5917</v>
          </cell>
          <cell r="F150" t="str">
            <v>Q.RI INTERVENTI PER INVALIDI                                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CDG6 </v>
          </cell>
          <cell r="B151">
            <v>227</v>
          </cell>
          <cell r="C151" t="str">
            <v>Servi. socio assistenz. - Q. Saragozza                      </v>
          </cell>
          <cell r="D151">
            <v>5</v>
          </cell>
          <cell r="E151">
            <v>5917</v>
          </cell>
          <cell r="F151" t="str">
            <v>Q.RI INTERVENTI PER INVALIDI                                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CDG6 </v>
          </cell>
          <cell r="B152">
            <v>237</v>
          </cell>
          <cell r="C152" t="str">
            <v>Servi. socio assistenziali - Q. Savena                      </v>
          </cell>
          <cell r="D152">
            <v>5</v>
          </cell>
          <cell r="E152">
            <v>5917</v>
          </cell>
          <cell r="F152" t="str">
            <v>Q.RI INTERVENTI PER INVALIDI                                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CDG6 </v>
          </cell>
          <cell r="B153">
            <v>164</v>
          </cell>
          <cell r="C153" t="str">
            <v>Cultura/giovani/sport - Q. Borgo                            </v>
          </cell>
          <cell r="D153">
            <v>5</v>
          </cell>
          <cell r="E153">
            <v>5918</v>
          </cell>
          <cell r="F153" t="str">
            <v>Q.RI SERVIZI PER I GIOVANI                                  </v>
          </cell>
          <cell r="G153">
            <v>0</v>
          </cell>
          <cell r="H153">
            <v>860.76</v>
          </cell>
          <cell r="I153">
            <v>20141.82</v>
          </cell>
          <cell r="J153">
            <v>20658.28</v>
          </cell>
          <cell r="K153">
            <v>20658.28</v>
          </cell>
        </row>
        <row r="154">
          <cell r="A154" t="str">
            <v>CDG6 </v>
          </cell>
          <cell r="B154">
            <v>174</v>
          </cell>
          <cell r="C154" t="str">
            <v>Cultura/giovani/sport - Q. Navile                           </v>
          </cell>
          <cell r="D154">
            <v>5</v>
          </cell>
          <cell r="E154">
            <v>5918</v>
          </cell>
          <cell r="F154" t="str">
            <v>Q.RI SERVIZI PER I GIOVANI                                  </v>
          </cell>
          <cell r="G154">
            <v>0</v>
          </cell>
          <cell r="H154">
            <v>1506.33</v>
          </cell>
          <cell r="I154">
            <v>33569.7</v>
          </cell>
          <cell r="J154">
            <v>33569.7</v>
          </cell>
          <cell r="K154">
            <v>33569.7</v>
          </cell>
        </row>
        <row r="155">
          <cell r="A155" t="str">
            <v>CDG6 </v>
          </cell>
          <cell r="B155">
            <v>184</v>
          </cell>
          <cell r="C155" t="str">
            <v>Cultura/giovani/sport - Q. Porto                            </v>
          </cell>
          <cell r="D155">
            <v>5</v>
          </cell>
          <cell r="E155">
            <v>5918</v>
          </cell>
          <cell r="F155" t="str">
            <v>Q.RI SERVIZI PER I GIOVANI                                  </v>
          </cell>
          <cell r="G155">
            <v>0</v>
          </cell>
          <cell r="H155">
            <v>43.04</v>
          </cell>
          <cell r="I155">
            <v>15493.71</v>
          </cell>
          <cell r="J155">
            <v>10329.14</v>
          </cell>
          <cell r="K155">
            <v>10329.14</v>
          </cell>
        </row>
        <row r="156">
          <cell r="A156" t="str">
            <v>CDG6 </v>
          </cell>
          <cell r="B156">
            <v>194</v>
          </cell>
          <cell r="C156" t="str">
            <v>Cultura/iovani/sport - Q. Reno                              </v>
          </cell>
          <cell r="D156">
            <v>5</v>
          </cell>
          <cell r="E156">
            <v>5918</v>
          </cell>
          <cell r="F156" t="str">
            <v>Q.RI SERVIZI PER I GIOVANI                                  </v>
          </cell>
          <cell r="G156">
            <v>0</v>
          </cell>
          <cell r="H156">
            <v>1231.88</v>
          </cell>
          <cell r="I156">
            <v>21174.73</v>
          </cell>
          <cell r="J156">
            <v>21174.73</v>
          </cell>
          <cell r="K156">
            <v>22207.65</v>
          </cell>
        </row>
        <row r="157">
          <cell r="A157" t="str">
            <v>CDG6 </v>
          </cell>
          <cell r="B157">
            <v>204</v>
          </cell>
          <cell r="C157" t="str">
            <v>Cultura/giovani/sport - Q. San Donato                       </v>
          </cell>
          <cell r="D157">
            <v>5</v>
          </cell>
          <cell r="E157">
            <v>5918</v>
          </cell>
          <cell r="F157" t="str">
            <v>Q.RI SERVIZI PER I GIOVANI                                  </v>
          </cell>
          <cell r="G157">
            <v>0</v>
          </cell>
          <cell r="H157">
            <v>1075.95</v>
          </cell>
          <cell r="I157">
            <v>13427.88</v>
          </cell>
          <cell r="J157">
            <v>13427.88</v>
          </cell>
          <cell r="K157">
            <v>13427.88</v>
          </cell>
        </row>
        <row r="158">
          <cell r="A158" t="str">
            <v>CDG6 </v>
          </cell>
          <cell r="B158">
            <v>214</v>
          </cell>
          <cell r="C158" t="str">
            <v>Cultura/giovani/sport - Q. Santo Stefano                    </v>
          </cell>
          <cell r="D158">
            <v>5</v>
          </cell>
          <cell r="E158">
            <v>5918</v>
          </cell>
          <cell r="F158" t="str">
            <v>Q.RI SERVIZI PER I GIOVANI                                  </v>
          </cell>
          <cell r="G158">
            <v>0</v>
          </cell>
          <cell r="H158">
            <v>258.23</v>
          </cell>
          <cell r="I158">
            <v>10329.14</v>
          </cell>
          <cell r="J158">
            <v>10329.14</v>
          </cell>
          <cell r="K158">
            <v>10329.14</v>
          </cell>
        </row>
        <row r="159">
          <cell r="A159" t="str">
            <v>CDG6 </v>
          </cell>
          <cell r="B159">
            <v>224</v>
          </cell>
          <cell r="C159" t="str">
            <v>Cultura/giovani/sport - Q. San Vitale                       </v>
          </cell>
          <cell r="D159">
            <v>5</v>
          </cell>
          <cell r="E159">
            <v>5918</v>
          </cell>
          <cell r="F159" t="str">
            <v>Q.RI SERVIZI PER I GIOVANI                                  </v>
          </cell>
          <cell r="G159">
            <v>0</v>
          </cell>
          <cell r="H159">
            <v>516.46</v>
          </cell>
          <cell r="I159">
            <v>30987.41</v>
          </cell>
          <cell r="J159">
            <v>25822.84</v>
          </cell>
          <cell r="K159">
            <v>28405.13</v>
          </cell>
        </row>
        <row r="160">
          <cell r="A160" t="str">
            <v>CDG6 </v>
          </cell>
          <cell r="B160">
            <v>234</v>
          </cell>
          <cell r="C160" t="str">
            <v>Cultura/giovani/sport - Q. Saragozza                        </v>
          </cell>
          <cell r="D160">
            <v>5</v>
          </cell>
          <cell r="E160">
            <v>5918</v>
          </cell>
          <cell r="F160" t="str">
            <v>Q.RI SERVIZI PER I GIOVANI                                  </v>
          </cell>
          <cell r="G160">
            <v>0</v>
          </cell>
          <cell r="H160">
            <v>8.14</v>
          </cell>
          <cell r="I160">
            <v>10329.14</v>
          </cell>
          <cell r="J160">
            <v>10329</v>
          </cell>
          <cell r="K160">
            <v>10329.14</v>
          </cell>
        </row>
        <row r="161">
          <cell r="A161" t="str">
            <v>CDG6 </v>
          </cell>
          <cell r="B161">
            <v>244</v>
          </cell>
          <cell r="C161" t="str">
            <v>Cultura/giovani/sport - Q. Savena                           </v>
          </cell>
          <cell r="D161">
            <v>5</v>
          </cell>
          <cell r="E161">
            <v>5918</v>
          </cell>
          <cell r="F161" t="str">
            <v>Q.RI SERVIZI PER I GIOVANI                                  </v>
          </cell>
          <cell r="G161">
            <v>0</v>
          </cell>
          <cell r="H161">
            <v>1506.33</v>
          </cell>
          <cell r="I161">
            <v>19108.91</v>
          </cell>
          <cell r="J161">
            <v>17456</v>
          </cell>
          <cell r="K161">
            <v>14465.96</v>
          </cell>
        </row>
        <row r="162">
          <cell r="A162" t="str">
            <v>CDG6 </v>
          </cell>
          <cell r="B162">
            <v>164</v>
          </cell>
          <cell r="C162" t="str">
            <v>Cultura/giovani/sport - Q. Borgo                            </v>
          </cell>
          <cell r="D162">
            <v>5</v>
          </cell>
          <cell r="E162">
            <v>5919</v>
          </cell>
          <cell r="F162" t="str">
            <v>Q.RI BIBLIOTECHE DI QUARTIERE                               </v>
          </cell>
          <cell r="G162">
            <v>0</v>
          </cell>
          <cell r="H162">
            <v>3227.86</v>
          </cell>
          <cell r="I162">
            <v>40800.1</v>
          </cell>
          <cell r="J162">
            <v>45964.66</v>
          </cell>
          <cell r="K162">
            <v>45964.66</v>
          </cell>
        </row>
        <row r="163">
          <cell r="A163" t="str">
            <v>CDG6 </v>
          </cell>
          <cell r="B163">
            <v>174</v>
          </cell>
          <cell r="C163" t="str">
            <v>Cultura/giovani/sport - Q. Navile                           </v>
          </cell>
          <cell r="D163">
            <v>5</v>
          </cell>
          <cell r="E163">
            <v>5919</v>
          </cell>
          <cell r="F163" t="str">
            <v>Q.RI BIBLIOTECHE DI QUARTIERE                               </v>
          </cell>
          <cell r="G163">
            <v>0</v>
          </cell>
          <cell r="H163">
            <v>2344.76</v>
          </cell>
          <cell r="I163">
            <v>23240.56</v>
          </cell>
          <cell r="J163">
            <v>23240.56</v>
          </cell>
          <cell r="K163">
            <v>23240.56</v>
          </cell>
        </row>
        <row r="164">
          <cell r="A164" t="str">
            <v>CDG6 </v>
          </cell>
          <cell r="B164">
            <v>184</v>
          </cell>
          <cell r="C164" t="str">
            <v>Cultura/giovani/sport - Q. Porto                            </v>
          </cell>
          <cell r="D164">
            <v>5</v>
          </cell>
          <cell r="E164">
            <v>5919</v>
          </cell>
          <cell r="F164" t="str">
            <v>Q.RI BIBLIOTECHE DI QUARTIERE                               </v>
          </cell>
          <cell r="G164">
            <v>0</v>
          </cell>
          <cell r="H164">
            <v>1829.12</v>
          </cell>
          <cell r="I164">
            <v>34086.16</v>
          </cell>
          <cell r="J164">
            <v>28405.13</v>
          </cell>
          <cell r="K164">
            <v>28405.13</v>
          </cell>
        </row>
        <row r="165">
          <cell r="A165" t="str">
            <v>CDG6 </v>
          </cell>
          <cell r="B165">
            <v>194</v>
          </cell>
          <cell r="C165" t="str">
            <v>Cultura/iovani/sport - Q. Reno                              </v>
          </cell>
          <cell r="D165">
            <v>5</v>
          </cell>
          <cell r="E165">
            <v>5919</v>
          </cell>
          <cell r="F165" t="str">
            <v>Q.RI BIBLIOTECHE DI QUARTIERE                               </v>
          </cell>
          <cell r="G165">
            <v>0</v>
          </cell>
          <cell r="H165">
            <v>860.76</v>
          </cell>
          <cell r="I165">
            <v>15493.71</v>
          </cell>
          <cell r="J165">
            <v>15493.71</v>
          </cell>
          <cell r="K165">
            <v>15493.71</v>
          </cell>
        </row>
        <row r="166">
          <cell r="A166" t="str">
            <v>CDG6 </v>
          </cell>
          <cell r="B166">
            <v>204</v>
          </cell>
          <cell r="C166" t="str">
            <v>Cultura/giovani/sport - Q. San Donato                       </v>
          </cell>
          <cell r="D166">
            <v>5</v>
          </cell>
          <cell r="E166">
            <v>5919</v>
          </cell>
          <cell r="F166" t="str">
            <v>Q.RI BIBLIOTECHE DI QUARTIERE                               </v>
          </cell>
          <cell r="G166">
            <v>0</v>
          </cell>
          <cell r="H166">
            <v>860.76</v>
          </cell>
          <cell r="I166">
            <v>20658.28</v>
          </cell>
          <cell r="J166">
            <v>5164.57</v>
          </cell>
          <cell r="K166">
            <v>5164.57</v>
          </cell>
        </row>
        <row r="167">
          <cell r="A167" t="str">
            <v>CDG6 </v>
          </cell>
          <cell r="B167">
            <v>214</v>
          </cell>
          <cell r="C167" t="str">
            <v>Cultura/giovani/sport - Q. Santo Stefano                    </v>
          </cell>
          <cell r="D167">
            <v>5</v>
          </cell>
          <cell r="E167">
            <v>5919</v>
          </cell>
          <cell r="F167" t="str">
            <v>Q.RI BIBLIOTECHE DI QUARTIERE                               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CDG6 </v>
          </cell>
          <cell r="B168">
            <v>224</v>
          </cell>
          <cell r="C168" t="str">
            <v>Cultura/giovani/sport - Q. San Vitale                       </v>
          </cell>
          <cell r="D168">
            <v>5</v>
          </cell>
          <cell r="E168">
            <v>5919</v>
          </cell>
          <cell r="F168" t="str">
            <v>Q.RI BIBLIOTECHE DI QUARTIERE                               </v>
          </cell>
          <cell r="G168">
            <v>0</v>
          </cell>
          <cell r="H168">
            <v>301.27</v>
          </cell>
          <cell r="I168">
            <v>5164.57</v>
          </cell>
          <cell r="J168">
            <v>15493.71</v>
          </cell>
          <cell r="K168">
            <v>7746.85</v>
          </cell>
        </row>
        <row r="169">
          <cell r="A169" t="str">
            <v>CDG6 </v>
          </cell>
          <cell r="B169">
            <v>234</v>
          </cell>
          <cell r="C169" t="str">
            <v>Cultura/giovani/sport - Q. Saragozza                        </v>
          </cell>
          <cell r="D169">
            <v>5</v>
          </cell>
          <cell r="E169">
            <v>5919</v>
          </cell>
          <cell r="F169" t="str">
            <v>Q.RI BIBLIOTECHE DI QUARTIERE                               </v>
          </cell>
          <cell r="G169">
            <v>0</v>
          </cell>
          <cell r="H169">
            <v>2754.44</v>
          </cell>
          <cell r="I169">
            <v>43508.4</v>
          </cell>
          <cell r="J169">
            <v>51647</v>
          </cell>
          <cell r="K169">
            <v>51645.69</v>
          </cell>
        </row>
        <row r="170">
          <cell r="A170" t="str">
            <v>CDG6 </v>
          </cell>
          <cell r="B170">
            <v>244</v>
          </cell>
          <cell r="C170" t="str">
            <v>Cultura/giovani/sport - Q. Savena                           </v>
          </cell>
          <cell r="D170">
            <v>5</v>
          </cell>
          <cell r="E170">
            <v>5919</v>
          </cell>
          <cell r="F170" t="str">
            <v>Q.RI BIBLIOTECHE DI QUARTIERE                               </v>
          </cell>
          <cell r="G170">
            <v>0</v>
          </cell>
          <cell r="H170">
            <v>6283.56</v>
          </cell>
          <cell r="I170">
            <v>54744.43</v>
          </cell>
          <cell r="J170">
            <v>54744</v>
          </cell>
          <cell r="K170">
            <v>54744.43</v>
          </cell>
        </row>
        <row r="171">
          <cell r="A171" t="str">
            <v>CDG6 </v>
          </cell>
          <cell r="B171">
            <v>164</v>
          </cell>
          <cell r="C171" t="str">
            <v>Cultura/giovani/sport - Q. Borgo                            </v>
          </cell>
          <cell r="D171">
            <v>5</v>
          </cell>
          <cell r="E171">
            <v>5920</v>
          </cell>
          <cell r="F171" t="str">
            <v>Q.RI IMPIANTI SPORTIVI                                      </v>
          </cell>
          <cell r="G171">
            <v>0</v>
          </cell>
          <cell r="H171">
            <v>1506.33</v>
          </cell>
          <cell r="I171">
            <v>3615.2</v>
          </cell>
          <cell r="J171">
            <v>3615.2</v>
          </cell>
          <cell r="K171">
            <v>3615.2</v>
          </cell>
        </row>
        <row r="172">
          <cell r="A172" t="str">
            <v>CDG6 </v>
          </cell>
          <cell r="B172">
            <v>174</v>
          </cell>
          <cell r="C172" t="str">
            <v>Cultura/giovani/sport - Q. Navile                           </v>
          </cell>
          <cell r="D172">
            <v>5</v>
          </cell>
          <cell r="E172">
            <v>5920</v>
          </cell>
          <cell r="F172" t="str">
            <v>Q.RI IMPIANTI SPORTIVI                                      </v>
          </cell>
          <cell r="G172">
            <v>0</v>
          </cell>
          <cell r="H172">
            <v>8428.08</v>
          </cell>
          <cell r="I172">
            <v>105873.66</v>
          </cell>
          <cell r="J172">
            <v>105873.66</v>
          </cell>
          <cell r="K172">
            <v>105873.66</v>
          </cell>
        </row>
        <row r="173">
          <cell r="A173" t="str">
            <v>CDG6 </v>
          </cell>
          <cell r="B173">
            <v>184</v>
          </cell>
          <cell r="C173" t="str">
            <v>Cultura/giovani/sport - Q. Porto                            </v>
          </cell>
          <cell r="D173">
            <v>5</v>
          </cell>
          <cell r="E173">
            <v>5920</v>
          </cell>
          <cell r="F173" t="str">
            <v>Q.RI IMPIANTI SPORTIVI                                      </v>
          </cell>
          <cell r="G173">
            <v>0</v>
          </cell>
          <cell r="H173">
            <v>8231.03</v>
          </cell>
          <cell r="I173">
            <v>113620.52</v>
          </cell>
          <cell r="J173">
            <v>108455.95</v>
          </cell>
          <cell r="K173">
            <v>108455.95</v>
          </cell>
        </row>
        <row r="174">
          <cell r="A174" t="str">
            <v>CDG6 </v>
          </cell>
          <cell r="B174">
            <v>194</v>
          </cell>
          <cell r="C174" t="str">
            <v>Cultura/iovani/sport - Q. Reno                              </v>
          </cell>
          <cell r="D174">
            <v>5</v>
          </cell>
          <cell r="E174">
            <v>5920</v>
          </cell>
          <cell r="F174" t="str">
            <v>Q.RI IMPIANTI SPORTIVI                                      </v>
          </cell>
          <cell r="G174">
            <v>0</v>
          </cell>
          <cell r="H174">
            <v>24095.16</v>
          </cell>
          <cell r="I174">
            <v>284567.75</v>
          </cell>
          <cell r="J174">
            <v>284567.75</v>
          </cell>
          <cell r="K174">
            <v>284567.75</v>
          </cell>
        </row>
        <row r="175">
          <cell r="A175" t="str">
            <v>CDG6 </v>
          </cell>
          <cell r="B175">
            <v>204</v>
          </cell>
          <cell r="C175" t="str">
            <v>Cultura/giovani/sport - Q. San Donato                       </v>
          </cell>
          <cell r="D175">
            <v>5</v>
          </cell>
          <cell r="E175">
            <v>5920</v>
          </cell>
          <cell r="F175" t="str">
            <v>Q.RI IMPIANTI SPORTIVI                                      </v>
          </cell>
          <cell r="G175">
            <v>0</v>
          </cell>
          <cell r="H175">
            <v>344.3</v>
          </cell>
          <cell r="I175">
            <v>4131.66</v>
          </cell>
          <cell r="J175">
            <v>0</v>
          </cell>
          <cell r="K175">
            <v>0</v>
          </cell>
        </row>
        <row r="176">
          <cell r="A176" t="str">
            <v>CDG6 </v>
          </cell>
          <cell r="B176">
            <v>214</v>
          </cell>
          <cell r="C176" t="str">
            <v>Cultura/giovani/sport - Q. Santo Stefano                    </v>
          </cell>
          <cell r="D176">
            <v>5</v>
          </cell>
          <cell r="E176">
            <v>5920</v>
          </cell>
          <cell r="F176" t="str">
            <v>Q.RI IMPIANTI SPORTIVI                                      </v>
          </cell>
          <cell r="G176">
            <v>0</v>
          </cell>
          <cell r="H176">
            <v>1237.78</v>
          </cell>
          <cell r="I176">
            <v>14977.25</v>
          </cell>
          <cell r="J176">
            <v>14977.25</v>
          </cell>
          <cell r="K176">
            <v>14977.25</v>
          </cell>
        </row>
        <row r="177">
          <cell r="A177" t="str">
            <v>CDG6 </v>
          </cell>
          <cell r="B177">
            <v>224</v>
          </cell>
          <cell r="C177" t="str">
            <v>Cultura/giovani/sport - Q. San Vitale                       </v>
          </cell>
          <cell r="D177">
            <v>5</v>
          </cell>
          <cell r="E177">
            <v>5920</v>
          </cell>
          <cell r="F177" t="str">
            <v>Q.RI IMPIANTI SPORTIVI                                      </v>
          </cell>
          <cell r="G177">
            <v>0</v>
          </cell>
          <cell r="H177">
            <v>9468.38</v>
          </cell>
          <cell r="I177">
            <v>100709.1</v>
          </cell>
          <cell r="J177">
            <v>91051.35</v>
          </cell>
          <cell r="K177">
            <v>91051.35</v>
          </cell>
        </row>
        <row r="178">
          <cell r="A178" t="str">
            <v>CDG6 </v>
          </cell>
          <cell r="B178">
            <v>234</v>
          </cell>
          <cell r="C178" t="str">
            <v>Cultura/giovani/sport - Q. Saragozza                        </v>
          </cell>
          <cell r="D178">
            <v>5</v>
          </cell>
          <cell r="E178">
            <v>5920</v>
          </cell>
          <cell r="F178" t="str">
            <v>Q.RI IMPIANTI SPORTIVI                                      </v>
          </cell>
          <cell r="G178">
            <v>0</v>
          </cell>
          <cell r="H178">
            <v>0</v>
          </cell>
          <cell r="I178">
            <v>3615.2</v>
          </cell>
          <cell r="J178">
            <v>3615</v>
          </cell>
          <cell r="K178">
            <v>3615.2</v>
          </cell>
        </row>
        <row r="179">
          <cell r="A179" t="str">
            <v>CDG6 </v>
          </cell>
          <cell r="B179">
            <v>244</v>
          </cell>
          <cell r="C179" t="str">
            <v>Cultura/giovani/sport - Q. Savena                           </v>
          </cell>
          <cell r="D179">
            <v>5</v>
          </cell>
          <cell r="E179">
            <v>5920</v>
          </cell>
          <cell r="F179" t="str">
            <v>Q.RI IMPIANTI SPORTIVI                                      </v>
          </cell>
          <cell r="G179">
            <v>0</v>
          </cell>
          <cell r="H179">
            <v>7615.33</v>
          </cell>
          <cell r="I179">
            <v>61458.37</v>
          </cell>
          <cell r="J179">
            <v>61458</v>
          </cell>
          <cell r="K179">
            <v>61458.37</v>
          </cell>
        </row>
        <row r="180">
          <cell r="A180" t="str">
            <v>CDG6 </v>
          </cell>
          <cell r="B180">
            <v>157</v>
          </cell>
          <cell r="C180" t="str">
            <v>Servizi socio assistenziali - Q. Borgo                      </v>
          </cell>
          <cell r="D180">
            <v>5</v>
          </cell>
          <cell r="E180">
            <v>5921</v>
          </cell>
          <cell r="F180" t="str">
            <v>Q.RI CAMPI SOSTA NOMADI                                     </v>
          </cell>
          <cell r="G180">
            <v>0</v>
          </cell>
          <cell r="H180">
            <v>1075.95</v>
          </cell>
          <cell r="I180">
            <v>23240.56</v>
          </cell>
          <cell r="J180">
            <v>25822.84</v>
          </cell>
          <cell r="K180">
            <v>25822.84</v>
          </cell>
        </row>
        <row r="181">
          <cell r="A181" t="str">
            <v>CDG6 </v>
          </cell>
          <cell r="B181">
            <v>167</v>
          </cell>
          <cell r="C181" t="str">
            <v>Servizi socio assistenziali - Q. Navile                     </v>
          </cell>
          <cell r="D181">
            <v>5</v>
          </cell>
          <cell r="E181">
            <v>5921</v>
          </cell>
          <cell r="F181" t="str">
            <v>Q.RI CAMPI SOSTA NOMADI                                     </v>
          </cell>
          <cell r="G181">
            <v>0</v>
          </cell>
          <cell r="H181">
            <v>1936.71</v>
          </cell>
          <cell r="I181">
            <v>26855.76</v>
          </cell>
          <cell r="J181">
            <v>27888.67</v>
          </cell>
          <cell r="K181">
            <v>27888.67</v>
          </cell>
        </row>
        <row r="182">
          <cell r="A182" t="str">
            <v>CDG6 </v>
          </cell>
          <cell r="B182">
            <v>177</v>
          </cell>
          <cell r="C182" t="str">
            <v>Servizi socio assistenziali - Q. Porto                      </v>
          </cell>
          <cell r="D182">
            <v>5</v>
          </cell>
          <cell r="E182">
            <v>5921</v>
          </cell>
          <cell r="F182" t="str">
            <v>Q.RI CAMPI SOSTA NOMADI                                     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CDG6 </v>
          </cell>
          <cell r="B183">
            <v>187</v>
          </cell>
          <cell r="C183" t="str">
            <v>Servi. socio assistenziali - Q. Reno                        </v>
          </cell>
          <cell r="D183">
            <v>5</v>
          </cell>
          <cell r="E183">
            <v>5921</v>
          </cell>
          <cell r="F183" t="str">
            <v>Q.RI CAMPI SOSTA NOMADI                                     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CDG6 </v>
          </cell>
          <cell r="B184">
            <v>197</v>
          </cell>
          <cell r="C184" t="str">
            <v>Servi. socio assistenz. - Q. San Donato                     </v>
          </cell>
          <cell r="D184">
            <v>5</v>
          </cell>
          <cell r="E184">
            <v>5921</v>
          </cell>
          <cell r="F184" t="str">
            <v>Q.RI CAMPI SOSTA NOMADI                                     </v>
          </cell>
          <cell r="G184">
            <v>0</v>
          </cell>
          <cell r="H184">
            <v>4981.66</v>
          </cell>
          <cell r="I184">
            <v>77468.53</v>
          </cell>
          <cell r="J184">
            <v>74886.25</v>
          </cell>
          <cell r="K184">
            <v>74886.25</v>
          </cell>
        </row>
        <row r="185">
          <cell r="A185" t="str">
            <v>CDG6 </v>
          </cell>
          <cell r="B185">
            <v>207</v>
          </cell>
          <cell r="C185" t="str">
            <v>Servi. socio assistenz. - Q. S.Stefano                      </v>
          </cell>
          <cell r="D185">
            <v>5</v>
          </cell>
          <cell r="E185">
            <v>5921</v>
          </cell>
          <cell r="F185" t="str">
            <v>Q.RI CAMPI SOSTA NOMADI                                     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CDG6 </v>
          </cell>
          <cell r="B186">
            <v>217</v>
          </cell>
          <cell r="C186" t="str">
            <v>Servi. socio assistenz. - Q. San Vitale                     </v>
          </cell>
          <cell r="D186">
            <v>5</v>
          </cell>
          <cell r="E186">
            <v>5921</v>
          </cell>
          <cell r="F186" t="str">
            <v>Q.RI CAMPI SOSTA NOMADI                                     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CDG6 </v>
          </cell>
          <cell r="B187">
            <v>227</v>
          </cell>
          <cell r="C187" t="str">
            <v>Servi. socio assistenz. - Q. Saragozza                      </v>
          </cell>
          <cell r="D187">
            <v>5</v>
          </cell>
          <cell r="E187">
            <v>5921</v>
          </cell>
          <cell r="F187" t="str">
            <v>Q.RI CAMPI SOSTA NOMADI                                     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CDG6 </v>
          </cell>
          <cell r="B188">
            <v>237</v>
          </cell>
          <cell r="C188" t="str">
            <v>Servi. socio assistenziali - Q. Savena                      </v>
          </cell>
          <cell r="D188">
            <v>5</v>
          </cell>
          <cell r="E188">
            <v>5921</v>
          </cell>
          <cell r="F188" t="str">
            <v>Q.RI CAMPI SOSTA NOMADI                                     </v>
          </cell>
          <cell r="G188">
            <v>0</v>
          </cell>
          <cell r="H188">
            <v>2928.31</v>
          </cell>
          <cell r="I188">
            <v>37184.9</v>
          </cell>
          <cell r="J188">
            <v>37185</v>
          </cell>
          <cell r="K188">
            <v>37184.9</v>
          </cell>
        </row>
        <row r="189">
          <cell r="A189" t="str">
            <v>CDG6 </v>
          </cell>
          <cell r="B189">
            <v>157</v>
          </cell>
          <cell r="C189" t="str">
            <v>Servizi socio assistenziali - Q. Borgo                      </v>
          </cell>
          <cell r="D189">
            <v>5</v>
          </cell>
          <cell r="E189">
            <v>5922</v>
          </cell>
          <cell r="F189" t="str">
            <v>Q.RI SPERIMENTAZIONE SERVIZI PER ANZIANI                    </v>
          </cell>
          <cell r="G189">
            <v>0</v>
          </cell>
          <cell r="H189">
            <v>1721.52</v>
          </cell>
          <cell r="I189">
            <v>20658.28</v>
          </cell>
          <cell r="J189">
            <v>20658.28</v>
          </cell>
          <cell r="K189">
            <v>20658.28</v>
          </cell>
        </row>
        <row r="190">
          <cell r="A190" t="str">
            <v>CDG6 </v>
          </cell>
          <cell r="B190">
            <v>167</v>
          </cell>
          <cell r="C190" t="str">
            <v>Servizi socio assistenziali - Q. Navile                     </v>
          </cell>
          <cell r="D190">
            <v>5</v>
          </cell>
          <cell r="E190">
            <v>5922</v>
          </cell>
          <cell r="F190" t="str">
            <v>Q.RI SPERIMENTAZIONE SERVIZI PER ANZIANI                    </v>
          </cell>
          <cell r="G190">
            <v>0</v>
          </cell>
          <cell r="H190">
            <v>645.57</v>
          </cell>
          <cell r="I190">
            <v>13427.88</v>
          </cell>
          <cell r="J190">
            <v>13944.34</v>
          </cell>
          <cell r="K190">
            <v>13944.34</v>
          </cell>
        </row>
        <row r="191">
          <cell r="A191" t="str">
            <v>CDG6 </v>
          </cell>
          <cell r="B191">
            <v>177</v>
          </cell>
          <cell r="C191" t="str">
            <v>Servizi socio assistenziali - Q. Porto                      </v>
          </cell>
          <cell r="D191">
            <v>5</v>
          </cell>
          <cell r="E191">
            <v>5922</v>
          </cell>
          <cell r="F191" t="str">
            <v>Q.RI SPERIMENTAZIONE SERVIZI PER ANZIANI                    </v>
          </cell>
          <cell r="G191">
            <v>0</v>
          </cell>
          <cell r="H191">
            <v>516.46</v>
          </cell>
          <cell r="I191">
            <v>7746.85</v>
          </cell>
          <cell r="J191">
            <v>7746.85</v>
          </cell>
          <cell r="K191">
            <v>7746.85</v>
          </cell>
        </row>
        <row r="192">
          <cell r="A192" t="str">
            <v>CDG6 </v>
          </cell>
          <cell r="B192">
            <v>187</v>
          </cell>
          <cell r="C192" t="str">
            <v>Servi. socio assistenziali - Q. Reno                        </v>
          </cell>
          <cell r="D192">
            <v>5</v>
          </cell>
          <cell r="E192">
            <v>5922</v>
          </cell>
          <cell r="F192" t="str">
            <v>Q.RI SPERIMENTAZIONE SERVIZI PER ANZIANI                    </v>
          </cell>
          <cell r="G192">
            <v>0</v>
          </cell>
          <cell r="H192">
            <v>3991.85</v>
          </cell>
          <cell r="I192">
            <v>36151.98</v>
          </cell>
          <cell r="J192">
            <v>36151.98</v>
          </cell>
          <cell r="K192">
            <v>43898.84</v>
          </cell>
        </row>
        <row r="193">
          <cell r="A193" t="str">
            <v>CDG6 </v>
          </cell>
          <cell r="B193">
            <v>197</v>
          </cell>
          <cell r="C193" t="str">
            <v>Servi. socio assistenz. - Q. San Donato                     </v>
          </cell>
          <cell r="D193">
            <v>5</v>
          </cell>
          <cell r="E193">
            <v>5922</v>
          </cell>
          <cell r="F193" t="str">
            <v>Q.RI SPERIMENTAZIONE SERVIZI PER ANZIANI                    </v>
          </cell>
          <cell r="G193">
            <v>0</v>
          </cell>
          <cell r="H193">
            <v>2108.87</v>
          </cell>
          <cell r="I193">
            <v>41316.55</v>
          </cell>
          <cell r="J193">
            <v>41316.55</v>
          </cell>
          <cell r="K193">
            <v>41316.55</v>
          </cell>
        </row>
        <row r="194">
          <cell r="A194" t="str">
            <v>CDG6 </v>
          </cell>
          <cell r="B194">
            <v>207</v>
          </cell>
          <cell r="C194" t="str">
            <v>Servi. socio assistenz. - Q. S.Stefano                      </v>
          </cell>
          <cell r="D194">
            <v>5</v>
          </cell>
          <cell r="E194">
            <v>5922</v>
          </cell>
          <cell r="F194" t="str">
            <v>Q.RI SPERIMENTAZIONE SERVIZI PER ANZIANI                    </v>
          </cell>
          <cell r="G194">
            <v>0</v>
          </cell>
          <cell r="H194">
            <v>4705.86</v>
          </cell>
          <cell r="I194">
            <v>69721.68</v>
          </cell>
          <cell r="J194">
            <v>71787.51</v>
          </cell>
          <cell r="K194">
            <v>71787.51</v>
          </cell>
        </row>
        <row r="195">
          <cell r="A195" t="str">
            <v>CDG6 </v>
          </cell>
          <cell r="B195">
            <v>217</v>
          </cell>
          <cell r="C195" t="str">
            <v>Servi. socio assistenz. - Q. San Vitale                     </v>
          </cell>
          <cell r="D195">
            <v>5</v>
          </cell>
          <cell r="E195">
            <v>5922</v>
          </cell>
          <cell r="F195" t="str">
            <v>Q.RI SPERIMENTAZIONE SERVIZI PER ANZIANI                    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CDG6 </v>
          </cell>
          <cell r="B196">
            <v>227</v>
          </cell>
          <cell r="C196" t="str">
            <v>Servi. socio assistenz. - Q. Saragozza                      </v>
          </cell>
          <cell r="D196">
            <v>5</v>
          </cell>
          <cell r="E196">
            <v>5922</v>
          </cell>
          <cell r="F196" t="str">
            <v>Q.RI SPERIMENTAZIONE SERVIZI PER ANZIANI                    </v>
          </cell>
          <cell r="G196">
            <v>0</v>
          </cell>
          <cell r="H196">
            <v>516.46</v>
          </cell>
          <cell r="I196">
            <v>6197.48</v>
          </cell>
          <cell r="J196">
            <v>6197</v>
          </cell>
          <cell r="K196">
            <v>6197.48</v>
          </cell>
        </row>
        <row r="197">
          <cell r="A197" t="str">
            <v>CDG6 </v>
          </cell>
          <cell r="B197">
            <v>237</v>
          </cell>
          <cell r="C197" t="str">
            <v>Servi. socio assistenziali - Q. Savena                      </v>
          </cell>
          <cell r="D197">
            <v>5</v>
          </cell>
          <cell r="E197">
            <v>5922</v>
          </cell>
          <cell r="F197" t="str">
            <v>Q.RI SPERIMENTAZIONE SERVIZI PER ANZIANI                    </v>
          </cell>
          <cell r="G197">
            <v>0</v>
          </cell>
          <cell r="H197">
            <v>5016.56</v>
          </cell>
          <cell r="I197">
            <v>76435.62</v>
          </cell>
          <cell r="J197">
            <v>87519</v>
          </cell>
          <cell r="K197">
            <v>87518.79</v>
          </cell>
        </row>
        <row r="198">
          <cell r="A198" t="str">
            <v>CDG6 </v>
          </cell>
          <cell r="B198">
            <v>156</v>
          </cell>
          <cell r="C198" t="str">
            <v>Direz. aff. gen. e isti. - Q. Borgo                         </v>
          </cell>
          <cell r="D198">
            <v>5</v>
          </cell>
          <cell r="E198">
            <v>5923</v>
          </cell>
          <cell r="F198" t="str">
            <v>Q.RI INTERVENTI PROMOZIONALI DIVERSI                        </v>
          </cell>
          <cell r="G198">
            <v>0</v>
          </cell>
          <cell r="H198">
            <v>4020.62</v>
          </cell>
          <cell r="I198">
            <v>67779.8</v>
          </cell>
          <cell r="J198">
            <v>68172.31</v>
          </cell>
          <cell r="K198">
            <v>68172.31</v>
          </cell>
        </row>
        <row r="199">
          <cell r="A199" t="str">
            <v>CDG6 </v>
          </cell>
          <cell r="B199">
            <v>166</v>
          </cell>
          <cell r="C199" t="str">
            <v>Direz. aff. gen. e isti. - Q. Navile                        </v>
          </cell>
          <cell r="D199">
            <v>5</v>
          </cell>
          <cell r="E199">
            <v>5923</v>
          </cell>
          <cell r="F199" t="str">
            <v>Q.RI INTERVENTI PROMOZIONALI DIVERSI                        </v>
          </cell>
          <cell r="G199">
            <v>0</v>
          </cell>
          <cell r="H199">
            <v>5379.76</v>
          </cell>
          <cell r="I199">
            <v>59392.54</v>
          </cell>
          <cell r="J199">
            <v>59392.54</v>
          </cell>
          <cell r="K199">
            <v>59392.54</v>
          </cell>
        </row>
        <row r="200">
          <cell r="A200" t="str">
            <v>CDG6 </v>
          </cell>
          <cell r="B200">
            <v>176</v>
          </cell>
          <cell r="C200" t="str">
            <v>Direz. aff. gen. e isti. - Q. Porto                         </v>
          </cell>
          <cell r="D200">
            <v>5</v>
          </cell>
          <cell r="E200">
            <v>5923</v>
          </cell>
          <cell r="F200" t="str">
            <v>Q.RI INTERVENTI PROMOZIONALI DIVERSI                        </v>
          </cell>
          <cell r="G200">
            <v>0</v>
          </cell>
          <cell r="H200">
            <v>3260.13</v>
          </cell>
          <cell r="I200">
            <v>37184.9</v>
          </cell>
          <cell r="J200">
            <v>41316.55</v>
          </cell>
          <cell r="K200">
            <v>41316.55</v>
          </cell>
        </row>
        <row r="201">
          <cell r="A201" t="str">
            <v>CDG6 </v>
          </cell>
          <cell r="B201">
            <v>186</v>
          </cell>
          <cell r="C201" t="str">
            <v>Direz. aff. gen. e isti. - Q. Reno                          </v>
          </cell>
          <cell r="D201">
            <v>5</v>
          </cell>
          <cell r="E201">
            <v>5923</v>
          </cell>
          <cell r="F201" t="str">
            <v>Q.RI INTERVENTI PROMOZIONALI DIVERSI                        </v>
          </cell>
          <cell r="G201">
            <v>0</v>
          </cell>
          <cell r="H201">
            <v>2727.62</v>
          </cell>
          <cell r="I201">
            <v>30987.41</v>
          </cell>
          <cell r="J201">
            <v>30987.41</v>
          </cell>
          <cell r="K201">
            <v>38734.27</v>
          </cell>
        </row>
        <row r="202">
          <cell r="A202" t="str">
            <v>CDG6 </v>
          </cell>
          <cell r="B202">
            <v>196</v>
          </cell>
          <cell r="C202" t="str">
            <v>Direz. aff. gen. e isti. - Q. San Donato                    </v>
          </cell>
          <cell r="D202">
            <v>5</v>
          </cell>
          <cell r="E202">
            <v>5923</v>
          </cell>
          <cell r="F202" t="str">
            <v>Q.RI INTERVENTI PROMOZIONALI DIVERSI                        </v>
          </cell>
          <cell r="G202">
            <v>0</v>
          </cell>
          <cell r="H202">
            <v>2318.03</v>
          </cell>
          <cell r="I202">
            <v>36151.98</v>
          </cell>
          <cell r="J202">
            <v>53711.52</v>
          </cell>
          <cell r="K202">
            <v>58876.09</v>
          </cell>
        </row>
        <row r="203">
          <cell r="A203" t="str">
            <v>CDG6 </v>
          </cell>
          <cell r="B203">
            <v>206</v>
          </cell>
          <cell r="C203" t="str">
            <v>Direz. aff. gen. e isti. - Q. S.Stefano                     </v>
          </cell>
          <cell r="D203">
            <v>5</v>
          </cell>
          <cell r="E203">
            <v>5923</v>
          </cell>
          <cell r="F203" t="str">
            <v>Q.RI INTERVENTI PROMOZIONALI DIVERSI                        </v>
          </cell>
          <cell r="G203">
            <v>0</v>
          </cell>
          <cell r="H203">
            <v>5079.23</v>
          </cell>
          <cell r="I203">
            <v>62491.28</v>
          </cell>
          <cell r="J203">
            <v>67655.85</v>
          </cell>
          <cell r="K203">
            <v>67655.85</v>
          </cell>
        </row>
        <row r="204">
          <cell r="A204" t="str">
            <v>CDG6 </v>
          </cell>
          <cell r="B204">
            <v>216</v>
          </cell>
          <cell r="C204" t="str">
            <v>Direz. aff. gen. e isti. - Q. San Vitale                    </v>
          </cell>
          <cell r="D204">
            <v>5</v>
          </cell>
          <cell r="E204">
            <v>5923</v>
          </cell>
          <cell r="F204" t="str">
            <v>Q.RI INTERVENTI PROMOZIONALI DIVERSI                        </v>
          </cell>
          <cell r="G204">
            <v>0</v>
          </cell>
          <cell r="H204">
            <v>4301.66</v>
          </cell>
          <cell r="I204">
            <v>57326.72</v>
          </cell>
          <cell r="J204">
            <v>40541.87</v>
          </cell>
          <cell r="K204">
            <v>49321.63</v>
          </cell>
        </row>
        <row r="205">
          <cell r="A205" t="str">
            <v>CDG6 </v>
          </cell>
          <cell r="B205">
            <v>226</v>
          </cell>
          <cell r="C205" t="str">
            <v>Direz. aff. gen. e isti. - Q. Saragozza                     </v>
          </cell>
          <cell r="D205">
            <v>5</v>
          </cell>
          <cell r="E205">
            <v>5923</v>
          </cell>
          <cell r="F205" t="str">
            <v>Q.RI INTERVENTI PROMOZIONALI DIVERSI                        </v>
          </cell>
          <cell r="G205">
            <v>0</v>
          </cell>
          <cell r="H205">
            <v>4110.14</v>
          </cell>
          <cell r="I205">
            <v>51645.69</v>
          </cell>
          <cell r="J205">
            <v>51646</v>
          </cell>
          <cell r="K205">
            <v>51645.69</v>
          </cell>
        </row>
        <row r="206">
          <cell r="A206" t="str">
            <v>CDG6 </v>
          </cell>
          <cell r="B206">
            <v>236</v>
          </cell>
          <cell r="C206" t="str">
            <v>Direz. aff. gen. e isti. - Q. Savena                        </v>
          </cell>
          <cell r="D206">
            <v>5</v>
          </cell>
          <cell r="E206">
            <v>5923</v>
          </cell>
          <cell r="F206" t="str">
            <v>Q.RI INTERVENTI PROMOZIONALI DIVERSI                        </v>
          </cell>
          <cell r="G206">
            <v>0</v>
          </cell>
          <cell r="H206">
            <v>5984.66</v>
          </cell>
          <cell r="I206">
            <v>142025.65</v>
          </cell>
          <cell r="J206">
            <v>132782</v>
          </cell>
          <cell r="K206">
            <v>90823.51</v>
          </cell>
        </row>
        <row r="207">
          <cell r="A207" t="str">
            <v>CDG6 </v>
          </cell>
          <cell r="B207">
            <v>156</v>
          </cell>
          <cell r="C207" t="str">
            <v>Direz. aff. gen. e isti. - Q. Borgo                         </v>
          </cell>
          <cell r="D207">
            <v>5</v>
          </cell>
          <cell r="E207">
            <v>5925</v>
          </cell>
          <cell r="F207" t="str">
            <v>Q.RI FONDO INNOVAZIONE                                     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CDG6 </v>
          </cell>
          <cell r="B208">
            <v>166</v>
          </cell>
          <cell r="C208" t="str">
            <v>Direz. aff. gen. e isti. - Q. Navile                        </v>
          </cell>
          <cell r="D208">
            <v>5</v>
          </cell>
          <cell r="E208">
            <v>5925</v>
          </cell>
          <cell r="F208" t="str">
            <v>Q.RI FONDO INNOVAZIONE                                      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CDG6 </v>
          </cell>
          <cell r="B209">
            <v>176</v>
          </cell>
          <cell r="C209" t="str">
            <v>Direz. aff. gen. e isti. - Q. Porto                         </v>
          </cell>
          <cell r="D209">
            <v>5</v>
          </cell>
          <cell r="E209">
            <v>5925</v>
          </cell>
          <cell r="F209" t="str">
            <v>Q.RI FONDO INNOVAZIONE                                      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CDG6 </v>
          </cell>
          <cell r="B210">
            <v>186</v>
          </cell>
          <cell r="C210" t="str">
            <v>Direz. aff. gen. e isti. - Q. Reno                          </v>
          </cell>
          <cell r="D210">
            <v>5</v>
          </cell>
          <cell r="E210">
            <v>5925</v>
          </cell>
          <cell r="F210" t="str">
            <v>Q.RI FONDO INNOVAZIONE                                      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CDG6 </v>
          </cell>
          <cell r="B211">
            <v>196</v>
          </cell>
          <cell r="C211" t="str">
            <v>Direz. aff. gen. e isti. - Q. San Donato                    </v>
          </cell>
          <cell r="D211">
            <v>5</v>
          </cell>
          <cell r="E211">
            <v>5925</v>
          </cell>
          <cell r="F211" t="str">
            <v>Q.RI FONDO INNOVAZIONE                                      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CDG6 </v>
          </cell>
          <cell r="B212">
            <v>206</v>
          </cell>
          <cell r="C212" t="str">
            <v>Direz. aff. gen. e isti. - Q. S.Stefano                     </v>
          </cell>
          <cell r="D212">
            <v>5</v>
          </cell>
          <cell r="E212">
            <v>5925</v>
          </cell>
          <cell r="F212" t="str">
            <v>Q.RI FONDO INNOVAZIONE                                      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CDG6 </v>
          </cell>
          <cell r="B213">
            <v>216</v>
          </cell>
          <cell r="C213" t="str">
            <v>Direz. aff. gen. e isti. - Q. San Vitale                    </v>
          </cell>
          <cell r="D213">
            <v>5</v>
          </cell>
          <cell r="E213">
            <v>5925</v>
          </cell>
          <cell r="F213" t="str">
            <v>Q.RI FONDO INNOVAZIONE                                      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CDG6 </v>
          </cell>
          <cell r="B214">
            <v>226</v>
          </cell>
          <cell r="C214" t="str">
            <v>Direz. aff. gen. e isti. - Q. Saragozza                     </v>
          </cell>
          <cell r="D214">
            <v>5</v>
          </cell>
          <cell r="E214">
            <v>5925</v>
          </cell>
          <cell r="F214" t="str">
            <v>Q.RI FONDO INNOVAZIONE                                      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CDG6 </v>
          </cell>
          <cell r="B215">
            <v>236</v>
          </cell>
          <cell r="C215" t="str">
            <v>Direz. aff. gen. e isti. - Q. Savena                        </v>
          </cell>
          <cell r="D215">
            <v>5</v>
          </cell>
          <cell r="E215">
            <v>5925</v>
          </cell>
          <cell r="F215" t="str">
            <v>Q.RI FONDO INNOVAZIONE                                      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CDG6 </v>
          </cell>
          <cell r="B216">
            <v>162</v>
          </cell>
          <cell r="C216" t="str">
            <v>Altri servizi educativi - Q. Borgo                          </v>
          </cell>
          <cell r="D216">
            <v>5</v>
          </cell>
          <cell r="E216">
            <v>5926</v>
          </cell>
          <cell r="F216" t="str">
            <v>Q.RI DIRITTO ALLO STUDIO                                    </v>
          </cell>
          <cell r="G216">
            <v>0</v>
          </cell>
          <cell r="H216">
            <v>4562.04</v>
          </cell>
          <cell r="I216">
            <v>48515.96</v>
          </cell>
          <cell r="J216">
            <v>51645.69</v>
          </cell>
          <cell r="K216">
            <v>51645.69</v>
          </cell>
        </row>
        <row r="217">
          <cell r="A217" t="str">
            <v>CDG6 </v>
          </cell>
          <cell r="B217">
            <v>172</v>
          </cell>
          <cell r="C217" t="str">
            <v>Altri serv. educativi - Q. Navile                           </v>
          </cell>
          <cell r="D217">
            <v>5</v>
          </cell>
          <cell r="E217">
            <v>5926</v>
          </cell>
          <cell r="F217" t="str">
            <v>Q.RI DIRITTO ALLO STUDIO                                    </v>
          </cell>
          <cell r="G217">
            <v>0</v>
          </cell>
          <cell r="H217">
            <v>12093.7</v>
          </cell>
          <cell r="I217">
            <v>161134.55</v>
          </cell>
          <cell r="J217">
            <v>165782.67</v>
          </cell>
          <cell r="K217">
            <v>165782.66</v>
          </cell>
        </row>
        <row r="218">
          <cell r="A218" t="str">
            <v>CDG6 </v>
          </cell>
          <cell r="B218">
            <v>182</v>
          </cell>
          <cell r="C218" t="str">
            <v>Altri serv. educativi - Q. Porto                            </v>
          </cell>
          <cell r="D218">
            <v>5</v>
          </cell>
          <cell r="E218">
            <v>5926</v>
          </cell>
          <cell r="F218" t="str">
            <v>Q.RI DIRITTO ALLO STUDIO                                    </v>
          </cell>
          <cell r="G218">
            <v>0</v>
          </cell>
          <cell r="H218">
            <v>6843.05</v>
          </cell>
          <cell r="I218">
            <v>62821.82</v>
          </cell>
          <cell r="J218">
            <v>95028.07</v>
          </cell>
          <cell r="K218">
            <v>95028.07</v>
          </cell>
        </row>
        <row r="219">
          <cell r="A219" t="str">
            <v>CDG6 </v>
          </cell>
          <cell r="B219">
            <v>192</v>
          </cell>
          <cell r="C219" t="str">
            <v>Altri serv. educativi - Q. Reno                             </v>
          </cell>
          <cell r="D219">
            <v>5</v>
          </cell>
          <cell r="E219">
            <v>5926</v>
          </cell>
          <cell r="F219" t="str">
            <v>Q.RI DIRITTO ALLO STUDIO                                    </v>
          </cell>
          <cell r="G219">
            <v>0</v>
          </cell>
          <cell r="H219">
            <v>5069.89</v>
          </cell>
          <cell r="I219">
            <v>68606.13</v>
          </cell>
          <cell r="J219">
            <v>70506.7</v>
          </cell>
          <cell r="K219">
            <v>70506.7</v>
          </cell>
        </row>
        <row r="220">
          <cell r="A220" t="str">
            <v>CDG6 </v>
          </cell>
          <cell r="B220">
            <v>202</v>
          </cell>
          <cell r="C220" t="str">
            <v>Altri servizi educativi - Q. San Donato                     </v>
          </cell>
          <cell r="D220">
            <v>5</v>
          </cell>
          <cell r="E220">
            <v>5926</v>
          </cell>
          <cell r="F220" t="str">
            <v>Q.RI DIRITTO ALLO STUDIO                                    </v>
          </cell>
          <cell r="G220">
            <v>0</v>
          </cell>
          <cell r="H220">
            <v>6438.93</v>
          </cell>
          <cell r="I220">
            <v>70171</v>
          </cell>
          <cell r="J220">
            <v>87797.67</v>
          </cell>
          <cell r="K220">
            <v>92962.24</v>
          </cell>
        </row>
        <row r="221">
          <cell r="A221" t="str">
            <v>CDG6 </v>
          </cell>
          <cell r="B221">
            <v>212</v>
          </cell>
          <cell r="C221" t="str">
            <v>Altri serv. educativi - Q. Santo Stefano                    </v>
          </cell>
          <cell r="D221">
            <v>5</v>
          </cell>
          <cell r="E221">
            <v>5926</v>
          </cell>
          <cell r="F221" t="str">
            <v>Q.RI DIRITTO ALLO STUDIO                                    </v>
          </cell>
          <cell r="G221">
            <v>0</v>
          </cell>
          <cell r="H221">
            <v>10908.07</v>
          </cell>
          <cell r="I221">
            <v>202967.56</v>
          </cell>
          <cell r="J221">
            <v>208648.59</v>
          </cell>
          <cell r="K221">
            <v>208648.59</v>
          </cell>
        </row>
        <row r="222">
          <cell r="A222" t="str">
            <v>CDG6 </v>
          </cell>
          <cell r="B222">
            <v>222</v>
          </cell>
          <cell r="C222" t="str">
            <v>Altri serv. educativi - Q. San Vitale                       </v>
          </cell>
          <cell r="D222">
            <v>5</v>
          </cell>
          <cell r="E222">
            <v>5926</v>
          </cell>
          <cell r="F222" t="str">
            <v>Q.RI DIRITTO ALLO STUDIO                                    </v>
          </cell>
          <cell r="G222">
            <v>0</v>
          </cell>
          <cell r="H222">
            <v>10772.56</v>
          </cell>
          <cell r="I222">
            <v>154523.9</v>
          </cell>
          <cell r="J222">
            <v>164957.88</v>
          </cell>
          <cell r="K222">
            <v>164749.75</v>
          </cell>
        </row>
        <row r="223">
          <cell r="A223" t="str">
            <v>CDG6 </v>
          </cell>
          <cell r="B223">
            <v>232</v>
          </cell>
          <cell r="C223" t="str">
            <v>Altri serv. educativi - Q. Saragozza                        </v>
          </cell>
          <cell r="D223">
            <v>5</v>
          </cell>
          <cell r="E223">
            <v>5926</v>
          </cell>
          <cell r="F223" t="str">
            <v>Q.RI DIRITTO ALLO STUDIO                                    </v>
          </cell>
          <cell r="G223">
            <v>0</v>
          </cell>
          <cell r="H223">
            <v>6715.62</v>
          </cell>
          <cell r="I223">
            <v>94397.99</v>
          </cell>
          <cell r="J223">
            <v>120738</v>
          </cell>
          <cell r="K223">
            <v>120850.91</v>
          </cell>
        </row>
        <row r="224">
          <cell r="A224" t="str">
            <v>CDG6 </v>
          </cell>
          <cell r="B224">
            <v>242</v>
          </cell>
          <cell r="C224" t="str">
            <v>Altri serv. educativi - Q. Savena                           </v>
          </cell>
          <cell r="D224">
            <v>5</v>
          </cell>
          <cell r="E224">
            <v>5926</v>
          </cell>
          <cell r="F224" t="str">
            <v>Q.RI DIRITTO ALLO STUDIO                                    </v>
          </cell>
          <cell r="G224">
            <v>0</v>
          </cell>
          <cell r="H224">
            <v>11795.71</v>
          </cell>
          <cell r="I224">
            <v>125499.03</v>
          </cell>
          <cell r="J224">
            <v>178175</v>
          </cell>
          <cell r="K224">
            <v>177836.71</v>
          </cell>
        </row>
        <row r="225">
          <cell r="A225" t="str">
            <v>CDG6 </v>
          </cell>
          <cell r="B225">
            <v>162</v>
          </cell>
          <cell r="C225" t="str">
            <v>Altri servizi educativi - Q. Borgo                          </v>
          </cell>
          <cell r="D225">
            <v>5</v>
          </cell>
          <cell r="E225">
            <v>5927</v>
          </cell>
          <cell r="F225" t="str">
            <v>Q.RI ESTATE IN CITTA'                                       </v>
          </cell>
          <cell r="G225">
            <v>0</v>
          </cell>
          <cell r="H225">
            <v>873.67</v>
          </cell>
          <cell r="I225">
            <v>12911.42</v>
          </cell>
          <cell r="J225">
            <v>14460.79</v>
          </cell>
          <cell r="K225">
            <v>14460.79</v>
          </cell>
        </row>
        <row r="226">
          <cell r="A226" t="str">
            <v>CDG6 </v>
          </cell>
          <cell r="B226">
            <v>172</v>
          </cell>
          <cell r="C226" t="str">
            <v>Altri serv. educativi - Q. Navile                           </v>
          </cell>
          <cell r="D226">
            <v>5</v>
          </cell>
          <cell r="E226">
            <v>5927</v>
          </cell>
          <cell r="F226" t="str">
            <v>Q.RI ESTATE IN CITTA'                                       </v>
          </cell>
          <cell r="G226">
            <v>0</v>
          </cell>
          <cell r="H226">
            <v>2668.36</v>
          </cell>
          <cell r="I226">
            <v>36151.98</v>
          </cell>
          <cell r="J226">
            <v>37184.9</v>
          </cell>
          <cell r="K226">
            <v>37184.9</v>
          </cell>
        </row>
        <row r="227">
          <cell r="A227" t="str">
            <v>CDG6 </v>
          </cell>
          <cell r="B227">
            <v>182</v>
          </cell>
          <cell r="C227" t="str">
            <v>Altri serv. educativi - Q. Porto                            </v>
          </cell>
          <cell r="D227">
            <v>5</v>
          </cell>
          <cell r="E227">
            <v>5927</v>
          </cell>
          <cell r="F227" t="str">
            <v>Q.RI ESTATE IN CITTA'                                       </v>
          </cell>
          <cell r="G227">
            <v>0</v>
          </cell>
          <cell r="H227">
            <v>1026.89</v>
          </cell>
          <cell r="I227">
            <v>12394.97</v>
          </cell>
          <cell r="J227">
            <v>13427.88</v>
          </cell>
          <cell r="K227">
            <v>13427.88</v>
          </cell>
        </row>
        <row r="228">
          <cell r="A228" t="str">
            <v>CDG6 </v>
          </cell>
          <cell r="B228">
            <v>192</v>
          </cell>
          <cell r="C228" t="str">
            <v>Altri serv. educativi - Q. Reno                             </v>
          </cell>
          <cell r="D228">
            <v>5</v>
          </cell>
          <cell r="E228">
            <v>5927</v>
          </cell>
          <cell r="F228" t="str">
            <v>Q.RI ESTATE IN CITTA'                                       </v>
          </cell>
          <cell r="G228">
            <v>0</v>
          </cell>
          <cell r="H228">
            <v>1248.1</v>
          </cell>
          <cell r="I228">
            <v>20658.28</v>
          </cell>
          <cell r="J228">
            <v>21174.73</v>
          </cell>
          <cell r="K228">
            <v>21174.73</v>
          </cell>
        </row>
        <row r="229">
          <cell r="A229" t="str">
            <v>CDG6 </v>
          </cell>
          <cell r="B229">
            <v>202</v>
          </cell>
          <cell r="C229" t="str">
            <v>Altri servizi educativi - Q. San Donato                     </v>
          </cell>
          <cell r="D229">
            <v>5</v>
          </cell>
          <cell r="E229">
            <v>5927</v>
          </cell>
          <cell r="F229" t="str">
            <v>Q.RI ESTATE IN CITTA'                                       </v>
          </cell>
          <cell r="G229">
            <v>0</v>
          </cell>
          <cell r="H229">
            <v>1471.17</v>
          </cell>
          <cell r="I229">
            <v>21174.73</v>
          </cell>
          <cell r="J229">
            <v>21691.19</v>
          </cell>
          <cell r="K229">
            <v>21691.19</v>
          </cell>
        </row>
        <row r="230">
          <cell r="A230" t="str">
            <v>CDG6 </v>
          </cell>
          <cell r="B230">
            <v>212</v>
          </cell>
          <cell r="C230" t="str">
            <v>Altri serv. educativi - Q. Santo Stefano                    </v>
          </cell>
          <cell r="D230">
            <v>5</v>
          </cell>
          <cell r="E230">
            <v>5927</v>
          </cell>
          <cell r="F230" t="str">
            <v>Q.RI ESTATE IN CITTA'                                       </v>
          </cell>
          <cell r="G230">
            <v>0</v>
          </cell>
          <cell r="H230">
            <v>2452.17</v>
          </cell>
          <cell r="I230">
            <v>32536.78</v>
          </cell>
          <cell r="J230">
            <v>35119.07</v>
          </cell>
          <cell r="K230">
            <v>35119.07</v>
          </cell>
        </row>
        <row r="231">
          <cell r="A231" t="str">
            <v>CDG6 </v>
          </cell>
          <cell r="B231">
            <v>222</v>
          </cell>
          <cell r="C231" t="str">
            <v>Altri serv. educativi - Q. San Vitale                       </v>
          </cell>
          <cell r="D231">
            <v>5</v>
          </cell>
          <cell r="E231">
            <v>5927</v>
          </cell>
          <cell r="F231" t="str">
            <v>Q.RI ESTATE IN CITTA'                                       </v>
          </cell>
          <cell r="G231">
            <v>0</v>
          </cell>
          <cell r="H231">
            <v>2022.79</v>
          </cell>
          <cell r="I231">
            <v>24273.47</v>
          </cell>
          <cell r="J231">
            <v>38300.44</v>
          </cell>
          <cell r="K231">
            <v>38217.81</v>
          </cell>
        </row>
        <row r="232">
          <cell r="A232" t="str">
            <v>CDG6 </v>
          </cell>
          <cell r="B232">
            <v>232</v>
          </cell>
          <cell r="C232" t="str">
            <v>Altri serv. educativi - Q. Saragozza                        </v>
          </cell>
          <cell r="D232">
            <v>5</v>
          </cell>
          <cell r="E232">
            <v>5927</v>
          </cell>
          <cell r="F232" t="str">
            <v>Q.RI ESTATE IN CITTA'                                       </v>
          </cell>
          <cell r="G232">
            <v>0</v>
          </cell>
          <cell r="H232">
            <v>2585.77</v>
          </cell>
          <cell r="I232">
            <v>40913.72</v>
          </cell>
          <cell r="J232">
            <v>40913</v>
          </cell>
          <cell r="K232">
            <v>40800.1</v>
          </cell>
        </row>
        <row r="233">
          <cell r="A233" t="str">
            <v>CDG6 </v>
          </cell>
          <cell r="B233">
            <v>242</v>
          </cell>
          <cell r="C233" t="str">
            <v>Altri serv. educativi - Q. Savena                           </v>
          </cell>
          <cell r="D233">
            <v>5</v>
          </cell>
          <cell r="E233">
            <v>5927</v>
          </cell>
          <cell r="F233" t="str">
            <v>Q.RI ESTATE IN CITTA'                                       </v>
          </cell>
          <cell r="G233">
            <v>0</v>
          </cell>
          <cell r="H233">
            <v>2088.21</v>
          </cell>
          <cell r="I233">
            <v>24789.93</v>
          </cell>
          <cell r="J233">
            <v>21810</v>
          </cell>
          <cell r="K233">
            <v>21809.97</v>
          </cell>
        </row>
        <row r="234">
          <cell r="A234" t="str">
            <v>CDG6 </v>
          </cell>
          <cell r="B234">
            <v>162</v>
          </cell>
          <cell r="C234" t="str">
            <v>Altri servizi educativi - Q. Borgo                          </v>
          </cell>
          <cell r="D234">
            <v>5</v>
          </cell>
          <cell r="E234">
            <v>5931</v>
          </cell>
          <cell r="F234" t="str">
            <v>Q.RI ASSISTENZA ALUNNI CON HANDICAP                         </v>
          </cell>
          <cell r="G234">
            <v>0</v>
          </cell>
          <cell r="H234">
            <v>2539.25</v>
          </cell>
          <cell r="I234">
            <v>41316.55</v>
          </cell>
          <cell r="J234">
            <v>56810.26</v>
          </cell>
          <cell r="K234">
            <v>56810.26</v>
          </cell>
        </row>
        <row r="235">
          <cell r="A235" t="str">
            <v>CDG6 </v>
          </cell>
          <cell r="B235">
            <v>172</v>
          </cell>
          <cell r="C235" t="str">
            <v>Altri serv. educativi - Q. Navile                           </v>
          </cell>
          <cell r="D235">
            <v>5</v>
          </cell>
          <cell r="E235">
            <v>5931</v>
          </cell>
          <cell r="F235" t="str">
            <v>Q.RI ASSISTENZA ALUNNI CON HANDICAP                         </v>
          </cell>
          <cell r="G235">
            <v>0</v>
          </cell>
          <cell r="H235">
            <v>17688.65</v>
          </cell>
          <cell r="I235">
            <v>217428.35</v>
          </cell>
          <cell r="J235">
            <v>292314.61</v>
          </cell>
          <cell r="K235">
            <v>292314.6</v>
          </cell>
        </row>
        <row r="236">
          <cell r="A236" t="str">
            <v>CDG6 </v>
          </cell>
          <cell r="B236">
            <v>182</v>
          </cell>
          <cell r="C236" t="str">
            <v>Altri serv. educativi - Q. Porto                            </v>
          </cell>
          <cell r="D236">
            <v>5</v>
          </cell>
          <cell r="E236">
            <v>5931</v>
          </cell>
          <cell r="F236" t="str">
            <v>Q.RI ASSISTENZA ALUNNI CON HANDICAP                         </v>
          </cell>
          <cell r="G236">
            <v>0</v>
          </cell>
          <cell r="H236">
            <v>9259.21</v>
          </cell>
          <cell r="I236">
            <v>149772.5</v>
          </cell>
          <cell r="J236">
            <v>175595.35</v>
          </cell>
          <cell r="K236">
            <v>175595.35</v>
          </cell>
        </row>
        <row r="237">
          <cell r="A237" t="str">
            <v>CDG6 </v>
          </cell>
          <cell r="B237">
            <v>192</v>
          </cell>
          <cell r="C237" t="str">
            <v>Altri serv. educativi - Q. Reno                             </v>
          </cell>
          <cell r="D237">
            <v>5</v>
          </cell>
          <cell r="E237">
            <v>5931</v>
          </cell>
          <cell r="F237" t="str">
            <v>Q.RI ASSISTENZA ALUNNI CON HANDICAP                         </v>
          </cell>
          <cell r="G237">
            <v>0</v>
          </cell>
          <cell r="H237">
            <v>12466.41</v>
          </cell>
          <cell r="I237">
            <v>134278.79</v>
          </cell>
          <cell r="J237">
            <v>170430.78</v>
          </cell>
          <cell r="K237">
            <v>170430.78</v>
          </cell>
        </row>
        <row r="238">
          <cell r="A238" t="str">
            <v>CDG6 </v>
          </cell>
          <cell r="B238">
            <v>202</v>
          </cell>
          <cell r="C238" t="str">
            <v>Altri servizi educativi - Q. San Donato                     </v>
          </cell>
          <cell r="D238">
            <v>5</v>
          </cell>
          <cell r="E238">
            <v>5931</v>
          </cell>
          <cell r="F238" t="str">
            <v>Q.RI ASSISTENZA ALUNNI CON HANDICAP                         </v>
          </cell>
          <cell r="G238">
            <v>0</v>
          </cell>
          <cell r="H238">
            <v>10845.59</v>
          </cell>
          <cell r="I238">
            <v>175595.35</v>
          </cell>
          <cell r="J238">
            <v>231372.69</v>
          </cell>
          <cell r="K238">
            <v>231372.69</v>
          </cell>
        </row>
        <row r="239">
          <cell r="A239" t="str">
            <v>CDG6 </v>
          </cell>
          <cell r="B239">
            <v>212</v>
          </cell>
          <cell r="C239" t="str">
            <v>Altri serv. educativi - Q. Santo Stefano                    </v>
          </cell>
          <cell r="D239">
            <v>5</v>
          </cell>
          <cell r="E239">
            <v>5931</v>
          </cell>
          <cell r="F239" t="str">
            <v>Q.RI ASSISTENZA ALUNNI CON HANDICAP                         </v>
          </cell>
          <cell r="G239">
            <v>0</v>
          </cell>
          <cell r="H239">
            <v>11593.12</v>
          </cell>
          <cell r="I239">
            <v>170430.78</v>
          </cell>
          <cell r="J239">
            <v>167332.04</v>
          </cell>
          <cell r="K239">
            <v>158035.81</v>
          </cell>
        </row>
        <row r="240">
          <cell r="A240" t="str">
            <v>CDG6 </v>
          </cell>
          <cell r="B240">
            <v>222</v>
          </cell>
          <cell r="C240" t="str">
            <v>Altri serv. educativi - Q. San Vitale                       </v>
          </cell>
          <cell r="D240">
            <v>5</v>
          </cell>
          <cell r="E240">
            <v>5931</v>
          </cell>
          <cell r="F240" t="str">
            <v>Q.RI ASSISTENZA ALUNNI CON HANDICAP                         </v>
          </cell>
          <cell r="G240">
            <v>0</v>
          </cell>
          <cell r="H240">
            <v>7987.87</v>
          </cell>
          <cell r="I240">
            <v>103291.38</v>
          </cell>
          <cell r="J240">
            <v>105474.96</v>
          </cell>
          <cell r="K240">
            <v>105357.21</v>
          </cell>
        </row>
        <row r="241">
          <cell r="A241" t="str">
            <v>CDG6 </v>
          </cell>
          <cell r="B241">
            <v>232</v>
          </cell>
          <cell r="C241" t="str">
            <v>Altri serv. educativi - Q. Saragozza                        </v>
          </cell>
          <cell r="D241">
            <v>5</v>
          </cell>
          <cell r="E241">
            <v>5931</v>
          </cell>
          <cell r="F241" t="str">
            <v>Q.RI ASSISTENZA ALUNNI CON HANDICAP                         </v>
          </cell>
          <cell r="G241">
            <v>0</v>
          </cell>
          <cell r="H241">
            <v>8684.91</v>
          </cell>
          <cell r="I241">
            <v>134278.79</v>
          </cell>
          <cell r="J241">
            <v>134279</v>
          </cell>
          <cell r="K241">
            <v>134278.79</v>
          </cell>
        </row>
        <row r="242">
          <cell r="A242" t="str">
            <v>CDG6 </v>
          </cell>
          <cell r="B242">
            <v>242</v>
          </cell>
          <cell r="C242" t="str">
            <v>Altri serv. educativi - Q. Savena                           </v>
          </cell>
          <cell r="D242">
            <v>5</v>
          </cell>
          <cell r="E242">
            <v>5931</v>
          </cell>
          <cell r="F242" t="str">
            <v>Q.RI ASSISTENZA ALUNNI CON HANDICAP                         </v>
          </cell>
          <cell r="G242">
            <v>0</v>
          </cell>
          <cell r="H242">
            <v>17612.64</v>
          </cell>
          <cell r="I242">
            <v>281985.47</v>
          </cell>
          <cell r="J242">
            <v>321203</v>
          </cell>
          <cell r="K242">
            <v>312058.75</v>
          </cell>
        </row>
        <row r="243">
          <cell r="A243" t="str">
            <v>CDG6 </v>
          </cell>
          <cell r="B243">
            <v>157</v>
          </cell>
          <cell r="C243" t="str">
            <v>Servizi socio assistenziali - Q. Borgo                      </v>
          </cell>
          <cell r="D243">
            <v>5</v>
          </cell>
          <cell r="E243">
            <v>5934</v>
          </cell>
          <cell r="F243" t="str">
            <v>Q.RI CENTRI DIURNI                                          </v>
          </cell>
          <cell r="G243">
            <v>0</v>
          </cell>
          <cell r="H243">
            <v>11754.77</v>
          </cell>
          <cell r="I243">
            <v>160101.64</v>
          </cell>
          <cell r="J243">
            <v>154937.07</v>
          </cell>
          <cell r="K243">
            <v>154937.07</v>
          </cell>
        </row>
        <row r="244">
          <cell r="A244" t="str">
            <v>CDG6 </v>
          </cell>
          <cell r="B244">
            <v>167</v>
          </cell>
          <cell r="C244" t="str">
            <v>Servizi socio assistenziali - Q. Navile                     </v>
          </cell>
          <cell r="D244">
            <v>5</v>
          </cell>
          <cell r="E244">
            <v>5934</v>
          </cell>
          <cell r="F244" t="str">
            <v>Q.RI CENTRI DIURNI                                          </v>
          </cell>
          <cell r="G244">
            <v>0</v>
          </cell>
          <cell r="H244">
            <v>14122.47</v>
          </cell>
          <cell r="I244">
            <v>328983.04</v>
          </cell>
          <cell r="J244">
            <v>328983.04</v>
          </cell>
          <cell r="K244">
            <v>328983.04</v>
          </cell>
        </row>
        <row r="245">
          <cell r="A245" t="str">
            <v>CDG6 </v>
          </cell>
          <cell r="B245">
            <v>177</v>
          </cell>
          <cell r="C245" t="str">
            <v>Servizi socio assistenziali - Q. Porto                      </v>
          </cell>
          <cell r="D245">
            <v>5</v>
          </cell>
          <cell r="E245">
            <v>5934</v>
          </cell>
          <cell r="F245" t="str">
            <v>Q.RI CENTRI DIURNI                                          </v>
          </cell>
          <cell r="G245">
            <v>0</v>
          </cell>
          <cell r="H245">
            <v>15924.09</v>
          </cell>
          <cell r="I245">
            <v>216911.9</v>
          </cell>
          <cell r="J245">
            <v>216911.9</v>
          </cell>
          <cell r="K245">
            <v>216911.9</v>
          </cell>
        </row>
        <row r="246">
          <cell r="A246" t="str">
            <v>CDG6 </v>
          </cell>
          <cell r="B246">
            <v>187</v>
          </cell>
          <cell r="C246" t="str">
            <v>Servi. socio assistenziali - Q. Reno                        </v>
          </cell>
          <cell r="D246">
            <v>5</v>
          </cell>
          <cell r="E246">
            <v>5934</v>
          </cell>
          <cell r="F246" t="str">
            <v>Q.RI CENTRI DIURNI                                          </v>
          </cell>
          <cell r="G246">
            <v>0</v>
          </cell>
          <cell r="H246">
            <v>12050.66</v>
          </cell>
          <cell r="I246">
            <v>144607.93</v>
          </cell>
          <cell r="J246">
            <v>144607.93</v>
          </cell>
          <cell r="K246">
            <v>144607.93</v>
          </cell>
        </row>
        <row r="247">
          <cell r="A247" t="str">
            <v>CDG6 </v>
          </cell>
          <cell r="B247">
            <v>197</v>
          </cell>
          <cell r="C247" t="str">
            <v>Servi. socio assistenz. - Q. San Donato                     </v>
          </cell>
          <cell r="D247">
            <v>5</v>
          </cell>
          <cell r="E247">
            <v>5934</v>
          </cell>
          <cell r="F247" t="str">
            <v>Q.RI CENTRI DIURNI                                          </v>
          </cell>
          <cell r="G247">
            <v>0</v>
          </cell>
          <cell r="H247">
            <v>0</v>
          </cell>
          <cell r="I247">
            <v>0</v>
          </cell>
          <cell r="J247">
            <v>154937.07</v>
          </cell>
          <cell r="K247">
            <v>154937.07</v>
          </cell>
        </row>
        <row r="248">
          <cell r="A248" t="str">
            <v>CDG6 </v>
          </cell>
          <cell r="B248">
            <v>207</v>
          </cell>
          <cell r="C248" t="str">
            <v>Servi. socio assistenz. - Q. S.Stefano                      </v>
          </cell>
          <cell r="D248">
            <v>5</v>
          </cell>
          <cell r="E248">
            <v>5934</v>
          </cell>
          <cell r="F248" t="str">
            <v>Q.RI CENTRI DIURNI                                          </v>
          </cell>
          <cell r="G248">
            <v>0</v>
          </cell>
          <cell r="H248">
            <v>11518.65</v>
          </cell>
          <cell r="I248">
            <v>139443.36</v>
          </cell>
          <cell r="J248">
            <v>139443.36</v>
          </cell>
          <cell r="K248">
            <v>139443.36</v>
          </cell>
        </row>
        <row r="249">
          <cell r="A249" t="str">
            <v>CDG6 </v>
          </cell>
          <cell r="B249">
            <v>217</v>
          </cell>
          <cell r="C249" t="str">
            <v>Servi. socio assistenz. - Q. San Vitale                     </v>
          </cell>
          <cell r="D249">
            <v>5</v>
          </cell>
          <cell r="E249">
            <v>5934</v>
          </cell>
          <cell r="F249" t="str">
            <v>Q.RI CENTRI DIURNI                                          </v>
          </cell>
          <cell r="G249">
            <v>0</v>
          </cell>
          <cell r="H249">
            <v>16872.11</v>
          </cell>
          <cell r="I249">
            <v>361519.83</v>
          </cell>
          <cell r="J249">
            <v>309874.14</v>
          </cell>
          <cell r="K249">
            <v>309874.14</v>
          </cell>
        </row>
        <row r="250">
          <cell r="A250" t="str">
            <v>CDG6 </v>
          </cell>
          <cell r="B250">
            <v>227</v>
          </cell>
          <cell r="C250" t="str">
            <v>Servi. socio assistenz. - Q. Saragozza                      </v>
          </cell>
          <cell r="D250">
            <v>5</v>
          </cell>
          <cell r="E250">
            <v>5934</v>
          </cell>
          <cell r="F250" t="str">
            <v>Q.RI CENTRI DIURNI                                          </v>
          </cell>
          <cell r="G250">
            <v>0</v>
          </cell>
          <cell r="H250">
            <v>8607.62</v>
          </cell>
          <cell r="I250">
            <v>113620.52</v>
          </cell>
          <cell r="J250">
            <v>113621</v>
          </cell>
          <cell r="K250">
            <v>113620.52</v>
          </cell>
        </row>
        <row r="251">
          <cell r="A251" t="str">
            <v>CDG6 </v>
          </cell>
          <cell r="B251">
            <v>237</v>
          </cell>
          <cell r="C251" t="str">
            <v>Servi. socio assistenziali - Q. Savena                      </v>
          </cell>
          <cell r="D251">
            <v>5</v>
          </cell>
          <cell r="E251">
            <v>5934</v>
          </cell>
          <cell r="F251" t="str">
            <v>Q.RI CENTRI DIURNI                                          </v>
          </cell>
          <cell r="G251">
            <v>0</v>
          </cell>
          <cell r="H251">
            <v>14675.98</v>
          </cell>
          <cell r="I251">
            <v>180759.91</v>
          </cell>
          <cell r="J251">
            <v>172884</v>
          </cell>
          <cell r="K251">
            <v>167848.49</v>
          </cell>
        </row>
        <row r="252">
          <cell r="A252" t="str">
            <v>CDG6 </v>
          </cell>
          <cell r="B252">
            <v>156</v>
          </cell>
          <cell r="C252" t="str">
            <v>Direz. aff. gen. e isti. - Q. Borgo                         </v>
          </cell>
          <cell r="D252">
            <v>5</v>
          </cell>
          <cell r="E252">
            <v>5935</v>
          </cell>
          <cell r="F252" t="str">
            <v>Q.RI SPESE DI FUNZIONAMENTO ECONOMALI                       </v>
          </cell>
          <cell r="G252">
            <v>0</v>
          </cell>
          <cell r="H252">
            <v>7052.91</v>
          </cell>
          <cell r="I252">
            <v>35119.07</v>
          </cell>
          <cell r="J252">
            <v>41316.55</v>
          </cell>
          <cell r="K252">
            <v>41316.55</v>
          </cell>
        </row>
        <row r="253">
          <cell r="A253" t="str">
            <v>CDG6 </v>
          </cell>
          <cell r="B253">
            <v>166</v>
          </cell>
          <cell r="C253" t="str">
            <v>Direz. aff. gen. e isti. - Q. Navile                        </v>
          </cell>
          <cell r="D253">
            <v>5</v>
          </cell>
          <cell r="E253">
            <v>5935</v>
          </cell>
          <cell r="F253" t="str">
            <v>Q.RI SPESE DI FUNZIONAMENTO ECONOMALI                       </v>
          </cell>
          <cell r="G253">
            <v>0</v>
          </cell>
          <cell r="H253">
            <v>10037.51</v>
          </cell>
          <cell r="I253">
            <v>72820.42</v>
          </cell>
          <cell r="J253">
            <v>72820.42</v>
          </cell>
          <cell r="K253">
            <v>72820.42</v>
          </cell>
        </row>
        <row r="254">
          <cell r="A254" t="str">
            <v>CDG6 </v>
          </cell>
          <cell r="B254">
            <v>176</v>
          </cell>
          <cell r="C254" t="str">
            <v>Direz. aff. gen. e isti. - Q. Porto                         </v>
          </cell>
          <cell r="D254">
            <v>5</v>
          </cell>
          <cell r="E254">
            <v>5935</v>
          </cell>
          <cell r="F254" t="str">
            <v>Q.RI SPESE DI FUNZIONAMENTO ECONOMALI                       </v>
          </cell>
          <cell r="G254">
            <v>0</v>
          </cell>
          <cell r="H254">
            <v>5181.48</v>
          </cell>
          <cell r="I254">
            <v>63995.21</v>
          </cell>
          <cell r="J254">
            <v>65435.09</v>
          </cell>
          <cell r="K254">
            <v>65435.09</v>
          </cell>
        </row>
        <row r="255">
          <cell r="A255" t="str">
            <v>CDG6 </v>
          </cell>
          <cell r="B255">
            <v>186</v>
          </cell>
          <cell r="C255" t="str">
            <v>Direz. aff. gen. e isti. - Q. Reno                          </v>
          </cell>
          <cell r="D255">
            <v>5</v>
          </cell>
          <cell r="E255">
            <v>5935</v>
          </cell>
          <cell r="F255" t="str">
            <v>Q.RI SPESE DI FUNZIONAMENTO ECONOMALI                       </v>
          </cell>
          <cell r="G255">
            <v>0</v>
          </cell>
          <cell r="H255">
            <v>3534.3</v>
          </cell>
          <cell r="I255">
            <v>36151.98</v>
          </cell>
          <cell r="J255">
            <v>41316.55</v>
          </cell>
          <cell r="K255">
            <v>41316.55</v>
          </cell>
        </row>
        <row r="256">
          <cell r="A256" t="str">
            <v>CDG6 </v>
          </cell>
          <cell r="B256">
            <v>196</v>
          </cell>
          <cell r="C256" t="str">
            <v>Direz. aff. gen. e isti. - Q. San Donato                    </v>
          </cell>
          <cell r="D256">
            <v>5</v>
          </cell>
          <cell r="E256">
            <v>5935</v>
          </cell>
          <cell r="F256" t="str">
            <v>Q.RI SPESE DI FUNZIONAMENTO ECONOMALI                       </v>
          </cell>
          <cell r="G256">
            <v>0</v>
          </cell>
          <cell r="H256">
            <v>5246.26</v>
          </cell>
          <cell r="I256">
            <v>59392.54</v>
          </cell>
          <cell r="J256">
            <v>58876.09</v>
          </cell>
          <cell r="K256">
            <v>53711.52</v>
          </cell>
        </row>
        <row r="257">
          <cell r="A257" t="str">
            <v>CDG6 </v>
          </cell>
          <cell r="B257">
            <v>206</v>
          </cell>
          <cell r="C257" t="str">
            <v>Direz. aff. gen. e isti. - Q. S.Stefano                     </v>
          </cell>
          <cell r="D257">
            <v>5</v>
          </cell>
          <cell r="E257">
            <v>5935</v>
          </cell>
          <cell r="F257" t="str">
            <v>Q.RI SPESE DI FUNZIONAMENTO ECONOMALI                       </v>
          </cell>
          <cell r="G257">
            <v>0</v>
          </cell>
          <cell r="H257">
            <v>5778.86</v>
          </cell>
          <cell r="I257">
            <v>85215.39</v>
          </cell>
          <cell r="J257">
            <v>64557.11</v>
          </cell>
          <cell r="K257">
            <v>64557.11</v>
          </cell>
        </row>
        <row r="258">
          <cell r="A258" t="str">
            <v>CDG6 </v>
          </cell>
          <cell r="B258">
            <v>216</v>
          </cell>
          <cell r="C258" t="str">
            <v>Direz. aff. gen. e isti. - Q. San Vitale                    </v>
          </cell>
          <cell r="D258">
            <v>5</v>
          </cell>
          <cell r="E258">
            <v>5935</v>
          </cell>
          <cell r="F258" t="str">
            <v>Q.RI SPESE DI FUNZIONAMENTO ECONOMALI                       </v>
          </cell>
          <cell r="G258">
            <v>0</v>
          </cell>
          <cell r="H258">
            <v>12526.79</v>
          </cell>
          <cell r="I258">
            <v>74886.25</v>
          </cell>
          <cell r="J258">
            <v>77468.53</v>
          </cell>
          <cell r="K258">
            <v>77468.53</v>
          </cell>
        </row>
        <row r="259">
          <cell r="A259" t="str">
            <v>CDG6 </v>
          </cell>
          <cell r="B259">
            <v>226</v>
          </cell>
          <cell r="C259" t="str">
            <v>Direz. aff. gen. e isti. - Q. Saragozza                     </v>
          </cell>
          <cell r="D259">
            <v>5</v>
          </cell>
          <cell r="E259">
            <v>5935</v>
          </cell>
          <cell r="F259" t="str">
            <v>Q.RI SPESE DI FUNZIONAMENTO ECONOMALI                       </v>
          </cell>
          <cell r="G259">
            <v>0</v>
          </cell>
          <cell r="H259">
            <v>6917.54</v>
          </cell>
          <cell r="I259">
            <v>80567.28</v>
          </cell>
          <cell r="J259">
            <v>80567</v>
          </cell>
          <cell r="K259">
            <v>80567.28</v>
          </cell>
        </row>
        <row r="260">
          <cell r="A260" t="str">
            <v>CDG6 </v>
          </cell>
          <cell r="B260">
            <v>236</v>
          </cell>
          <cell r="C260" t="str">
            <v>Direz. aff. gen. e isti. - Q. Savena                        </v>
          </cell>
          <cell r="D260">
            <v>5</v>
          </cell>
          <cell r="E260">
            <v>5935</v>
          </cell>
          <cell r="F260" t="str">
            <v>Q.RI SPESE DI FUNZIONAMENTO ECONOMALI                       </v>
          </cell>
          <cell r="G260">
            <v>0</v>
          </cell>
          <cell r="H260">
            <v>17244.16</v>
          </cell>
          <cell r="I260">
            <v>150288.96</v>
          </cell>
          <cell r="J260">
            <v>130714</v>
          </cell>
          <cell r="K260">
            <v>125034.22</v>
          </cell>
        </row>
        <row r="261">
          <cell r="A261" t="str">
            <v>CDG6 </v>
          </cell>
          <cell r="B261">
            <v>162</v>
          </cell>
          <cell r="C261" t="str">
            <v>Altri servizi educativi - Q. Borgo                          </v>
          </cell>
          <cell r="D261">
            <v>5</v>
          </cell>
          <cell r="E261">
            <v>6011</v>
          </cell>
          <cell r="F261" t="str">
            <v>Q.RI TRASPORTO                                              </v>
          </cell>
          <cell r="G261">
            <v>0</v>
          </cell>
          <cell r="H261">
            <v>10720.96</v>
          </cell>
          <cell r="I261">
            <v>142025.65</v>
          </cell>
          <cell r="J261">
            <v>145640.85</v>
          </cell>
          <cell r="K261">
            <v>145640.85</v>
          </cell>
        </row>
        <row r="262">
          <cell r="A262" t="str">
            <v>CDG6 </v>
          </cell>
          <cell r="B262">
            <v>172</v>
          </cell>
          <cell r="C262" t="str">
            <v>Altri serv. educativi - Q. Navile                           </v>
          </cell>
          <cell r="D262">
            <v>5</v>
          </cell>
          <cell r="E262">
            <v>6011</v>
          </cell>
          <cell r="F262" t="str">
            <v>Q.RI TRASPORTO                                              </v>
          </cell>
          <cell r="G262">
            <v>0</v>
          </cell>
          <cell r="H262">
            <v>26032.41</v>
          </cell>
          <cell r="I262">
            <v>225691.66</v>
          </cell>
          <cell r="J262">
            <v>232405.61</v>
          </cell>
          <cell r="K262">
            <v>232405.6</v>
          </cell>
        </row>
        <row r="263">
          <cell r="A263" t="str">
            <v>CDG6 </v>
          </cell>
          <cell r="B263">
            <v>182</v>
          </cell>
          <cell r="C263" t="str">
            <v>Altri serv. educativi - Q. Porto                            </v>
          </cell>
          <cell r="D263">
            <v>5</v>
          </cell>
          <cell r="E263">
            <v>6011</v>
          </cell>
          <cell r="F263" t="str">
            <v>Q.RI TRASPORTO                                              </v>
          </cell>
          <cell r="G263">
            <v>0</v>
          </cell>
          <cell r="H263">
            <v>882.28</v>
          </cell>
          <cell r="I263">
            <v>10329.14</v>
          </cell>
          <cell r="J263">
            <v>10329.14</v>
          </cell>
          <cell r="K263">
            <v>10329.14</v>
          </cell>
        </row>
        <row r="264">
          <cell r="A264" t="str">
            <v>CDG6 </v>
          </cell>
          <cell r="B264">
            <v>192</v>
          </cell>
          <cell r="C264" t="str">
            <v>Altri serv. educativi - Q. Reno                             </v>
          </cell>
          <cell r="D264">
            <v>5</v>
          </cell>
          <cell r="E264">
            <v>6011</v>
          </cell>
          <cell r="F264" t="str">
            <v>Q.RI TRASPORTO                                              </v>
          </cell>
          <cell r="G264">
            <v>0</v>
          </cell>
          <cell r="H264">
            <v>2433.37</v>
          </cell>
          <cell r="I264">
            <v>37184.9</v>
          </cell>
          <cell r="J264">
            <v>38217.81</v>
          </cell>
          <cell r="K264">
            <v>38217.81</v>
          </cell>
        </row>
        <row r="265">
          <cell r="A265" t="str">
            <v>CDG6 </v>
          </cell>
          <cell r="B265">
            <v>202</v>
          </cell>
          <cell r="C265" t="str">
            <v>Altri servizi educativi - Q. San Donato                     </v>
          </cell>
          <cell r="D265">
            <v>5</v>
          </cell>
          <cell r="E265">
            <v>6011</v>
          </cell>
          <cell r="F265" t="str">
            <v>Q.RI TRASPORTO                                              </v>
          </cell>
          <cell r="G265">
            <v>0</v>
          </cell>
          <cell r="H265">
            <v>12549.9</v>
          </cell>
          <cell r="I265">
            <v>139443.36</v>
          </cell>
          <cell r="J265">
            <v>139443.36</v>
          </cell>
          <cell r="K265">
            <v>139443.36</v>
          </cell>
        </row>
        <row r="266">
          <cell r="A266" t="str">
            <v>CDG6 </v>
          </cell>
          <cell r="B266">
            <v>212</v>
          </cell>
          <cell r="C266" t="str">
            <v>Altri serv. educativi - Q. Santo Stefano                    </v>
          </cell>
          <cell r="D266">
            <v>5</v>
          </cell>
          <cell r="E266">
            <v>6011</v>
          </cell>
          <cell r="F266" t="str">
            <v>Q.RI TRASPORTO                                              </v>
          </cell>
          <cell r="G266">
            <v>0</v>
          </cell>
          <cell r="H266">
            <v>9522.41</v>
          </cell>
          <cell r="I266">
            <v>121367.37</v>
          </cell>
          <cell r="J266">
            <v>123949.66</v>
          </cell>
          <cell r="K266">
            <v>123949.66</v>
          </cell>
        </row>
        <row r="267">
          <cell r="A267" t="str">
            <v>CDG6 </v>
          </cell>
          <cell r="B267">
            <v>222</v>
          </cell>
          <cell r="C267" t="str">
            <v>Altri serv. educativi - Q. San Vitale                       </v>
          </cell>
          <cell r="D267">
            <v>5</v>
          </cell>
          <cell r="E267">
            <v>6011</v>
          </cell>
          <cell r="F267" t="str">
            <v>Q.RI TRASPORTO                                              </v>
          </cell>
          <cell r="G267">
            <v>0</v>
          </cell>
          <cell r="H267">
            <v>6119.71</v>
          </cell>
          <cell r="I267">
            <v>54227.97</v>
          </cell>
          <cell r="J267">
            <v>79281.3</v>
          </cell>
          <cell r="K267">
            <v>79276.13</v>
          </cell>
        </row>
        <row r="268">
          <cell r="A268" t="str">
            <v>CDG6 </v>
          </cell>
          <cell r="B268">
            <v>232</v>
          </cell>
          <cell r="C268" t="str">
            <v>Altri serv. educativi - Q. Saragozza                        </v>
          </cell>
          <cell r="D268">
            <v>5</v>
          </cell>
          <cell r="E268">
            <v>6011</v>
          </cell>
          <cell r="F268" t="str">
            <v>Q.RI TRASPORTO                                              </v>
          </cell>
          <cell r="G268">
            <v>0</v>
          </cell>
          <cell r="H268">
            <v>25985.79</v>
          </cell>
          <cell r="I268">
            <v>309874.14</v>
          </cell>
          <cell r="J268">
            <v>309874</v>
          </cell>
          <cell r="K268">
            <v>309874.14</v>
          </cell>
        </row>
        <row r="269">
          <cell r="A269" t="str">
            <v>CDG6 </v>
          </cell>
          <cell r="B269">
            <v>242</v>
          </cell>
          <cell r="C269" t="str">
            <v>Altri serv. educativi - Q. Savena                           </v>
          </cell>
          <cell r="D269">
            <v>5</v>
          </cell>
          <cell r="E269">
            <v>6011</v>
          </cell>
          <cell r="F269" t="str">
            <v>Q.RI TRASPORTO                                              </v>
          </cell>
          <cell r="G269">
            <v>0</v>
          </cell>
          <cell r="H269">
            <v>6561.9</v>
          </cell>
          <cell r="I269">
            <v>110005.32</v>
          </cell>
          <cell r="J269">
            <v>98761</v>
          </cell>
          <cell r="K269">
            <v>104388.47</v>
          </cell>
        </row>
        <row r="270">
          <cell r="A270" t="str">
            <v>CDG6 </v>
          </cell>
          <cell r="B270">
            <v>162</v>
          </cell>
          <cell r="C270" t="str">
            <v>Altri servizi educativi - Q. Borgo                          </v>
          </cell>
          <cell r="D270">
            <v>5</v>
          </cell>
          <cell r="E270">
            <v>6012</v>
          </cell>
          <cell r="F270" t="str">
            <v>Q.RI SERV.ZI INTEGRATIVI E ASS. HANDICAP                    </v>
          </cell>
          <cell r="G270">
            <v>0</v>
          </cell>
          <cell r="H270">
            <v>5478.75</v>
          </cell>
          <cell r="I270">
            <v>74886.25</v>
          </cell>
          <cell r="J270">
            <v>74886.25</v>
          </cell>
          <cell r="K270">
            <v>74886.25</v>
          </cell>
        </row>
        <row r="271">
          <cell r="A271" t="str">
            <v>CDG6 </v>
          </cell>
          <cell r="B271">
            <v>172</v>
          </cell>
          <cell r="C271" t="str">
            <v>Altri serv. educativi - Q. Navile                           </v>
          </cell>
          <cell r="D271">
            <v>5</v>
          </cell>
          <cell r="E271">
            <v>6012</v>
          </cell>
          <cell r="F271" t="str">
            <v>Q.RI SERV.ZI INTEGRATIVI E ASS. HANDICAP                    </v>
          </cell>
          <cell r="G271">
            <v>0</v>
          </cell>
          <cell r="H271">
            <v>12787.93</v>
          </cell>
          <cell r="I271">
            <v>133762.34</v>
          </cell>
          <cell r="J271">
            <v>137893.99</v>
          </cell>
          <cell r="K271">
            <v>137893.99</v>
          </cell>
        </row>
        <row r="272">
          <cell r="A272" t="str">
            <v>CDG6 </v>
          </cell>
          <cell r="B272">
            <v>182</v>
          </cell>
          <cell r="C272" t="str">
            <v>Altri serv. educativi - Q. Porto                            </v>
          </cell>
          <cell r="D272">
            <v>5</v>
          </cell>
          <cell r="E272">
            <v>6012</v>
          </cell>
          <cell r="F272" t="str">
            <v>Q.RI SERV.ZI INTEGRATIVI E ASS. HANDICAP                    </v>
          </cell>
          <cell r="G272">
            <v>0</v>
          </cell>
          <cell r="H272">
            <v>4519</v>
          </cell>
          <cell r="I272">
            <v>41316.55</v>
          </cell>
          <cell r="J272">
            <v>56810.26</v>
          </cell>
          <cell r="K272">
            <v>56810.26</v>
          </cell>
        </row>
        <row r="273">
          <cell r="A273" t="str">
            <v>CDG6 </v>
          </cell>
          <cell r="B273">
            <v>192</v>
          </cell>
          <cell r="C273" t="str">
            <v>Altri serv. educativi - Q. Reno                             </v>
          </cell>
          <cell r="D273">
            <v>5</v>
          </cell>
          <cell r="E273">
            <v>6012</v>
          </cell>
          <cell r="F273" t="str">
            <v>Q.RI SERV.ZI INTEGRATIVI E ASS. HANDICAP                    </v>
          </cell>
          <cell r="G273">
            <v>0</v>
          </cell>
          <cell r="H273">
            <v>5853.18</v>
          </cell>
          <cell r="I273">
            <v>61974.83</v>
          </cell>
          <cell r="J273">
            <v>63524.2</v>
          </cell>
          <cell r="K273">
            <v>61974.83</v>
          </cell>
        </row>
        <row r="274">
          <cell r="A274" t="str">
            <v>CDG6 </v>
          </cell>
          <cell r="B274">
            <v>202</v>
          </cell>
          <cell r="C274" t="str">
            <v>Altri servizi educativi - Q. San Donato                     </v>
          </cell>
          <cell r="D274">
            <v>5</v>
          </cell>
          <cell r="E274">
            <v>6012</v>
          </cell>
          <cell r="F274" t="str">
            <v>Q.RI SERV.ZI INTEGRATIVI E ASS. HANDICAP                    </v>
          </cell>
          <cell r="G274">
            <v>0</v>
          </cell>
          <cell r="H274">
            <v>6756.98</v>
          </cell>
          <cell r="I274">
            <v>91412.87</v>
          </cell>
          <cell r="J274">
            <v>80050.82</v>
          </cell>
          <cell r="K274">
            <v>80050.82</v>
          </cell>
        </row>
        <row r="275">
          <cell r="A275" t="str">
            <v>CDG6 </v>
          </cell>
          <cell r="B275">
            <v>212</v>
          </cell>
          <cell r="C275" t="str">
            <v>Altri serv. educativi - Q. Santo Stefano                    </v>
          </cell>
          <cell r="D275">
            <v>5</v>
          </cell>
          <cell r="E275">
            <v>6012</v>
          </cell>
          <cell r="F275" t="str">
            <v>Q.RI SERV.ZI INTEGRATIVI E ASS. HANDICAP                    </v>
          </cell>
          <cell r="G275">
            <v>0</v>
          </cell>
          <cell r="H275">
            <v>7681.85</v>
          </cell>
          <cell r="I275">
            <v>97610.35</v>
          </cell>
          <cell r="J275">
            <v>100709.1</v>
          </cell>
          <cell r="K275">
            <v>100709.1</v>
          </cell>
        </row>
        <row r="276">
          <cell r="A276" t="str">
            <v>CDG6 </v>
          </cell>
          <cell r="B276">
            <v>222</v>
          </cell>
          <cell r="C276" t="str">
            <v>Altri serv. educativi - Q. San Vitale                       </v>
          </cell>
          <cell r="D276">
            <v>5</v>
          </cell>
          <cell r="E276">
            <v>6012</v>
          </cell>
          <cell r="F276" t="str">
            <v>Q.RI SERV.ZI INTEGRATIVI E ASS. HANDICAP                    </v>
          </cell>
          <cell r="G276">
            <v>0</v>
          </cell>
          <cell r="H276">
            <v>9898.76</v>
          </cell>
          <cell r="I276">
            <v>105873.66</v>
          </cell>
          <cell r="J276">
            <v>92006.8</v>
          </cell>
          <cell r="K276">
            <v>91929.33</v>
          </cell>
        </row>
        <row r="277">
          <cell r="A277" t="str">
            <v>CDG6 </v>
          </cell>
          <cell r="B277">
            <v>232</v>
          </cell>
          <cell r="C277" t="str">
            <v>Altri serv. educativi - Q. Saragozza                        </v>
          </cell>
          <cell r="D277">
            <v>5</v>
          </cell>
          <cell r="E277">
            <v>6012</v>
          </cell>
          <cell r="F277" t="str">
            <v>Q.RI SERV.ZI INTEGRATIVI E ASS. HANDICAP                    </v>
          </cell>
          <cell r="G277">
            <v>0</v>
          </cell>
          <cell r="H277">
            <v>11168.29</v>
          </cell>
          <cell r="I277">
            <v>129114.22</v>
          </cell>
          <cell r="J277">
            <v>129114</v>
          </cell>
          <cell r="K277">
            <v>129114.22</v>
          </cell>
        </row>
        <row r="278">
          <cell r="A278" t="str">
            <v>CDG6 </v>
          </cell>
          <cell r="B278">
            <v>242</v>
          </cell>
          <cell r="C278" t="str">
            <v>Altri serv. educativi - Q. Savena                           </v>
          </cell>
          <cell r="D278">
            <v>5</v>
          </cell>
          <cell r="E278">
            <v>6012</v>
          </cell>
          <cell r="F278" t="str">
            <v>Q.RI SERV.ZI INTEGRATIVI E ASS. HANDICAP                    </v>
          </cell>
          <cell r="G278">
            <v>0</v>
          </cell>
          <cell r="H278">
            <v>10122.88</v>
          </cell>
          <cell r="I278">
            <v>133245.88</v>
          </cell>
          <cell r="J278">
            <v>138018</v>
          </cell>
          <cell r="K278">
            <v>138017.94</v>
          </cell>
        </row>
        <row r="279">
          <cell r="A279" t="str">
            <v>CDG6 </v>
          </cell>
          <cell r="B279">
            <v>45</v>
          </cell>
          <cell r="C279" t="str">
            <v>Direzione, amm., CDG, qualità/altro LLPP                    </v>
          </cell>
          <cell r="D279">
            <v>5</v>
          </cell>
          <cell r="E279">
            <v>6205</v>
          </cell>
          <cell r="F279" t="str">
            <v>SPESE IN C/CAPITALE CONTRO ENTRATE ORD.                     </v>
          </cell>
          <cell r="G279">
            <v>0</v>
          </cell>
          <cell r="H279">
            <v>7746.85</v>
          </cell>
          <cell r="I279">
            <v>0</v>
          </cell>
          <cell r="J279">
            <v>154937.07</v>
          </cell>
          <cell r="K279">
            <v>154937.07</v>
          </cell>
        </row>
        <row r="280">
          <cell r="A280" t="str">
            <v>CDG6 </v>
          </cell>
          <cell r="B280">
            <v>146</v>
          </cell>
          <cell r="C280" t="str">
            <v>Coordinamento organizzazione decentrata                     </v>
          </cell>
          <cell r="D280">
            <v>5</v>
          </cell>
          <cell r="E280">
            <v>6205</v>
          </cell>
          <cell r="F280" t="str">
            <v>SPESE IN C/CAPITALE CONTRO ENTRATE ORD.                     </v>
          </cell>
          <cell r="G280">
            <v>0</v>
          </cell>
          <cell r="H280">
            <v>430.38</v>
          </cell>
          <cell r="I280">
            <v>5164.57</v>
          </cell>
          <cell r="J280">
            <v>5164.57</v>
          </cell>
          <cell r="K280">
            <v>5164.57</v>
          </cell>
        </row>
        <row r="281">
          <cell r="A281" t="str">
            <v>CDG6 </v>
          </cell>
          <cell r="B281">
            <v>156</v>
          </cell>
          <cell r="C281" t="str">
            <v>Direz. aff. gen. e isti. - Q. Borgo                         </v>
          </cell>
          <cell r="D281">
            <v>5</v>
          </cell>
          <cell r="E281">
            <v>6205</v>
          </cell>
          <cell r="F281" t="str">
            <v>SPESE IN C/CAPITALE CONTRO ENTRATE ORD.                     </v>
          </cell>
          <cell r="G281">
            <v>0</v>
          </cell>
          <cell r="H281">
            <v>1936.71</v>
          </cell>
          <cell r="I281">
            <v>15493.71</v>
          </cell>
          <cell r="J281">
            <v>25822.84</v>
          </cell>
          <cell r="K281">
            <v>25822.84</v>
          </cell>
        </row>
        <row r="282">
          <cell r="A282" t="str">
            <v>CDG6 </v>
          </cell>
          <cell r="B282">
            <v>166</v>
          </cell>
          <cell r="C282" t="str">
            <v>Direz. aff. gen. e isti. - Q. Navile                        </v>
          </cell>
          <cell r="D282">
            <v>5</v>
          </cell>
          <cell r="E282">
            <v>6205</v>
          </cell>
          <cell r="F282" t="str">
            <v>SPESE IN C/CAPITALE CONTRO ENTRATE ORD.                     </v>
          </cell>
          <cell r="G282">
            <v>0</v>
          </cell>
          <cell r="H282">
            <v>4071.4</v>
          </cell>
          <cell r="I282">
            <v>19625.36</v>
          </cell>
          <cell r="J282">
            <v>19625.36</v>
          </cell>
          <cell r="K282">
            <v>19625.36</v>
          </cell>
        </row>
        <row r="283">
          <cell r="A283" t="str">
            <v>CDG6 </v>
          </cell>
          <cell r="B283">
            <v>176</v>
          </cell>
          <cell r="C283" t="str">
            <v>Direz. aff. gen. e isti. - Q. Porto                         </v>
          </cell>
          <cell r="D283">
            <v>5</v>
          </cell>
          <cell r="E283">
            <v>6205</v>
          </cell>
          <cell r="F283" t="str">
            <v>SPESE IN C/CAPITALE CONTRO ENTRATE ORD.                     </v>
          </cell>
          <cell r="G283">
            <v>0</v>
          </cell>
          <cell r="H283">
            <v>4325.33</v>
          </cell>
          <cell r="I283">
            <v>25822.84</v>
          </cell>
          <cell r="J283">
            <v>25822.85</v>
          </cell>
          <cell r="K283">
            <v>25822.84</v>
          </cell>
        </row>
        <row r="284">
          <cell r="A284" t="str">
            <v>CDG6 </v>
          </cell>
          <cell r="B284">
            <v>186</v>
          </cell>
          <cell r="C284" t="str">
            <v>Direz. aff. gen. e isti. - Q. Reno                          </v>
          </cell>
          <cell r="D284">
            <v>5</v>
          </cell>
          <cell r="E284">
            <v>6205</v>
          </cell>
          <cell r="F284" t="str">
            <v>SPESE IN C/CAPITALE CONTRO ENTRATE ORD.                     </v>
          </cell>
          <cell r="G284">
            <v>0</v>
          </cell>
          <cell r="H284">
            <v>430.38</v>
          </cell>
          <cell r="I284">
            <v>6197.48</v>
          </cell>
          <cell r="J284">
            <v>6197.48</v>
          </cell>
          <cell r="K284">
            <v>6197.48</v>
          </cell>
        </row>
        <row r="285">
          <cell r="A285" t="str">
            <v>CDG6 </v>
          </cell>
          <cell r="B285">
            <v>196</v>
          </cell>
          <cell r="C285" t="str">
            <v>Direz. aff. gen. e isti. - Q. San Donato                    </v>
          </cell>
          <cell r="D285">
            <v>5</v>
          </cell>
          <cell r="E285">
            <v>6205</v>
          </cell>
          <cell r="F285" t="str">
            <v>SPESE IN C/CAPITALE CONTRO ENTRATE ORD.                     </v>
          </cell>
          <cell r="G285">
            <v>0</v>
          </cell>
          <cell r="H285">
            <v>0</v>
          </cell>
          <cell r="I285">
            <v>0</v>
          </cell>
          <cell r="J285">
            <v>5164.57</v>
          </cell>
          <cell r="K285">
            <v>5164.57</v>
          </cell>
        </row>
        <row r="286">
          <cell r="A286" t="str">
            <v>CDG6 </v>
          </cell>
          <cell r="B286">
            <v>206</v>
          </cell>
          <cell r="C286" t="str">
            <v>Direz. aff. gen. e isti. - Q. S.Stefano                     </v>
          </cell>
          <cell r="D286">
            <v>5</v>
          </cell>
          <cell r="E286">
            <v>6205</v>
          </cell>
          <cell r="F286" t="str">
            <v>SPESE IN C/CAPITALE CONTRO ENTRATE ORD.                     </v>
          </cell>
          <cell r="G286">
            <v>0</v>
          </cell>
          <cell r="H286">
            <v>1650.01</v>
          </cell>
          <cell r="I286">
            <v>0</v>
          </cell>
          <cell r="J286">
            <v>30987.41</v>
          </cell>
          <cell r="K286">
            <v>30987.41</v>
          </cell>
        </row>
        <row r="287">
          <cell r="A287" t="str">
            <v>CDG6 </v>
          </cell>
          <cell r="B287">
            <v>216</v>
          </cell>
          <cell r="C287" t="str">
            <v>Direz. aff. gen. e isti. - Q. San Vitale                    </v>
          </cell>
          <cell r="D287">
            <v>5</v>
          </cell>
          <cell r="E287">
            <v>6205</v>
          </cell>
          <cell r="F287" t="str">
            <v>SPESE IN C/CAPITALE CONTRO ENTRATE ORD.                     </v>
          </cell>
          <cell r="G287">
            <v>0</v>
          </cell>
          <cell r="H287">
            <v>4949.38</v>
          </cell>
          <cell r="I287">
            <v>0</v>
          </cell>
          <cell r="J287">
            <v>18075.99</v>
          </cell>
          <cell r="K287">
            <v>18075.99</v>
          </cell>
        </row>
        <row r="288">
          <cell r="A288" t="str">
            <v>CDG6 </v>
          </cell>
          <cell r="B288">
            <v>226</v>
          </cell>
          <cell r="C288" t="str">
            <v>Direz. aff. gen. e isti. - Q. Saragozza                     </v>
          </cell>
          <cell r="D288">
            <v>5</v>
          </cell>
          <cell r="E288">
            <v>6205</v>
          </cell>
          <cell r="F288" t="str">
            <v>SPESE IN C/CAPITALE CONTRO ENTRATE ORD.                     </v>
          </cell>
          <cell r="G288">
            <v>0</v>
          </cell>
          <cell r="H288">
            <v>2684.71</v>
          </cell>
          <cell r="I288">
            <v>0</v>
          </cell>
          <cell r="J288">
            <v>20658</v>
          </cell>
          <cell r="K288">
            <v>20658.28</v>
          </cell>
        </row>
        <row r="289">
          <cell r="A289" t="str">
            <v>CDG6 </v>
          </cell>
          <cell r="B289">
            <v>236</v>
          </cell>
          <cell r="C289" t="str">
            <v>Direz. aff. gen. e isti. - Q. Savena                        </v>
          </cell>
          <cell r="D289">
            <v>5</v>
          </cell>
          <cell r="E289">
            <v>6205</v>
          </cell>
          <cell r="F289" t="str">
            <v>SPESE IN C/CAPITALE CONTRO ENTRATE ORD.                     </v>
          </cell>
          <cell r="G289">
            <v>0</v>
          </cell>
          <cell r="H289">
            <v>3614.12</v>
          </cell>
          <cell r="I289">
            <v>0</v>
          </cell>
          <cell r="J289">
            <v>51646</v>
          </cell>
          <cell r="K289">
            <v>51645.69</v>
          </cell>
        </row>
        <row r="290">
          <cell r="A290" t="str">
            <v>CDG6 </v>
          </cell>
          <cell r="B290">
            <v>5</v>
          </cell>
          <cell r="C290" t="str">
            <v>Staff del Consiglio                                         </v>
          </cell>
          <cell r="D290">
            <v>5</v>
          </cell>
          <cell r="E290">
            <v>6205</v>
          </cell>
          <cell r="F290" t="str">
            <v>SPESE IN C/CAPITALE CONTRO ENTRATE ORD.                     </v>
          </cell>
          <cell r="G290">
            <v>0</v>
          </cell>
          <cell r="H290">
            <v>5810.14</v>
          </cell>
          <cell r="I290">
            <v>0</v>
          </cell>
          <cell r="J290">
            <v>98126.81</v>
          </cell>
          <cell r="K290">
            <v>98126.81</v>
          </cell>
        </row>
        <row r="291">
          <cell r="A291" t="str">
            <v>CDG6 </v>
          </cell>
          <cell r="B291">
            <v>28</v>
          </cell>
          <cell r="C291" t="str">
            <v>Direzione, amm.ne/altro - Gabinetto                         </v>
          </cell>
          <cell r="D291">
            <v>5</v>
          </cell>
          <cell r="E291">
            <v>6205</v>
          </cell>
          <cell r="F291" t="str">
            <v>SPESE IN C/CAPITALE CONTRO ENTRATE ORD.                     </v>
          </cell>
          <cell r="G291">
            <v>0</v>
          </cell>
          <cell r="H291">
            <v>860.76</v>
          </cell>
          <cell r="I291">
            <v>15493.71</v>
          </cell>
          <cell r="J291">
            <v>20658.28</v>
          </cell>
          <cell r="K291">
            <v>20658.28</v>
          </cell>
        </row>
        <row r="292">
          <cell r="A292" t="str">
            <v>CDG6 </v>
          </cell>
          <cell r="B292">
            <v>247</v>
          </cell>
          <cell r="C292" t="str">
            <v>Direzione, amm.,CDG/altro-inf.cittadino                     </v>
          </cell>
          <cell r="D292">
            <v>5</v>
          </cell>
          <cell r="E292">
            <v>6205</v>
          </cell>
          <cell r="F292" t="str">
            <v>SPESE IN C/CAPITALE CONTRO ENTRATE ORD.                     </v>
          </cell>
          <cell r="G292">
            <v>0</v>
          </cell>
          <cell r="H292">
            <v>2237.98</v>
          </cell>
          <cell r="I292">
            <v>0</v>
          </cell>
          <cell r="J292">
            <v>77468.53</v>
          </cell>
          <cell r="K292">
            <v>61974.83</v>
          </cell>
        </row>
        <row r="293">
          <cell r="A293" t="str">
            <v>CDG6 </v>
          </cell>
          <cell r="B293">
            <v>248</v>
          </cell>
          <cell r="C293" t="str">
            <v>U.R.P.                                                      </v>
          </cell>
          <cell r="D293">
            <v>5</v>
          </cell>
          <cell r="E293">
            <v>6205</v>
          </cell>
          <cell r="F293" t="str">
            <v>SPESE IN C/CAPITALE CONTRO ENTRATE ORD.                     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CDG6 </v>
          </cell>
          <cell r="B294">
            <v>61</v>
          </cell>
          <cell r="C294" t="str">
            <v>Direzione, amm., CDG/altro - Pers.e org.                    </v>
          </cell>
          <cell r="D294">
            <v>5</v>
          </cell>
          <cell r="E294">
            <v>6205</v>
          </cell>
          <cell r="F294" t="str">
            <v>SPESE IN C/CAPITALE CONTRO ENTRATE ORD.                     </v>
          </cell>
          <cell r="G294">
            <v>0</v>
          </cell>
          <cell r="H294">
            <v>2582.28</v>
          </cell>
          <cell r="I294">
            <v>3356.97</v>
          </cell>
          <cell r="J294">
            <v>46481.12</v>
          </cell>
          <cell r="K294">
            <v>20658.28</v>
          </cell>
        </row>
        <row r="295">
          <cell r="A295" t="str">
            <v>CDG6 </v>
          </cell>
          <cell r="B295">
            <v>64</v>
          </cell>
          <cell r="C295" t="str">
            <v>Formazione e sviluppo -C.U.F.                               </v>
          </cell>
          <cell r="D295">
            <v>5</v>
          </cell>
          <cell r="E295">
            <v>6205</v>
          </cell>
          <cell r="F295" t="str">
            <v>SPESE IN C/CAPITALE CONTRO ENTRATE ORD.                     </v>
          </cell>
          <cell r="G295">
            <v>0</v>
          </cell>
          <cell r="H295">
            <v>860.76</v>
          </cell>
          <cell r="I295">
            <v>0</v>
          </cell>
          <cell r="J295">
            <v>10329.14</v>
          </cell>
          <cell r="K295">
            <v>25822.84</v>
          </cell>
        </row>
        <row r="296">
          <cell r="A296" t="str">
            <v>CDG6 </v>
          </cell>
          <cell r="B296">
            <v>62</v>
          </cell>
          <cell r="C296" t="str">
            <v>Personale e organizzazione non gestiti                      </v>
          </cell>
          <cell r="D296">
            <v>5</v>
          </cell>
          <cell r="E296">
            <v>6205</v>
          </cell>
          <cell r="F296" t="str">
            <v>SPESE IN C/CAPITALE CONTRO ENTRATE ORD.                     </v>
          </cell>
          <cell r="G296">
            <v>0</v>
          </cell>
          <cell r="H296">
            <v>258.23</v>
          </cell>
          <cell r="I296">
            <v>2582.28</v>
          </cell>
          <cell r="J296">
            <v>2582.28</v>
          </cell>
          <cell r="K296">
            <v>2582.28</v>
          </cell>
        </row>
        <row r="297">
          <cell r="A297" t="str">
            <v>CDG6 </v>
          </cell>
          <cell r="B297">
            <v>33</v>
          </cell>
          <cell r="C297" t="str">
            <v>Direzione, amm./altro - Aff. gen. e ist.                    </v>
          </cell>
          <cell r="D297">
            <v>5</v>
          </cell>
          <cell r="E297">
            <v>6205</v>
          </cell>
          <cell r="F297" t="str">
            <v>SPESE IN C/CAPITALE CONTRO ENTRATE ORD.                     </v>
          </cell>
          <cell r="G297">
            <v>0</v>
          </cell>
          <cell r="H297">
            <v>3830.39</v>
          </cell>
          <cell r="I297">
            <v>0</v>
          </cell>
          <cell r="J297">
            <v>72303.97</v>
          </cell>
          <cell r="K297">
            <v>54227.97</v>
          </cell>
        </row>
        <row r="298">
          <cell r="A298" t="str">
            <v>CDG6 </v>
          </cell>
          <cell r="B298">
            <v>252</v>
          </cell>
          <cell r="C298" t="str">
            <v>Segreteria generale                                         </v>
          </cell>
          <cell r="D298">
            <v>5</v>
          </cell>
          <cell r="E298">
            <v>6205</v>
          </cell>
          <cell r="F298" t="str">
            <v>SPESE IN C/CAPITALE CONTRO ENTRATE ORD.                     </v>
          </cell>
          <cell r="G298">
            <v>0</v>
          </cell>
          <cell r="H298">
            <v>0</v>
          </cell>
          <cell r="I298">
            <v>0</v>
          </cell>
          <cell r="J298">
            <v>27888.67</v>
          </cell>
          <cell r="K298">
            <v>21174.73</v>
          </cell>
        </row>
        <row r="299">
          <cell r="A299" t="str">
            <v>CDG6 </v>
          </cell>
          <cell r="B299">
            <v>2</v>
          </cell>
          <cell r="C299" t="str">
            <v>Direzione Generale                                          </v>
          </cell>
          <cell r="D299">
            <v>5</v>
          </cell>
          <cell r="E299">
            <v>6205</v>
          </cell>
          <cell r="F299" t="str">
            <v>SPESE IN C/CAPITALE CONTRO ENTRATE ORD.                     </v>
          </cell>
          <cell r="G299">
            <v>0</v>
          </cell>
          <cell r="H299">
            <v>0</v>
          </cell>
          <cell r="I299">
            <v>0</v>
          </cell>
          <cell r="J299">
            <v>3098.74</v>
          </cell>
          <cell r="K299">
            <v>3098.74</v>
          </cell>
        </row>
        <row r="300">
          <cell r="A300" t="str">
            <v>CDG6 </v>
          </cell>
          <cell r="B300">
            <v>11</v>
          </cell>
          <cell r="C300" t="str">
            <v>Ragioneria                                                  </v>
          </cell>
          <cell r="D300">
            <v>5</v>
          </cell>
          <cell r="E300">
            <v>6205</v>
          </cell>
          <cell r="F300" t="str">
            <v>SPESE IN C/CAPITALE CONTRO ENTRATE ORD.                     </v>
          </cell>
          <cell r="G300">
            <v>0</v>
          </cell>
          <cell r="H300">
            <v>0</v>
          </cell>
          <cell r="I300">
            <v>0</v>
          </cell>
          <cell r="J300">
            <v>41316.56</v>
          </cell>
          <cell r="K300">
            <v>20658.28</v>
          </cell>
        </row>
        <row r="301">
          <cell r="A301" t="str">
            <v>CDG6 </v>
          </cell>
          <cell r="B301">
            <v>39</v>
          </cell>
          <cell r="C301" t="str">
            <v>Direzione, amm., CDG/altro - Acquisti                       </v>
          </cell>
          <cell r="D301">
            <v>5</v>
          </cell>
          <cell r="E301">
            <v>6205</v>
          </cell>
          <cell r="F301" t="str">
            <v>SPESE IN C/CAPITALE CONTRO ENTRATE ORD.                     </v>
          </cell>
          <cell r="G301">
            <v>0</v>
          </cell>
          <cell r="H301">
            <v>0</v>
          </cell>
          <cell r="I301">
            <v>0</v>
          </cell>
          <cell r="J301">
            <v>25800</v>
          </cell>
          <cell r="K301">
            <v>25822.84</v>
          </cell>
        </row>
        <row r="302">
          <cell r="A302" t="str">
            <v>CDG6 </v>
          </cell>
          <cell r="B302">
            <v>43</v>
          </cell>
          <cell r="C302" t="str">
            <v>Coordinamento entrate                                       </v>
          </cell>
          <cell r="D302">
            <v>5</v>
          </cell>
          <cell r="E302">
            <v>6205</v>
          </cell>
          <cell r="F302" t="str">
            <v>SPESE IN C/CAPITALE CONTRO ENTRATE ORD.                     </v>
          </cell>
          <cell r="G302">
            <v>0</v>
          </cell>
          <cell r="H302">
            <v>0</v>
          </cell>
          <cell r="I302">
            <v>5164.57</v>
          </cell>
          <cell r="J302">
            <v>0</v>
          </cell>
          <cell r="K302">
            <v>0</v>
          </cell>
        </row>
        <row r="303">
          <cell r="A303" t="str">
            <v>CDG6 </v>
          </cell>
          <cell r="B303">
            <v>48</v>
          </cell>
          <cell r="C303" t="str">
            <v>Edilizia pubblica                                           </v>
          </cell>
          <cell r="D303">
            <v>5</v>
          </cell>
          <cell r="E303">
            <v>6205</v>
          </cell>
          <cell r="F303" t="str">
            <v>SPESE IN C/CAPITALE CONTRO ENTRATE ORD.                     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CDG6 </v>
          </cell>
          <cell r="B304">
            <v>58</v>
          </cell>
          <cell r="C304" t="str">
            <v>Manutenzione edilizia e servizio calore                     </v>
          </cell>
          <cell r="D304">
            <v>5</v>
          </cell>
          <cell r="E304">
            <v>6205</v>
          </cell>
          <cell r="F304" t="str">
            <v>SPESE IN C/CAPITALE CONTRO ENTRATE ORD.                     </v>
          </cell>
          <cell r="G304">
            <v>0</v>
          </cell>
          <cell r="H304">
            <v>0</v>
          </cell>
          <cell r="I304">
            <v>2220764.67</v>
          </cell>
          <cell r="J304">
            <v>0</v>
          </cell>
          <cell r="K304">
            <v>0</v>
          </cell>
        </row>
        <row r="305">
          <cell r="A305" t="str">
            <v>CDG6 </v>
          </cell>
          <cell r="B305">
            <v>44</v>
          </cell>
          <cell r="C305" t="str">
            <v>Patrimonio                                                  </v>
          </cell>
          <cell r="D305">
            <v>5</v>
          </cell>
          <cell r="E305">
            <v>6205</v>
          </cell>
          <cell r="F305" t="str">
            <v>SPESE IN C/CAPITALE CONTRO ENTRATE ORD.                     </v>
          </cell>
          <cell r="G305">
            <v>0</v>
          </cell>
          <cell r="H305">
            <v>0</v>
          </cell>
          <cell r="I305">
            <v>5164.57</v>
          </cell>
          <cell r="J305">
            <v>7746.85</v>
          </cell>
          <cell r="K305">
            <v>7746.85</v>
          </cell>
        </row>
        <row r="306">
          <cell r="A306" t="str">
            <v>CDG6 </v>
          </cell>
          <cell r="B306">
            <v>140</v>
          </cell>
          <cell r="C306" t="str">
            <v>Direzione, amm.,CDG/altro - demografici                     </v>
          </cell>
          <cell r="D306">
            <v>5</v>
          </cell>
          <cell r="E306">
            <v>6205</v>
          </cell>
          <cell r="F306" t="str">
            <v>SPESE IN C/CAPITALE CONTRO ENTRATE ORD.                     </v>
          </cell>
          <cell r="G306">
            <v>0</v>
          </cell>
          <cell r="H306">
            <v>2065.83</v>
          </cell>
          <cell r="I306">
            <v>0</v>
          </cell>
          <cell r="J306">
            <v>167848.49</v>
          </cell>
          <cell r="K306">
            <v>51645.69</v>
          </cell>
        </row>
        <row r="307">
          <cell r="A307" t="str">
            <v>CDG6 </v>
          </cell>
          <cell r="B307">
            <v>66</v>
          </cell>
          <cell r="C307" t="str">
            <v>Direzione, amm./altro - Pianif. e contr.                    </v>
          </cell>
          <cell r="D307">
            <v>5</v>
          </cell>
          <cell r="E307">
            <v>6205</v>
          </cell>
          <cell r="F307" t="str">
            <v>SPESE IN C/CAPITALE CONTRO ENTRATE ORD.                     </v>
          </cell>
          <cell r="G307">
            <v>0</v>
          </cell>
          <cell r="H307">
            <v>774.69</v>
          </cell>
          <cell r="I307">
            <v>10329.14</v>
          </cell>
          <cell r="J307">
            <v>7746.85</v>
          </cell>
          <cell r="K307">
            <v>7746.85</v>
          </cell>
        </row>
        <row r="308">
          <cell r="A308" t="str">
            <v>CDG6 </v>
          </cell>
          <cell r="B308">
            <v>70</v>
          </cell>
          <cell r="C308" t="str">
            <v>Operazioni e qualità                                        </v>
          </cell>
          <cell r="D308">
            <v>5</v>
          </cell>
          <cell r="E308">
            <v>6205</v>
          </cell>
          <cell r="F308" t="str">
            <v>SPESE IN C/CAPITALE CONTRO ENTRATE ORD.                     </v>
          </cell>
          <cell r="G308">
            <v>0</v>
          </cell>
          <cell r="H308">
            <v>23240.56</v>
          </cell>
          <cell r="I308">
            <v>0</v>
          </cell>
          <cell r="J308">
            <v>1032913.8</v>
          </cell>
          <cell r="K308">
            <v>258228.45</v>
          </cell>
        </row>
        <row r="309">
          <cell r="A309" t="str">
            <v>CDG6 </v>
          </cell>
          <cell r="B309">
            <v>71</v>
          </cell>
          <cell r="C309" t="str">
            <v>Progettazione e sviluppo                                    </v>
          </cell>
          <cell r="D309">
            <v>5</v>
          </cell>
          <cell r="E309">
            <v>6205</v>
          </cell>
          <cell r="F309" t="str">
            <v>SPESE IN C/CAPITALE CONTRO ENTRATE ORD.                     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CDG6 </v>
          </cell>
          <cell r="B310">
            <v>8</v>
          </cell>
          <cell r="C310" t="str">
            <v>Qualita'                                                    </v>
          </cell>
          <cell r="D310">
            <v>5</v>
          </cell>
          <cell r="E310">
            <v>6205</v>
          </cell>
          <cell r="F310" t="str">
            <v>SPESE IN C/CAPITALE CONTRO ENTRATE ORD.                     </v>
          </cell>
          <cell r="G310">
            <v>0</v>
          </cell>
          <cell r="H310">
            <v>430.38</v>
          </cell>
          <cell r="I310">
            <v>3615.2</v>
          </cell>
          <cell r="J310">
            <v>3615.2</v>
          </cell>
          <cell r="K310">
            <v>3615.2</v>
          </cell>
        </row>
        <row r="311">
          <cell r="A311" t="str">
            <v>CDG6 </v>
          </cell>
          <cell r="B311">
            <v>9</v>
          </cell>
          <cell r="C311" t="str">
            <v>Legale                                                      </v>
          </cell>
          <cell r="D311">
            <v>5</v>
          </cell>
          <cell r="E311">
            <v>6205</v>
          </cell>
          <cell r="F311" t="str">
            <v>SPESE IN C/CAPITALE CONTRO ENTRATE ORD.                     </v>
          </cell>
          <cell r="G311">
            <v>0</v>
          </cell>
          <cell r="H311">
            <v>215.19</v>
          </cell>
          <cell r="I311">
            <v>2582.28</v>
          </cell>
          <cell r="J311">
            <v>2582.28</v>
          </cell>
          <cell r="K311">
            <v>2582.28</v>
          </cell>
        </row>
        <row r="312">
          <cell r="A312" t="str">
            <v>CDG6 </v>
          </cell>
          <cell r="B312">
            <v>51</v>
          </cell>
          <cell r="C312" t="str">
            <v>Impianti tecnologici                                        </v>
          </cell>
          <cell r="D312">
            <v>5</v>
          </cell>
          <cell r="E312">
            <v>6205</v>
          </cell>
          <cell r="F312" t="str">
            <v>SPESE IN C/CAPITALE CONTRO ENTRATE ORD.                     </v>
          </cell>
          <cell r="G312">
            <v>0</v>
          </cell>
          <cell r="H312">
            <v>3227.86</v>
          </cell>
          <cell r="I312">
            <v>0</v>
          </cell>
          <cell r="J312">
            <v>25822.84</v>
          </cell>
          <cell r="K312">
            <v>25822.84</v>
          </cell>
        </row>
        <row r="313">
          <cell r="A313" t="str">
            <v>CDG6 </v>
          </cell>
          <cell r="B313">
            <v>102</v>
          </cell>
          <cell r="C313" t="str">
            <v>Direzione, amm.,CDG/altro - polizia mun.                    </v>
          </cell>
          <cell r="D313">
            <v>5</v>
          </cell>
          <cell r="E313">
            <v>6205</v>
          </cell>
          <cell r="F313" t="str">
            <v>SPESE IN C/CAPITALE CONTRO ENTRATE ORD.                     </v>
          </cell>
          <cell r="G313">
            <v>0</v>
          </cell>
          <cell r="H313">
            <v>0</v>
          </cell>
          <cell r="I313">
            <v>0</v>
          </cell>
          <cell r="J313">
            <v>401803.47</v>
          </cell>
          <cell r="K313">
            <v>91929.33</v>
          </cell>
        </row>
        <row r="314">
          <cell r="A314" t="str">
            <v>CDG6 </v>
          </cell>
          <cell r="B314">
            <v>107</v>
          </cell>
          <cell r="C314" t="str">
            <v>Servizio grande viabilità                                   </v>
          </cell>
          <cell r="D314">
            <v>5</v>
          </cell>
          <cell r="E314">
            <v>6205</v>
          </cell>
          <cell r="F314" t="str">
            <v>SPESE IN C/CAPITALE CONTRO ENTRATE ORD.                     </v>
          </cell>
          <cell r="G314">
            <v>0</v>
          </cell>
          <cell r="H314">
            <v>0</v>
          </cell>
          <cell r="I314">
            <v>0</v>
          </cell>
          <cell r="J314">
            <v>20658.28</v>
          </cell>
          <cell r="K314">
            <v>20658.28</v>
          </cell>
        </row>
        <row r="315">
          <cell r="A315" t="str">
            <v>CDG6 </v>
          </cell>
          <cell r="B315">
            <v>95</v>
          </cell>
          <cell r="C315" t="str">
            <v>Laboratori e aule didattiche centrali                       </v>
          </cell>
          <cell r="D315">
            <v>5</v>
          </cell>
          <cell r="E315">
            <v>6205</v>
          </cell>
          <cell r="F315" t="str">
            <v>SPESE IN C/CAPITALE CONTRO ENTRATE ORD.                     </v>
          </cell>
          <cell r="G315">
            <v>0</v>
          </cell>
          <cell r="H315">
            <v>0</v>
          </cell>
          <cell r="I315">
            <v>6197.48</v>
          </cell>
          <cell r="J315">
            <v>10329.14</v>
          </cell>
          <cell r="K315">
            <v>10329.14</v>
          </cell>
        </row>
        <row r="316">
          <cell r="A316" t="str">
            <v>CDG6 </v>
          </cell>
          <cell r="B316">
            <v>91</v>
          </cell>
          <cell r="C316" t="str">
            <v>Scambi internazionali e istituz. estive                     </v>
          </cell>
          <cell r="D316">
            <v>5</v>
          </cell>
          <cell r="E316">
            <v>6205</v>
          </cell>
          <cell r="F316" t="str">
            <v>SPESE IN C/CAPITALE CONTRO ENTRATE ORD.                     </v>
          </cell>
          <cell r="G316">
            <v>0</v>
          </cell>
          <cell r="H316">
            <v>430.38</v>
          </cell>
          <cell r="I316">
            <v>0</v>
          </cell>
          <cell r="J316">
            <v>2582.28</v>
          </cell>
          <cell r="K316">
            <v>2582.28</v>
          </cell>
        </row>
        <row r="317">
          <cell r="A317" t="str">
            <v>CDG6 </v>
          </cell>
          <cell r="B317">
            <v>94</v>
          </cell>
          <cell r="C317" t="str">
            <v>Politiche giovanili                                         </v>
          </cell>
          <cell r="D317">
            <v>5</v>
          </cell>
          <cell r="E317">
            <v>6205</v>
          </cell>
          <cell r="F317" t="str">
            <v>SPESE IN C/CAPITALE CONTRO ENTRATE ORD.                     </v>
          </cell>
          <cell r="G317">
            <v>0</v>
          </cell>
          <cell r="H317">
            <v>0</v>
          </cell>
          <cell r="I317">
            <v>25822.84</v>
          </cell>
          <cell r="J317">
            <v>25822.84</v>
          </cell>
          <cell r="K317">
            <v>25822.84</v>
          </cell>
        </row>
        <row r="318">
          <cell r="A318" t="str">
            <v>CDG6 </v>
          </cell>
          <cell r="B318">
            <v>88</v>
          </cell>
          <cell r="C318" t="str">
            <v>Direzione,amm.,CDG/altro - istr. e sport                    </v>
          </cell>
          <cell r="D318">
            <v>5</v>
          </cell>
          <cell r="E318">
            <v>6205</v>
          </cell>
          <cell r="F318" t="str">
            <v>SPESE IN C/CAPITALE CONTRO ENTRATE ORD.                     </v>
          </cell>
          <cell r="G318">
            <v>0</v>
          </cell>
          <cell r="H318">
            <v>0</v>
          </cell>
          <cell r="I318">
            <v>5681.03</v>
          </cell>
          <cell r="J318">
            <v>56810.26</v>
          </cell>
          <cell r="K318">
            <v>22207.65</v>
          </cell>
        </row>
        <row r="319">
          <cell r="A319" t="str">
            <v>CDG6 </v>
          </cell>
          <cell r="B319">
            <v>90</v>
          </cell>
          <cell r="C319" t="str">
            <v>Servizi all'infanzia                                        </v>
          </cell>
          <cell r="D319">
            <v>5</v>
          </cell>
          <cell r="E319">
            <v>6205</v>
          </cell>
          <cell r="F319" t="str">
            <v>SPESE IN C/CAPITALE CONTRO ENTRATE ORD.                     </v>
          </cell>
          <cell r="G319">
            <v>0</v>
          </cell>
          <cell r="H319">
            <v>0</v>
          </cell>
          <cell r="I319">
            <v>0</v>
          </cell>
          <cell r="J319">
            <v>201418.19</v>
          </cell>
          <cell r="K319">
            <v>201418.19</v>
          </cell>
        </row>
        <row r="320">
          <cell r="A320" t="str">
            <v>CDG6 </v>
          </cell>
          <cell r="B320">
            <v>96</v>
          </cell>
          <cell r="C320" t="str">
            <v>Formazione professionale                                    </v>
          </cell>
          <cell r="D320">
            <v>5</v>
          </cell>
          <cell r="E320">
            <v>6205</v>
          </cell>
          <cell r="F320" t="str">
            <v>SPESE IN C/CAPITALE CONTRO ENTRATE ORD.                     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CDG6 </v>
          </cell>
          <cell r="B321">
            <v>254</v>
          </cell>
          <cell r="C321" t="str">
            <v>Prog.nuove ist.mus.:m.resistenza/Certosa                    </v>
          </cell>
          <cell r="D321">
            <v>5</v>
          </cell>
          <cell r="E321">
            <v>6205</v>
          </cell>
          <cell r="F321" t="str">
            <v>SPESE IN C/CAPITALE CONTRO ENTRATE ORD.                     </v>
          </cell>
          <cell r="G321">
            <v>0</v>
          </cell>
          <cell r="H321">
            <v>0</v>
          </cell>
          <cell r="I321">
            <v>15493.71</v>
          </cell>
          <cell r="J321">
            <v>36151.98</v>
          </cell>
          <cell r="K321">
            <v>18075.99</v>
          </cell>
        </row>
        <row r="322">
          <cell r="A322" t="str">
            <v>CDG6 </v>
          </cell>
          <cell r="B322">
            <v>81</v>
          </cell>
          <cell r="C322" t="str">
            <v>Museo Archelogico                                           </v>
          </cell>
          <cell r="D322">
            <v>5</v>
          </cell>
          <cell r="E322">
            <v>6205</v>
          </cell>
          <cell r="F322" t="str">
            <v>SPESE IN C/CAPITALE CONTRO ENTRATE ORD.                     </v>
          </cell>
          <cell r="G322">
            <v>0</v>
          </cell>
          <cell r="H322">
            <v>3615.2</v>
          </cell>
          <cell r="I322">
            <v>0</v>
          </cell>
          <cell r="J322">
            <v>15493.71</v>
          </cell>
          <cell r="K322">
            <v>15493.71</v>
          </cell>
        </row>
        <row r="323">
          <cell r="A323" t="str">
            <v>CDG6 </v>
          </cell>
          <cell r="B323">
            <v>82</v>
          </cell>
          <cell r="C323" t="str">
            <v>Musei Civici di arte antica                                 </v>
          </cell>
          <cell r="D323">
            <v>5</v>
          </cell>
          <cell r="E323">
            <v>6205</v>
          </cell>
          <cell r="F323" t="str">
            <v>SPESE IN C/CAPITALE CONTRO ENTRATE ORD.                     </v>
          </cell>
          <cell r="G323">
            <v>0</v>
          </cell>
          <cell r="H323">
            <v>0</v>
          </cell>
          <cell r="I323">
            <v>0</v>
          </cell>
          <cell r="J323">
            <v>61974.83</v>
          </cell>
          <cell r="K323">
            <v>33569.7</v>
          </cell>
        </row>
        <row r="324">
          <cell r="A324" t="str">
            <v>CDG6 </v>
          </cell>
          <cell r="B324">
            <v>80</v>
          </cell>
          <cell r="C324" t="str">
            <v>Sala Borsa/CentroDoc.Don.-Bibl.Naz.Don.                     </v>
          </cell>
          <cell r="D324">
            <v>5</v>
          </cell>
          <cell r="E324">
            <v>6205</v>
          </cell>
          <cell r="F324" t="str">
            <v>SPESE IN C/CAPITALE CONTRO ENTRATE ORD.                     </v>
          </cell>
          <cell r="G324">
            <v>0</v>
          </cell>
          <cell r="H324">
            <v>516.46</v>
          </cell>
          <cell r="I324">
            <v>6197.48</v>
          </cell>
          <cell r="J324">
            <v>25822.84</v>
          </cell>
          <cell r="K324">
            <v>10329.14</v>
          </cell>
        </row>
        <row r="325">
          <cell r="A325" t="str">
            <v>CDG6 </v>
          </cell>
          <cell r="B325">
            <v>85</v>
          </cell>
          <cell r="C325" t="str">
            <v>Museo del Patrimonio industriale                            </v>
          </cell>
          <cell r="D325">
            <v>5</v>
          </cell>
          <cell r="E325">
            <v>6205</v>
          </cell>
          <cell r="F325" t="str">
            <v>SPESE IN C/CAPITALE CONTRO ENTRATE ORD.                     </v>
          </cell>
          <cell r="G325">
            <v>0</v>
          </cell>
          <cell r="H325">
            <v>0</v>
          </cell>
          <cell r="I325">
            <v>5681.03</v>
          </cell>
          <cell r="J325">
            <v>6713.94</v>
          </cell>
          <cell r="K325">
            <v>6713.94</v>
          </cell>
        </row>
        <row r="326">
          <cell r="A326" t="str">
            <v>CDG6 </v>
          </cell>
          <cell r="B326">
            <v>79</v>
          </cell>
          <cell r="C326" t="str">
            <v>Biblioteca dell'Archiginnasio                               </v>
          </cell>
          <cell r="D326">
            <v>5</v>
          </cell>
          <cell r="E326">
            <v>6205</v>
          </cell>
          <cell r="F326" t="str">
            <v>SPESE IN C/CAPITALE CONTRO ENTRATE ORD.                     </v>
          </cell>
          <cell r="G326">
            <v>0</v>
          </cell>
          <cell r="H326">
            <v>6455.71</v>
          </cell>
          <cell r="I326">
            <v>0</v>
          </cell>
          <cell r="J326">
            <v>71271.05</v>
          </cell>
          <cell r="K326">
            <v>71271.05</v>
          </cell>
        </row>
        <row r="327">
          <cell r="A327" t="str">
            <v>CDG6 </v>
          </cell>
          <cell r="B327">
            <v>76</v>
          </cell>
          <cell r="C327" t="str">
            <v>Direzione, amm.,CDG/altro - Cultura                         </v>
          </cell>
          <cell r="D327">
            <v>5</v>
          </cell>
          <cell r="E327">
            <v>6205</v>
          </cell>
          <cell r="F327" t="str">
            <v>SPESE IN C/CAPITALE CONTRO ENTRATE ORD.                     </v>
          </cell>
          <cell r="G327">
            <v>0</v>
          </cell>
          <cell r="H327">
            <v>215.19</v>
          </cell>
          <cell r="I327">
            <v>20658.28</v>
          </cell>
          <cell r="J327">
            <v>35377.3</v>
          </cell>
          <cell r="K327">
            <v>30212.73</v>
          </cell>
        </row>
        <row r="328">
          <cell r="A328" t="str">
            <v>CDG6 </v>
          </cell>
          <cell r="B328">
            <v>77</v>
          </cell>
          <cell r="C328" t="str">
            <v>Attività culturali gestione sale                            </v>
          </cell>
          <cell r="D328">
            <v>5</v>
          </cell>
          <cell r="E328">
            <v>6205</v>
          </cell>
          <cell r="F328" t="str">
            <v>SPESE IN C/CAPITALE CONTRO ENTRATE ORD.                     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CDG6 </v>
          </cell>
          <cell r="B329">
            <v>93</v>
          </cell>
          <cell r="C329" t="str">
            <v>Sport                                                       </v>
          </cell>
          <cell r="D329">
            <v>5</v>
          </cell>
          <cell r="E329">
            <v>6205</v>
          </cell>
          <cell r="F329" t="str">
            <v>SPESE IN C/CAPITALE CONTRO ENTRATE ORD.                     </v>
          </cell>
          <cell r="G329">
            <v>0</v>
          </cell>
          <cell r="H329">
            <v>0</v>
          </cell>
          <cell r="I329">
            <v>10329.14</v>
          </cell>
          <cell r="J329">
            <v>10329.14</v>
          </cell>
          <cell r="K329">
            <v>7746.85</v>
          </cell>
        </row>
        <row r="330">
          <cell r="A330" t="str">
            <v>CDG6 </v>
          </cell>
          <cell r="B330">
            <v>97</v>
          </cell>
          <cell r="C330" t="str">
            <v>Direzione, amm.,CDG/altro - traffico                        </v>
          </cell>
          <cell r="D330">
            <v>5</v>
          </cell>
          <cell r="E330">
            <v>6205</v>
          </cell>
          <cell r="F330" t="str">
            <v>SPESE IN C/CAPITALE CONTRO ENTRATE ORD.                     </v>
          </cell>
          <cell r="G330">
            <v>0</v>
          </cell>
          <cell r="H330">
            <v>1936.71</v>
          </cell>
          <cell r="I330">
            <v>0</v>
          </cell>
          <cell r="J330">
            <v>61974.83</v>
          </cell>
          <cell r="K330">
            <v>59392.54</v>
          </cell>
        </row>
        <row r="331">
          <cell r="A331" t="str">
            <v>CDG6 </v>
          </cell>
          <cell r="B331">
            <v>4</v>
          </cell>
          <cell r="C331" t="str">
            <v>Pianificaz. infrastrutturale trasporti                      </v>
          </cell>
          <cell r="D331">
            <v>5</v>
          </cell>
          <cell r="E331">
            <v>6205</v>
          </cell>
          <cell r="F331" t="str">
            <v>SPESE IN C/CAPITALE CONTRO ENTRATE ORD.                     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CDG6 </v>
          </cell>
          <cell r="B332">
            <v>134</v>
          </cell>
          <cell r="C332" t="str">
            <v>Ambiente                                                    </v>
          </cell>
          <cell r="D332">
            <v>5</v>
          </cell>
          <cell r="E332">
            <v>6205</v>
          </cell>
          <cell r="F332" t="str">
            <v>SPESE IN C/CAPITALE CONTRO ENTRATE ORD.                     </v>
          </cell>
          <cell r="G332">
            <v>0</v>
          </cell>
          <cell r="H332">
            <v>0</v>
          </cell>
          <cell r="I332">
            <v>0</v>
          </cell>
          <cell r="J332">
            <v>20658.28</v>
          </cell>
          <cell r="K332">
            <v>12394.97</v>
          </cell>
        </row>
        <row r="333">
          <cell r="A333" t="str">
            <v>CDG6 </v>
          </cell>
          <cell r="B333">
            <v>133</v>
          </cell>
          <cell r="C333" t="str">
            <v>Direz.,amm.,CDG/altro-territ.e riq.urb.                     </v>
          </cell>
          <cell r="D333">
            <v>5</v>
          </cell>
          <cell r="E333">
            <v>6205</v>
          </cell>
          <cell r="F333" t="str">
            <v>SPESE IN C/CAPITALE CONTRO ENTRATE ORD.                     </v>
          </cell>
          <cell r="G333">
            <v>0</v>
          </cell>
          <cell r="H333">
            <v>0</v>
          </cell>
          <cell r="I333">
            <v>0</v>
          </cell>
          <cell r="J333">
            <v>51645.69</v>
          </cell>
          <cell r="K333">
            <v>25822.84</v>
          </cell>
        </row>
        <row r="334">
          <cell r="A334" t="str">
            <v>CDG6 </v>
          </cell>
          <cell r="B334">
            <v>136</v>
          </cell>
          <cell r="C334" t="str">
            <v>Urbanistica                                                 </v>
          </cell>
          <cell r="D334">
            <v>5</v>
          </cell>
          <cell r="E334">
            <v>6205</v>
          </cell>
          <cell r="F334" t="str">
            <v>SPESE IN C/CAPITALE CONTRO ENTRATE ORD.                     </v>
          </cell>
          <cell r="G334">
            <v>0</v>
          </cell>
          <cell r="H334">
            <v>0</v>
          </cell>
          <cell r="I334">
            <v>0</v>
          </cell>
          <cell r="J334">
            <v>41316.55</v>
          </cell>
          <cell r="K334">
            <v>39250.72</v>
          </cell>
        </row>
        <row r="335">
          <cell r="A335" t="str">
            <v>CDG6 </v>
          </cell>
          <cell r="B335">
            <v>135</v>
          </cell>
          <cell r="C335" t="str">
            <v>Atti amministrativi                                         </v>
          </cell>
          <cell r="D335">
            <v>5</v>
          </cell>
          <cell r="E335">
            <v>6205</v>
          </cell>
          <cell r="F335" t="str">
            <v>SPESE IN C/CAPITALE CONTRO ENTRATE ORD.                     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CDG6 </v>
          </cell>
          <cell r="B336">
            <v>138</v>
          </cell>
          <cell r="C336" t="str">
            <v>Sistema informativo territoriale                            </v>
          </cell>
          <cell r="D336">
            <v>5</v>
          </cell>
          <cell r="E336">
            <v>6205</v>
          </cell>
          <cell r="F336" t="str">
            <v>SPESE IN C/CAPITALE CONTRO ENTRATE ORD.                     </v>
          </cell>
          <cell r="G336">
            <v>0</v>
          </cell>
          <cell r="H336">
            <v>1850.64</v>
          </cell>
          <cell r="I336">
            <v>10329.14</v>
          </cell>
          <cell r="J336">
            <v>39405.67</v>
          </cell>
          <cell r="K336">
            <v>25977.78</v>
          </cell>
        </row>
        <row r="337">
          <cell r="A337" t="str">
            <v>CDG6 </v>
          </cell>
          <cell r="B337">
            <v>137</v>
          </cell>
          <cell r="C337" t="str">
            <v>Controllo edilizio                                          </v>
          </cell>
          <cell r="D337">
            <v>5</v>
          </cell>
          <cell r="E337">
            <v>6205</v>
          </cell>
          <cell r="F337" t="str">
            <v>SPESE IN C/CAPITALE CONTRO ENTRATE ORD.                     </v>
          </cell>
          <cell r="G337">
            <v>0</v>
          </cell>
          <cell r="H337">
            <v>301.27</v>
          </cell>
          <cell r="I337">
            <v>0</v>
          </cell>
          <cell r="J337">
            <v>67139.4</v>
          </cell>
          <cell r="K337">
            <v>67139.4</v>
          </cell>
        </row>
        <row r="338">
          <cell r="A338" t="str">
            <v>CDG6 </v>
          </cell>
          <cell r="B338">
            <v>139</v>
          </cell>
          <cell r="C338" t="str">
            <v>Casa                                                        </v>
          </cell>
          <cell r="D338">
            <v>5</v>
          </cell>
          <cell r="E338">
            <v>6205</v>
          </cell>
          <cell r="F338" t="str">
            <v>SPESE IN C/CAPITALE CONTRO ENTRATE ORD.                     </v>
          </cell>
          <cell r="G338">
            <v>0</v>
          </cell>
          <cell r="H338">
            <v>0</v>
          </cell>
          <cell r="I338">
            <v>0</v>
          </cell>
          <cell r="J338">
            <v>18075.99</v>
          </cell>
          <cell r="K338">
            <v>18075.99</v>
          </cell>
        </row>
        <row r="339">
          <cell r="A339" t="str">
            <v>CDG6 </v>
          </cell>
          <cell r="B339">
            <v>7</v>
          </cell>
          <cell r="C339" t="str">
            <v>Protezione civile                                           </v>
          </cell>
          <cell r="D339">
            <v>5</v>
          </cell>
          <cell r="E339">
            <v>6205</v>
          </cell>
          <cell r="F339" t="str">
            <v>SPESE IN C/CAPITALE CONTRO ENTRATE ORD.                     </v>
          </cell>
          <cell r="G339">
            <v>0</v>
          </cell>
          <cell r="H339">
            <v>0</v>
          </cell>
          <cell r="I339">
            <v>0</v>
          </cell>
          <cell r="J339">
            <v>29438.04</v>
          </cell>
          <cell r="K339">
            <v>29438.04</v>
          </cell>
        </row>
        <row r="340">
          <cell r="A340" t="str">
            <v>CDG6 </v>
          </cell>
          <cell r="B340">
            <v>50</v>
          </cell>
          <cell r="C340" t="str">
            <v>Fognature                                                   </v>
          </cell>
          <cell r="D340">
            <v>5</v>
          </cell>
          <cell r="E340">
            <v>6205</v>
          </cell>
          <cell r="F340" t="str">
            <v>SPESE IN C/CAPITALE CONTRO ENTRATE ORD.                     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CDG6 </v>
          </cell>
          <cell r="B341">
            <v>6</v>
          </cell>
          <cell r="C341" t="str">
            <v>Progetto speciale qualità urbana                            </v>
          </cell>
          <cell r="D341">
            <v>5</v>
          </cell>
          <cell r="E341">
            <v>6205</v>
          </cell>
          <cell r="F341" t="str">
            <v>SPESE IN C/CAPITALE CONTRO ENTRATE ORD.                     </v>
          </cell>
          <cell r="G341">
            <v>0</v>
          </cell>
          <cell r="H341">
            <v>0</v>
          </cell>
          <cell r="I341">
            <v>0</v>
          </cell>
          <cell r="J341">
            <v>5164.57</v>
          </cell>
          <cell r="K341">
            <v>5164.57</v>
          </cell>
        </row>
        <row r="342">
          <cell r="A342" t="str">
            <v>CDG6 </v>
          </cell>
          <cell r="B342">
            <v>108</v>
          </cell>
          <cell r="C342" t="str">
            <v>Direz., amm.,CDG/altro - socio sanitario                    </v>
          </cell>
          <cell r="D342">
            <v>5</v>
          </cell>
          <cell r="E342">
            <v>6205</v>
          </cell>
          <cell r="F342" t="str">
            <v>SPESE IN C/CAPITALE CONTRO ENTRATE ORD.                     </v>
          </cell>
          <cell r="G342">
            <v>0</v>
          </cell>
          <cell r="H342">
            <v>8667.87</v>
          </cell>
          <cell r="I342">
            <v>0</v>
          </cell>
          <cell r="J342">
            <v>154937.07</v>
          </cell>
          <cell r="K342">
            <v>154937.07</v>
          </cell>
        </row>
        <row r="343">
          <cell r="A343" t="str">
            <v>CDG6 </v>
          </cell>
          <cell r="B343">
            <v>118</v>
          </cell>
          <cell r="C343" t="str">
            <v>Servizi sociali a minori e famiglie                         </v>
          </cell>
          <cell r="D343">
            <v>5</v>
          </cell>
          <cell r="E343">
            <v>6205</v>
          </cell>
          <cell r="F343" t="str">
            <v>SPESE IN C/CAPITALE CONTRO ENTRATE ORD.                     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CDG6 </v>
          </cell>
          <cell r="B344">
            <v>255</v>
          </cell>
          <cell r="C344" t="str">
            <v>Sicurezza urbana                                            </v>
          </cell>
          <cell r="D344">
            <v>5</v>
          </cell>
          <cell r="E344">
            <v>6205</v>
          </cell>
          <cell r="F344" t="str">
            <v>SPESE IN C/CAPITALE CONTRO ENTRATE ORD.                     </v>
          </cell>
          <cell r="G344">
            <v>0</v>
          </cell>
          <cell r="H344">
            <v>0</v>
          </cell>
          <cell r="I344">
            <v>0</v>
          </cell>
          <cell r="J344">
            <v>82633.11</v>
          </cell>
          <cell r="K344">
            <v>82633.1</v>
          </cell>
        </row>
        <row r="345">
          <cell r="A345" t="str">
            <v>CDG6 </v>
          </cell>
          <cell r="B345">
            <v>259</v>
          </cell>
          <cell r="C345" t="str">
            <v>Direzione/amm./altro salute e qualità                       </v>
          </cell>
          <cell r="D345">
            <v>5</v>
          </cell>
          <cell r="E345">
            <v>6205</v>
          </cell>
          <cell r="F345" t="str">
            <v>SPESE IN C/CAPITALE CONTRO ENTRATE ORD.                     </v>
          </cell>
          <cell r="G345">
            <v>0</v>
          </cell>
          <cell r="H345">
            <v>0</v>
          </cell>
          <cell r="I345">
            <v>0</v>
          </cell>
          <cell r="J345">
            <v>56810.26</v>
          </cell>
          <cell r="K345">
            <v>56810.26</v>
          </cell>
        </row>
        <row r="346">
          <cell r="A346" t="str">
            <v>CDG6 </v>
          </cell>
          <cell r="B346">
            <v>126</v>
          </cell>
          <cell r="C346" t="str">
            <v>Istituz. Serv. per l'immigrazione (ISI)                     </v>
          </cell>
          <cell r="D346">
            <v>5</v>
          </cell>
          <cell r="E346">
            <v>6205</v>
          </cell>
          <cell r="F346" t="str">
            <v>SPESE IN C/CAPITALE CONTRO ENTRATE ORD.                     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CDG6 </v>
          </cell>
          <cell r="B347">
            <v>121</v>
          </cell>
          <cell r="C347" t="str">
            <v>Servizi sociali per adulti                                  </v>
          </cell>
          <cell r="D347">
            <v>5</v>
          </cell>
          <cell r="E347">
            <v>6205</v>
          </cell>
          <cell r="F347" t="str">
            <v>SPESE IN C/CAPITALE CONTRO ENTRATE ORD.                     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CDG6 </v>
          </cell>
          <cell r="B348">
            <v>109</v>
          </cell>
          <cell r="C348" t="str">
            <v>Servizi funerari                                            </v>
          </cell>
          <cell r="D348">
            <v>5</v>
          </cell>
          <cell r="E348">
            <v>6205</v>
          </cell>
          <cell r="F348" t="str">
            <v>SPESE IN C/CAPITALE CONTRO ENTRATE ORD.                     </v>
          </cell>
          <cell r="G348">
            <v>0</v>
          </cell>
          <cell r="H348">
            <v>0</v>
          </cell>
          <cell r="I348">
            <v>0</v>
          </cell>
          <cell r="J348">
            <v>211747.32</v>
          </cell>
          <cell r="K348">
            <v>160101.64</v>
          </cell>
        </row>
        <row r="349">
          <cell r="A349" t="str">
            <v>CDG6 </v>
          </cell>
          <cell r="B349">
            <v>72</v>
          </cell>
          <cell r="C349" t="str">
            <v>Direzione, amm.,CDG/altro - Economia                        </v>
          </cell>
          <cell r="D349">
            <v>5</v>
          </cell>
          <cell r="E349">
            <v>6205</v>
          </cell>
          <cell r="F349" t="str">
            <v>SPESE IN C/CAPITALE CONTRO ENTRATE ORD.                     </v>
          </cell>
          <cell r="G349">
            <v>0</v>
          </cell>
          <cell r="H349">
            <v>3443.05</v>
          </cell>
          <cell r="I349">
            <v>0</v>
          </cell>
          <cell r="J349">
            <v>36151.98</v>
          </cell>
          <cell r="K349">
            <v>36151.98</v>
          </cell>
        </row>
        <row r="350">
          <cell r="A350" t="str">
            <v>CDG6 </v>
          </cell>
          <cell r="B350">
            <v>73</v>
          </cell>
          <cell r="C350" t="str">
            <v>Economia e lavoro                                           </v>
          </cell>
          <cell r="D350">
            <v>5</v>
          </cell>
          <cell r="E350">
            <v>6205</v>
          </cell>
          <cell r="F350" t="str">
            <v>SPESE IN C/CAPITALE CONTRO ENTRATE ORD.                     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CDG6 </v>
          </cell>
          <cell r="B351">
            <v>37</v>
          </cell>
          <cell r="C351" t="str">
            <v>Trasformazioni strutturali                                  </v>
          </cell>
          <cell r="D351">
            <v>5</v>
          </cell>
          <cell r="E351">
            <v>6205</v>
          </cell>
          <cell r="F351" t="str">
            <v>SPESE IN C/CAPITALE CONTRO ENTRATE ORD.                    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CDG6 </v>
          </cell>
          <cell r="B352">
            <v>160</v>
          </cell>
          <cell r="C352" t="str">
            <v>Scuole dell'infanzia - Q. Borgo                             </v>
          </cell>
          <cell r="D352">
            <v>5</v>
          </cell>
          <cell r="E352">
            <v>6214</v>
          </cell>
          <cell r="F352" t="str">
            <v>Q.RI PROG.INTEGRATO SCUOLA DELL'INFANZIA                    </v>
          </cell>
          <cell r="G352">
            <v>0</v>
          </cell>
          <cell r="H352">
            <v>1463.29</v>
          </cell>
          <cell r="I352">
            <v>14584.74</v>
          </cell>
          <cell r="J352">
            <v>15493.71</v>
          </cell>
          <cell r="K352">
            <v>15493.71</v>
          </cell>
        </row>
        <row r="353">
          <cell r="A353" t="str">
            <v>CDG6 </v>
          </cell>
          <cell r="B353">
            <v>170</v>
          </cell>
          <cell r="C353" t="str">
            <v>Scuole dell'infanzia - Q. Navile                            </v>
          </cell>
          <cell r="D353">
            <v>5</v>
          </cell>
          <cell r="E353">
            <v>6214</v>
          </cell>
          <cell r="F353" t="str">
            <v>Q.RI PROG.INTEGRATO SCUOLA DELL'INFANZIA                    </v>
          </cell>
          <cell r="G353">
            <v>0</v>
          </cell>
          <cell r="H353">
            <v>5067.73</v>
          </cell>
          <cell r="I353">
            <v>50401.03</v>
          </cell>
          <cell r="J353">
            <v>50401.03</v>
          </cell>
          <cell r="K353">
            <v>50401.03</v>
          </cell>
        </row>
        <row r="354">
          <cell r="A354" t="str">
            <v>CDG6 </v>
          </cell>
          <cell r="B354">
            <v>180</v>
          </cell>
          <cell r="C354" t="str">
            <v>Scuole dell'infanzia - Q. Porto                             </v>
          </cell>
          <cell r="D354">
            <v>5</v>
          </cell>
          <cell r="E354">
            <v>6214</v>
          </cell>
          <cell r="F354" t="str">
            <v>Q.RI PROG.INTEGRATO SCUOLA DELL'INFANZIA                    </v>
          </cell>
          <cell r="G354">
            <v>0</v>
          </cell>
          <cell r="H354">
            <v>4282.29</v>
          </cell>
          <cell r="I354">
            <v>42463.09</v>
          </cell>
          <cell r="J354">
            <v>42504.4</v>
          </cell>
          <cell r="K354">
            <v>42504.4</v>
          </cell>
        </row>
        <row r="355">
          <cell r="A355" t="str">
            <v>CDG6 </v>
          </cell>
          <cell r="B355">
            <v>190</v>
          </cell>
          <cell r="C355" t="str">
            <v>Scuole dell'infanzia - Q. Reno                              </v>
          </cell>
          <cell r="D355">
            <v>5</v>
          </cell>
          <cell r="E355">
            <v>6214</v>
          </cell>
          <cell r="F355" t="str">
            <v>Q.RI PROG.INTEGRATO SCUOLA DELL'INFANZIA                    </v>
          </cell>
          <cell r="G355">
            <v>0</v>
          </cell>
          <cell r="H355">
            <v>2926.59</v>
          </cell>
          <cell r="I355">
            <v>29169.49</v>
          </cell>
          <cell r="J355">
            <v>29169.49</v>
          </cell>
          <cell r="K355">
            <v>29169.49</v>
          </cell>
        </row>
        <row r="356">
          <cell r="A356" t="str">
            <v>CDG6 </v>
          </cell>
          <cell r="B356">
            <v>200</v>
          </cell>
          <cell r="C356" t="str">
            <v>Scuole dell'infanzia - Q. San Donato                        </v>
          </cell>
          <cell r="D356">
            <v>5</v>
          </cell>
          <cell r="E356">
            <v>6214</v>
          </cell>
          <cell r="F356" t="str">
            <v>Q.RI PROG.INTEGRATO SCUOLA DELL'INFANZIA                    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CDG6 </v>
          </cell>
          <cell r="B357">
            <v>210</v>
          </cell>
          <cell r="C357" t="str">
            <v>Scuole dell'infanzia - Q. Santo Stefano                     </v>
          </cell>
          <cell r="D357">
            <v>5</v>
          </cell>
          <cell r="E357">
            <v>6214</v>
          </cell>
          <cell r="F357" t="str">
            <v>Q.RI PROG.INTEGRATO SCUOLA DELL'INFANZIA                    </v>
          </cell>
          <cell r="G357">
            <v>0</v>
          </cell>
          <cell r="H357">
            <v>15109.38</v>
          </cell>
          <cell r="I357">
            <v>135311.71</v>
          </cell>
          <cell r="J357">
            <v>135826.16</v>
          </cell>
          <cell r="K357">
            <v>135828.16</v>
          </cell>
        </row>
        <row r="358">
          <cell r="A358" t="str">
            <v>CDG6 </v>
          </cell>
          <cell r="B358">
            <v>220</v>
          </cell>
          <cell r="C358" t="str">
            <v>Scuole dell'infanzia - Q. San Vitale                        </v>
          </cell>
          <cell r="D358">
            <v>5</v>
          </cell>
          <cell r="E358">
            <v>6214</v>
          </cell>
          <cell r="F358" t="str">
            <v>Q.RI PROG.INTEGRATO SCUOLA DELL'INFANZIA                    </v>
          </cell>
          <cell r="G358">
            <v>0</v>
          </cell>
          <cell r="H358">
            <v>5853.18</v>
          </cell>
          <cell r="I358">
            <v>58359.63</v>
          </cell>
          <cell r="J358">
            <v>51645.69</v>
          </cell>
          <cell r="K358">
            <v>51645.69</v>
          </cell>
        </row>
        <row r="359">
          <cell r="A359" t="str">
            <v>CDG6 </v>
          </cell>
          <cell r="B359">
            <v>230</v>
          </cell>
          <cell r="C359" t="str">
            <v>Scuole dell'infanzia - Q. Saragozza                         </v>
          </cell>
          <cell r="D359">
            <v>5</v>
          </cell>
          <cell r="E359">
            <v>6214</v>
          </cell>
          <cell r="F359" t="str">
            <v>Q.RI PROG.INTEGRATO SCUOLA DELL'INFANZIA                    </v>
          </cell>
          <cell r="G359">
            <v>0</v>
          </cell>
          <cell r="H359">
            <v>0</v>
          </cell>
          <cell r="I359">
            <v>0</v>
          </cell>
          <cell r="J359">
            <v>14977</v>
          </cell>
          <cell r="K359">
            <v>14977.25</v>
          </cell>
        </row>
        <row r="360">
          <cell r="A360" t="str">
            <v>CDG6 </v>
          </cell>
          <cell r="B360">
            <v>240</v>
          </cell>
          <cell r="C360" t="str">
            <v>Scuole dell'infanzia - Q. Savena                            </v>
          </cell>
          <cell r="D360">
            <v>5</v>
          </cell>
          <cell r="E360">
            <v>6214</v>
          </cell>
          <cell r="F360" t="str">
            <v>Q.RI PROG.INTEGRATO SCUOLA DELL'INFANZIA                    </v>
          </cell>
          <cell r="G360">
            <v>0</v>
          </cell>
          <cell r="H360">
            <v>5745.58</v>
          </cell>
          <cell r="I360">
            <v>56810.26</v>
          </cell>
          <cell r="J360">
            <v>71633</v>
          </cell>
          <cell r="K360">
            <v>71632.57</v>
          </cell>
        </row>
        <row r="361">
          <cell r="A361" t="str">
            <v>CDG6 </v>
          </cell>
          <cell r="B361">
            <v>157</v>
          </cell>
          <cell r="C361" t="str">
            <v>Servizi socio assistenziali - Q. Borgo                      </v>
          </cell>
          <cell r="D361">
            <v>5</v>
          </cell>
          <cell r="E361">
            <v>6660</v>
          </cell>
          <cell r="F361" t="str">
            <v>Q.RI BUONI MENSA                                            </v>
          </cell>
          <cell r="G361">
            <v>0</v>
          </cell>
          <cell r="H361">
            <v>2862.03</v>
          </cell>
          <cell r="I361">
            <v>34602.61</v>
          </cell>
          <cell r="J361">
            <v>51645.69</v>
          </cell>
          <cell r="K361">
            <v>51645.69</v>
          </cell>
        </row>
        <row r="362">
          <cell r="A362" t="str">
            <v>CDG6 </v>
          </cell>
          <cell r="B362">
            <v>167</v>
          </cell>
          <cell r="C362" t="str">
            <v>Servizi socio assistenziali - Q. Navile                     </v>
          </cell>
          <cell r="D362">
            <v>5</v>
          </cell>
          <cell r="E362">
            <v>6660</v>
          </cell>
          <cell r="F362" t="str">
            <v>Q.RI BUONI MENSA                                            </v>
          </cell>
          <cell r="G362">
            <v>0</v>
          </cell>
          <cell r="H362">
            <v>7071.16</v>
          </cell>
          <cell r="I362">
            <v>86248.3</v>
          </cell>
          <cell r="J362">
            <v>87797.67</v>
          </cell>
          <cell r="K362">
            <v>87797.67</v>
          </cell>
        </row>
        <row r="363">
          <cell r="A363" t="str">
            <v>CDG6 </v>
          </cell>
          <cell r="B363">
            <v>177</v>
          </cell>
          <cell r="C363" t="str">
            <v>Servizi socio assistenziali - Q. Porto                      </v>
          </cell>
          <cell r="D363">
            <v>5</v>
          </cell>
          <cell r="E363">
            <v>6660</v>
          </cell>
          <cell r="F363" t="str">
            <v>Q.RI BUONI MENSA                                            </v>
          </cell>
          <cell r="G363">
            <v>0</v>
          </cell>
          <cell r="H363">
            <v>3658.24</v>
          </cell>
          <cell r="I363">
            <v>51645.69</v>
          </cell>
          <cell r="J363">
            <v>56810.26</v>
          </cell>
          <cell r="K363">
            <v>56810.26</v>
          </cell>
        </row>
        <row r="364">
          <cell r="A364" t="str">
            <v>CDG6 </v>
          </cell>
          <cell r="B364">
            <v>187</v>
          </cell>
          <cell r="C364" t="str">
            <v>Servi. socio assistenziali - Q. Reno                        </v>
          </cell>
          <cell r="D364">
            <v>5</v>
          </cell>
          <cell r="E364">
            <v>6660</v>
          </cell>
          <cell r="F364" t="str">
            <v>Q.RI BUONI MENSA                                            </v>
          </cell>
          <cell r="G364">
            <v>0</v>
          </cell>
          <cell r="H364">
            <v>4432.92</v>
          </cell>
          <cell r="I364">
            <v>51645.69</v>
          </cell>
          <cell r="J364">
            <v>56810.26</v>
          </cell>
          <cell r="K364">
            <v>55777.35</v>
          </cell>
        </row>
        <row r="365">
          <cell r="A365" t="str">
            <v>CDG6 </v>
          </cell>
          <cell r="B365">
            <v>197</v>
          </cell>
          <cell r="C365" t="str">
            <v>Servi. socio assistenz. - Q. San Donato                     </v>
          </cell>
          <cell r="D365">
            <v>5</v>
          </cell>
          <cell r="E365">
            <v>6660</v>
          </cell>
          <cell r="F365" t="str">
            <v>Q.RI BUONI MENSA                                            </v>
          </cell>
          <cell r="G365">
            <v>0</v>
          </cell>
          <cell r="H365">
            <v>2480.16</v>
          </cell>
          <cell r="I365">
            <v>27888.67</v>
          </cell>
          <cell r="J365">
            <v>35635.53</v>
          </cell>
          <cell r="K365">
            <v>35635.53</v>
          </cell>
        </row>
        <row r="366">
          <cell r="A366" t="str">
            <v>CDG6 </v>
          </cell>
          <cell r="B366">
            <v>207</v>
          </cell>
          <cell r="C366" t="str">
            <v>Servi. socio assistenz. - Q. S.Stefano                      </v>
          </cell>
          <cell r="D366">
            <v>5</v>
          </cell>
          <cell r="E366">
            <v>6660</v>
          </cell>
          <cell r="F366" t="str">
            <v>Q.RI BUONI MENSA                                            </v>
          </cell>
          <cell r="G366">
            <v>0</v>
          </cell>
          <cell r="H366">
            <v>4943.83</v>
          </cell>
          <cell r="I366">
            <v>56810.26</v>
          </cell>
          <cell r="J366">
            <v>61974.83</v>
          </cell>
          <cell r="K366">
            <v>61974.83</v>
          </cell>
        </row>
        <row r="367">
          <cell r="A367" t="str">
            <v>CDG6 </v>
          </cell>
          <cell r="B367">
            <v>217</v>
          </cell>
          <cell r="C367" t="str">
            <v>Servi. socio assistenz. - Q. San Vitale                     </v>
          </cell>
          <cell r="D367">
            <v>5</v>
          </cell>
          <cell r="E367">
            <v>6660</v>
          </cell>
          <cell r="F367" t="str">
            <v>Q.RI BUONI MENSA                                            </v>
          </cell>
          <cell r="G367">
            <v>0</v>
          </cell>
          <cell r="H367">
            <v>1936.71</v>
          </cell>
          <cell r="I367">
            <v>25822.84</v>
          </cell>
          <cell r="J367">
            <v>31839.57</v>
          </cell>
          <cell r="K367">
            <v>32020.33</v>
          </cell>
        </row>
        <row r="368">
          <cell r="A368" t="str">
            <v>CDG6 </v>
          </cell>
          <cell r="B368">
            <v>227</v>
          </cell>
          <cell r="C368" t="str">
            <v>Servi. socio assistenz. - Q. Saragozza                      </v>
          </cell>
          <cell r="D368">
            <v>5</v>
          </cell>
          <cell r="E368">
            <v>6660</v>
          </cell>
          <cell r="F368" t="str">
            <v>Q.RI BUONI MENSA                                            </v>
          </cell>
          <cell r="G368">
            <v>0</v>
          </cell>
          <cell r="H368">
            <v>5406.89</v>
          </cell>
          <cell r="I368">
            <v>64557.11</v>
          </cell>
          <cell r="J368">
            <v>64557</v>
          </cell>
          <cell r="K368">
            <v>64557.11</v>
          </cell>
        </row>
        <row r="369">
          <cell r="A369" t="str">
            <v>CDG6 </v>
          </cell>
          <cell r="B369">
            <v>237</v>
          </cell>
          <cell r="C369" t="str">
            <v>Servi. socio assistenziali - Q. Savena                      </v>
          </cell>
          <cell r="D369">
            <v>5</v>
          </cell>
          <cell r="E369">
            <v>6660</v>
          </cell>
          <cell r="F369" t="str">
            <v>Q.RI BUONI MENSA                                            </v>
          </cell>
          <cell r="G369">
            <v>0</v>
          </cell>
          <cell r="H369">
            <v>3943.01</v>
          </cell>
          <cell r="I369">
            <v>50612.78</v>
          </cell>
          <cell r="J369">
            <v>52663</v>
          </cell>
          <cell r="K369">
            <v>52663.11</v>
          </cell>
        </row>
        <row r="370">
          <cell r="A370" t="str">
            <v>CDG6 </v>
          </cell>
          <cell r="B370">
            <v>157</v>
          </cell>
          <cell r="C370" t="str">
            <v>Servizi socio assistenziali - Q. Borgo                      </v>
          </cell>
          <cell r="D370">
            <v>5</v>
          </cell>
          <cell r="E370">
            <v>6909</v>
          </cell>
          <cell r="F370" t="str">
            <v>Q.RI CASE PROTETTE E RSA                                    </v>
          </cell>
          <cell r="G370">
            <v>0</v>
          </cell>
          <cell r="H370">
            <v>0</v>
          </cell>
          <cell r="I370">
            <v>144607.93</v>
          </cell>
          <cell r="J370">
            <v>154937.07</v>
          </cell>
          <cell r="K370">
            <v>154937.07</v>
          </cell>
        </row>
        <row r="371">
          <cell r="A371" t="str">
            <v>CDG6 </v>
          </cell>
          <cell r="B371">
            <v>167</v>
          </cell>
          <cell r="C371" t="str">
            <v>Servizi socio assistenziali - Q. Navile                     </v>
          </cell>
          <cell r="D371">
            <v>5</v>
          </cell>
          <cell r="E371">
            <v>6909</v>
          </cell>
          <cell r="F371" t="str">
            <v>Q.RI CASE PROTETTE E RSA                                    </v>
          </cell>
          <cell r="G371">
            <v>0</v>
          </cell>
          <cell r="H371">
            <v>49974.59</v>
          </cell>
          <cell r="I371">
            <v>602705.2</v>
          </cell>
          <cell r="J371">
            <v>601672.29</v>
          </cell>
          <cell r="K371">
            <v>601672.29</v>
          </cell>
        </row>
        <row r="372">
          <cell r="A372" t="str">
            <v>CDG6 </v>
          </cell>
          <cell r="B372">
            <v>177</v>
          </cell>
          <cell r="C372" t="str">
            <v>Servizi socio assistenziali - Q. Porto                      </v>
          </cell>
          <cell r="D372">
            <v>5</v>
          </cell>
          <cell r="E372">
            <v>6909</v>
          </cell>
          <cell r="F372" t="str">
            <v>Q.RI CASE PROTETTE E RSA                                    </v>
          </cell>
          <cell r="G372">
            <v>0</v>
          </cell>
          <cell r="H372">
            <v>22379.8</v>
          </cell>
          <cell r="I372">
            <v>284051.29</v>
          </cell>
          <cell r="J372">
            <v>284051.29</v>
          </cell>
          <cell r="K372">
            <v>284051.29</v>
          </cell>
        </row>
        <row r="373">
          <cell r="A373" t="str">
            <v>CDG6 </v>
          </cell>
          <cell r="B373">
            <v>187</v>
          </cell>
          <cell r="C373" t="str">
            <v>Servi. socio assistenziali - Q. Reno                        </v>
          </cell>
          <cell r="D373">
            <v>5</v>
          </cell>
          <cell r="E373">
            <v>6909</v>
          </cell>
          <cell r="F373" t="str">
            <v>Q.RI CASE PROTETTE E RSA                                    </v>
          </cell>
          <cell r="G373">
            <v>0</v>
          </cell>
          <cell r="H373">
            <v>7101.28</v>
          </cell>
          <cell r="I373">
            <v>129114.22</v>
          </cell>
          <cell r="J373">
            <v>129114.22</v>
          </cell>
          <cell r="K373">
            <v>129114.22</v>
          </cell>
        </row>
        <row r="374">
          <cell r="A374" t="str">
            <v>CDG6 </v>
          </cell>
          <cell r="B374">
            <v>197</v>
          </cell>
          <cell r="C374" t="str">
            <v>Servi. socio assistenz. - Q. San Donato                     </v>
          </cell>
          <cell r="D374">
            <v>5</v>
          </cell>
          <cell r="E374">
            <v>6909</v>
          </cell>
          <cell r="F374" t="str">
            <v>Q.RI CASE PROTETTE E RSA                                    </v>
          </cell>
          <cell r="G374">
            <v>0</v>
          </cell>
          <cell r="H374">
            <v>18398.78</v>
          </cell>
          <cell r="I374">
            <v>196253.62</v>
          </cell>
          <cell r="J374">
            <v>222076.47</v>
          </cell>
          <cell r="K374">
            <v>222076.47</v>
          </cell>
        </row>
        <row r="375">
          <cell r="A375" t="str">
            <v>CDG6 </v>
          </cell>
          <cell r="B375">
            <v>207</v>
          </cell>
          <cell r="C375" t="str">
            <v>Servi. socio assistenz. - Q. S.Stefano                      </v>
          </cell>
          <cell r="D375">
            <v>5</v>
          </cell>
          <cell r="E375">
            <v>6909</v>
          </cell>
          <cell r="F375" t="str">
            <v>Q.RI CASE PROTETTE E RSA                                    </v>
          </cell>
          <cell r="G375">
            <v>0</v>
          </cell>
          <cell r="H375">
            <v>27544.37</v>
          </cell>
          <cell r="I375">
            <v>183858.66</v>
          </cell>
          <cell r="J375">
            <v>235504.35</v>
          </cell>
          <cell r="K375">
            <v>235504.35</v>
          </cell>
        </row>
        <row r="376">
          <cell r="A376" t="str">
            <v>CDG6 </v>
          </cell>
          <cell r="B376">
            <v>217</v>
          </cell>
          <cell r="C376" t="str">
            <v>Servi. socio assistenz. - Q. San Vitale                     </v>
          </cell>
          <cell r="D376">
            <v>5</v>
          </cell>
          <cell r="E376">
            <v>6909</v>
          </cell>
          <cell r="F376" t="str">
            <v>Q.RI CASE PROTETTE E RSA                                    </v>
          </cell>
          <cell r="G376">
            <v>0</v>
          </cell>
          <cell r="H376">
            <v>35638.52</v>
          </cell>
          <cell r="I376">
            <v>516456.9</v>
          </cell>
          <cell r="J376">
            <v>398188.27</v>
          </cell>
          <cell r="K376">
            <v>398188.27</v>
          </cell>
        </row>
        <row r="377">
          <cell r="A377" t="str">
            <v>CDG6 </v>
          </cell>
          <cell r="B377">
            <v>227</v>
          </cell>
          <cell r="C377" t="str">
            <v>Servi. socio assistenz. - Q. Saragozza                      </v>
          </cell>
          <cell r="D377">
            <v>5</v>
          </cell>
          <cell r="E377">
            <v>6909</v>
          </cell>
          <cell r="F377" t="str">
            <v>Q.RI CASE PROTETTE E RSA                                    </v>
          </cell>
          <cell r="G377">
            <v>0</v>
          </cell>
          <cell r="H377">
            <v>38088.7</v>
          </cell>
          <cell r="I377">
            <v>516456.9</v>
          </cell>
          <cell r="J377">
            <v>516457</v>
          </cell>
          <cell r="K377">
            <v>516456.9</v>
          </cell>
        </row>
        <row r="378">
          <cell r="A378" t="str">
            <v>CDG6 </v>
          </cell>
          <cell r="B378">
            <v>237</v>
          </cell>
          <cell r="C378" t="str">
            <v>Servi. socio assistenziali - Q. Savena                      </v>
          </cell>
          <cell r="D378">
            <v>5</v>
          </cell>
          <cell r="E378">
            <v>6909</v>
          </cell>
          <cell r="F378" t="str">
            <v>Q.RI CASE PROTETTE E RSA                                    </v>
          </cell>
          <cell r="G378">
            <v>0</v>
          </cell>
          <cell r="H378">
            <v>31953.14</v>
          </cell>
          <cell r="I378">
            <v>507677.13</v>
          </cell>
          <cell r="J378">
            <v>480305</v>
          </cell>
          <cell r="K378">
            <v>480304.92</v>
          </cell>
        </row>
        <row r="379">
          <cell r="A379" t="str">
            <v>CDG6 </v>
          </cell>
          <cell r="B379">
            <v>157</v>
          </cell>
          <cell r="C379" t="str">
            <v>Servizi socio assistenziali - Q. Borgo                      </v>
          </cell>
          <cell r="D379">
            <v>5</v>
          </cell>
          <cell r="E379">
            <v>6910</v>
          </cell>
          <cell r="F379" t="str">
            <v>Q.RI TELESOCCORSO                                           </v>
          </cell>
          <cell r="G379">
            <v>0</v>
          </cell>
          <cell r="H379">
            <v>731.65</v>
          </cell>
          <cell r="I379">
            <v>12911.42</v>
          </cell>
          <cell r="J379">
            <v>10329.14</v>
          </cell>
          <cell r="K379">
            <v>10329.14</v>
          </cell>
        </row>
        <row r="380">
          <cell r="A380" t="str">
            <v>CDG6 </v>
          </cell>
          <cell r="B380">
            <v>167</v>
          </cell>
          <cell r="C380" t="str">
            <v>Servizi socio assistenziali - Q. Navile                     </v>
          </cell>
          <cell r="D380">
            <v>5</v>
          </cell>
          <cell r="E380">
            <v>6910</v>
          </cell>
          <cell r="F380" t="str">
            <v>Q.RI TELESOCCORSO                                           </v>
          </cell>
          <cell r="G380">
            <v>0</v>
          </cell>
          <cell r="H380">
            <v>1291.14</v>
          </cell>
          <cell r="I380">
            <v>18075.99</v>
          </cell>
          <cell r="J380">
            <v>18592.45</v>
          </cell>
          <cell r="K380">
            <v>18592.45</v>
          </cell>
        </row>
        <row r="381">
          <cell r="A381" t="str">
            <v>CDG6 </v>
          </cell>
          <cell r="B381">
            <v>177</v>
          </cell>
          <cell r="C381" t="str">
            <v>Servizi socio assistenziali - Q. Porto                      </v>
          </cell>
          <cell r="D381">
            <v>5</v>
          </cell>
          <cell r="E381">
            <v>6910</v>
          </cell>
          <cell r="F381" t="str">
            <v>Q.RI TELESOCCORSO                                           </v>
          </cell>
          <cell r="G381">
            <v>0</v>
          </cell>
          <cell r="H381">
            <v>645.57</v>
          </cell>
          <cell r="I381">
            <v>10329.14</v>
          </cell>
          <cell r="J381">
            <v>10329.14</v>
          </cell>
          <cell r="K381">
            <v>10329.14</v>
          </cell>
        </row>
        <row r="382">
          <cell r="A382" t="str">
            <v>CDG6 </v>
          </cell>
          <cell r="B382">
            <v>187</v>
          </cell>
          <cell r="C382" t="str">
            <v>Servi. socio assistenziali - Q. Reno                        </v>
          </cell>
          <cell r="D382">
            <v>5</v>
          </cell>
          <cell r="E382">
            <v>6910</v>
          </cell>
          <cell r="F382" t="str">
            <v>Q.RI TELESOCCORSO                                           </v>
          </cell>
          <cell r="G382">
            <v>0</v>
          </cell>
          <cell r="H382">
            <v>1721.52</v>
          </cell>
          <cell r="I382">
            <v>20658.28</v>
          </cell>
          <cell r="J382">
            <v>18592.45</v>
          </cell>
          <cell r="K382">
            <v>18592.45</v>
          </cell>
        </row>
        <row r="383">
          <cell r="A383" t="str">
            <v>CDG6 </v>
          </cell>
          <cell r="B383">
            <v>197</v>
          </cell>
          <cell r="C383" t="str">
            <v>Servi. socio assistenz. - Q. San Donato                     </v>
          </cell>
          <cell r="D383">
            <v>5</v>
          </cell>
          <cell r="E383">
            <v>6910</v>
          </cell>
          <cell r="F383" t="str">
            <v>Q.RI TELESOCCORSO                                           </v>
          </cell>
          <cell r="G383">
            <v>0</v>
          </cell>
          <cell r="H383">
            <v>581.01</v>
          </cell>
          <cell r="I383">
            <v>6713.94</v>
          </cell>
          <cell r="J383">
            <v>4131.66</v>
          </cell>
          <cell r="K383">
            <v>4131.66</v>
          </cell>
        </row>
        <row r="384">
          <cell r="A384" t="str">
            <v>CDG6 </v>
          </cell>
          <cell r="B384">
            <v>207</v>
          </cell>
          <cell r="C384" t="str">
            <v>Servi. socio assistenz. - Q. S.Stefano                      </v>
          </cell>
          <cell r="D384">
            <v>5</v>
          </cell>
          <cell r="E384">
            <v>6910</v>
          </cell>
          <cell r="F384" t="str">
            <v>Q.RI TELESOCCORSO                                           </v>
          </cell>
          <cell r="G384">
            <v>0</v>
          </cell>
          <cell r="H384">
            <v>1764.56</v>
          </cell>
          <cell r="I384">
            <v>25822.84</v>
          </cell>
          <cell r="J384">
            <v>26855.76</v>
          </cell>
          <cell r="K384">
            <v>26855.76</v>
          </cell>
        </row>
        <row r="385">
          <cell r="A385" t="str">
            <v>CDG6 </v>
          </cell>
          <cell r="B385">
            <v>217</v>
          </cell>
          <cell r="C385" t="str">
            <v>Servi. socio assistenz. - Q. San Vitale                     </v>
          </cell>
          <cell r="D385">
            <v>5</v>
          </cell>
          <cell r="E385">
            <v>6910</v>
          </cell>
          <cell r="F385" t="str">
            <v>Q.RI TELESOCCORSO                                           </v>
          </cell>
          <cell r="G385">
            <v>0</v>
          </cell>
          <cell r="H385">
            <v>774.69</v>
          </cell>
          <cell r="I385">
            <v>10329.14</v>
          </cell>
          <cell r="J385">
            <v>13737.75</v>
          </cell>
          <cell r="K385">
            <v>13944.34</v>
          </cell>
        </row>
        <row r="386">
          <cell r="A386" t="str">
            <v>CDG6 </v>
          </cell>
          <cell r="B386">
            <v>227</v>
          </cell>
          <cell r="C386" t="str">
            <v>Servi. socio assistenz. - Q. Saragozza                      </v>
          </cell>
          <cell r="D386">
            <v>5</v>
          </cell>
          <cell r="E386">
            <v>6910</v>
          </cell>
          <cell r="F386" t="str">
            <v>Q.RI TELESOCCORSO                                           </v>
          </cell>
          <cell r="G386">
            <v>0</v>
          </cell>
          <cell r="H386">
            <v>2302.54</v>
          </cell>
          <cell r="I386">
            <v>28405.13</v>
          </cell>
          <cell r="J386">
            <v>28405</v>
          </cell>
          <cell r="K386">
            <v>28405.13</v>
          </cell>
        </row>
        <row r="387">
          <cell r="A387" t="str">
            <v>CDG6 </v>
          </cell>
          <cell r="B387">
            <v>237</v>
          </cell>
          <cell r="C387" t="str">
            <v>Servi. socio assistenziali - Q. Savena                      </v>
          </cell>
          <cell r="D387">
            <v>5</v>
          </cell>
          <cell r="E387">
            <v>6910</v>
          </cell>
          <cell r="F387" t="str">
            <v>Q.RI TELESOCCORSO                                           </v>
          </cell>
          <cell r="G387">
            <v>0</v>
          </cell>
          <cell r="H387">
            <v>2797.48</v>
          </cell>
          <cell r="I387">
            <v>36151.98</v>
          </cell>
          <cell r="J387">
            <v>37237</v>
          </cell>
          <cell r="K387">
            <v>37236.54</v>
          </cell>
        </row>
        <row r="388">
          <cell r="A388" t="str">
            <v>CDG6 </v>
          </cell>
          <cell r="B388">
            <v>157</v>
          </cell>
          <cell r="C388" t="str">
            <v>Servizi socio assistenziali - Q. Borgo                      </v>
          </cell>
          <cell r="D388">
            <v>5</v>
          </cell>
          <cell r="E388">
            <v>6911</v>
          </cell>
          <cell r="F388" t="str">
            <v>Q.RI ALTRI SERVIZI SOCIOASSISTENZIALI                       </v>
          </cell>
          <cell r="G388">
            <v>0</v>
          </cell>
          <cell r="H388">
            <v>5379.76</v>
          </cell>
          <cell r="I388">
            <v>67139.4</v>
          </cell>
          <cell r="J388">
            <v>63524.2</v>
          </cell>
          <cell r="K388">
            <v>63524.2</v>
          </cell>
        </row>
        <row r="389">
          <cell r="A389" t="str">
            <v>CDG6 </v>
          </cell>
          <cell r="B389">
            <v>167</v>
          </cell>
          <cell r="C389" t="str">
            <v>Servizi socio assistenziali - Q. Navile                     </v>
          </cell>
          <cell r="D389">
            <v>5</v>
          </cell>
          <cell r="E389">
            <v>6911</v>
          </cell>
          <cell r="F389" t="str">
            <v>Q.RI ALTRI SERVIZI SOCIOASSISTENZIALI                       </v>
          </cell>
          <cell r="G389">
            <v>0</v>
          </cell>
          <cell r="H389">
            <v>19087.39</v>
          </cell>
          <cell r="I389">
            <v>224142.29</v>
          </cell>
          <cell r="J389">
            <v>229823.32</v>
          </cell>
          <cell r="K389">
            <v>229823.32</v>
          </cell>
        </row>
        <row r="390">
          <cell r="A390" t="str">
            <v>CDG6 </v>
          </cell>
          <cell r="B390">
            <v>177</v>
          </cell>
          <cell r="C390" t="str">
            <v>Servizi socio assistenziali - Q. Porto                      </v>
          </cell>
          <cell r="D390">
            <v>5</v>
          </cell>
          <cell r="E390">
            <v>6911</v>
          </cell>
          <cell r="F390" t="str">
            <v>Q.RI ALTRI SERVIZI SOCIOASSISTENZIALI                       </v>
          </cell>
          <cell r="G390">
            <v>0</v>
          </cell>
          <cell r="H390">
            <v>10724.57</v>
          </cell>
          <cell r="I390">
            <v>124046.75</v>
          </cell>
          <cell r="J390">
            <v>118785.09</v>
          </cell>
          <cell r="K390">
            <v>118785.09</v>
          </cell>
        </row>
        <row r="391">
          <cell r="A391" t="str">
            <v>CDG6 </v>
          </cell>
          <cell r="B391">
            <v>187</v>
          </cell>
          <cell r="C391" t="str">
            <v>Servi. socio assistenziali - Q. Reno                        </v>
          </cell>
          <cell r="D391">
            <v>5</v>
          </cell>
          <cell r="E391">
            <v>6911</v>
          </cell>
          <cell r="F391" t="str">
            <v>Q.RI ALTRI SERVIZI SOCIOASSISTENZIALI                       </v>
          </cell>
          <cell r="G391">
            <v>0</v>
          </cell>
          <cell r="H391">
            <v>7639.26</v>
          </cell>
          <cell r="I391">
            <v>87797.67</v>
          </cell>
          <cell r="J391">
            <v>90379.96</v>
          </cell>
          <cell r="K391">
            <v>87797.67</v>
          </cell>
        </row>
        <row r="392">
          <cell r="A392" t="str">
            <v>CDG6 </v>
          </cell>
          <cell r="B392">
            <v>197</v>
          </cell>
          <cell r="C392" t="str">
            <v>Servi. socio assistenz. - Q. San Donato                     </v>
          </cell>
          <cell r="D392">
            <v>5</v>
          </cell>
          <cell r="E392">
            <v>6911</v>
          </cell>
          <cell r="F392" t="str">
            <v>Q.RI ALTRI SERVIZI SOCIOASSISTENZIALI                       </v>
          </cell>
          <cell r="G392">
            <v>0</v>
          </cell>
          <cell r="H392">
            <v>10494.83</v>
          </cell>
          <cell r="I392">
            <v>116202.8</v>
          </cell>
          <cell r="J392">
            <v>123949.66</v>
          </cell>
          <cell r="K392">
            <v>123949.66</v>
          </cell>
        </row>
        <row r="393">
          <cell r="A393" t="str">
            <v>CDG6 </v>
          </cell>
          <cell r="B393">
            <v>207</v>
          </cell>
          <cell r="C393" t="str">
            <v>Servi. socio assistenz. - Q. S.Stefano                      </v>
          </cell>
          <cell r="D393">
            <v>5</v>
          </cell>
          <cell r="E393">
            <v>6911</v>
          </cell>
          <cell r="F393" t="str">
            <v>Q.RI ALTRI SERVIZI SOCIOASSISTENZIALI                       </v>
          </cell>
          <cell r="G393">
            <v>0</v>
          </cell>
          <cell r="H393">
            <v>15482.85</v>
          </cell>
          <cell r="I393">
            <v>190056.14</v>
          </cell>
          <cell r="J393">
            <v>195737.16</v>
          </cell>
          <cell r="K393">
            <v>195737.16</v>
          </cell>
        </row>
        <row r="394">
          <cell r="A394" t="str">
            <v>CDG6 </v>
          </cell>
          <cell r="B394">
            <v>217</v>
          </cell>
          <cell r="C394" t="str">
            <v>Servi. socio assistenz. - Q. San Vitale                     </v>
          </cell>
          <cell r="D394">
            <v>5</v>
          </cell>
          <cell r="E394">
            <v>6911</v>
          </cell>
          <cell r="F394" t="str">
            <v>Q.RI ALTRI SERVIZI SOCIOASSISTENZIALI                       </v>
          </cell>
          <cell r="G394">
            <v>0</v>
          </cell>
          <cell r="H394">
            <v>8951.92</v>
          </cell>
          <cell r="I394">
            <v>99676.18</v>
          </cell>
          <cell r="J394">
            <v>108863.95</v>
          </cell>
          <cell r="K394">
            <v>108972.41</v>
          </cell>
        </row>
        <row r="395">
          <cell r="A395" t="str">
            <v>CDG6 </v>
          </cell>
          <cell r="B395">
            <v>227</v>
          </cell>
          <cell r="C395" t="str">
            <v>Servi. socio assistenz. - Q. Saragozza                      </v>
          </cell>
          <cell r="D395">
            <v>5</v>
          </cell>
          <cell r="E395">
            <v>6911</v>
          </cell>
          <cell r="F395" t="str">
            <v>Q.RI ALTRI SERVIZI SOCIOASSISTENZIALI                       </v>
          </cell>
          <cell r="G395">
            <v>0</v>
          </cell>
          <cell r="H395">
            <v>13228.59</v>
          </cell>
          <cell r="I395">
            <v>152354.79</v>
          </cell>
          <cell r="J395">
            <v>174562</v>
          </cell>
          <cell r="K395">
            <v>174562.43</v>
          </cell>
        </row>
        <row r="396">
          <cell r="A396" t="str">
            <v>CDG6 </v>
          </cell>
          <cell r="B396">
            <v>237</v>
          </cell>
          <cell r="C396" t="str">
            <v>Servi. socio assistenziali - Q. Savena                      </v>
          </cell>
          <cell r="D396">
            <v>5</v>
          </cell>
          <cell r="E396">
            <v>6911</v>
          </cell>
          <cell r="F396" t="str">
            <v>Q.RI ALTRI SERVIZI SOCIOASSISTENZIALI                       </v>
          </cell>
          <cell r="G396">
            <v>0</v>
          </cell>
          <cell r="H396">
            <v>17043.08</v>
          </cell>
          <cell r="I396">
            <v>255129.71</v>
          </cell>
          <cell r="J396">
            <v>257855</v>
          </cell>
          <cell r="K396">
            <v>229919.9</v>
          </cell>
        </row>
        <row r="397">
          <cell r="A397" t="str">
            <v>CDG6 </v>
          </cell>
          <cell r="B397">
            <v>157</v>
          </cell>
          <cell r="C397" t="str">
            <v>Servizi socio assistenziali - Q. Borgo                      </v>
          </cell>
          <cell r="D397">
            <v>5</v>
          </cell>
          <cell r="E397">
            <v>6974</v>
          </cell>
          <cell r="F397" t="str">
            <v>Q.RI AIUTO ALL'AUTONOMIA                                    </v>
          </cell>
          <cell r="G397">
            <v>0</v>
          </cell>
          <cell r="H397">
            <v>0</v>
          </cell>
          <cell r="I397">
            <v>7746.85</v>
          </cell>
          <cell r="J397">
            <v>7746.85</v>
          </cell>
          <cell r="K397">
            <v>7746.85</v>
          </cell>
        </row>
        <row r="398">
          <cell r="A398" t="str">
            <v>CDG6 </v>
          </cell>
          <cell r="B398">
            <v>167</v>
          </cell>
          <cell r="C398" t="str">
            <v>Servizi socio assistenziali - Q. Navile                     </v>
          </cell>
          <cell r="D398">
            <v>5</v>
          </cell>
          <cell r="E398">
            <v>6974</v>
          </cell>
          <cell r="F398" t="str">
            <v>Q.RI AIUTO ALL'AUTONOMIA                                    </v>
          </cell>
          <cell r="G398">
            <v>0</v>
          </cell>
          <cell r="H398">
            <v>1850.64</v>
          </cell>
          <cell r="I398">
            <v>20658.28</v>
          </cell>
          <cell r="J398">
            <v>20658.28</v>
          </cell>
          <cell r="K398">
            <v>20658.28</v>
          </cell>
        </row>
        <row r="399">
          <cell r="A399" t="str">
            <v>CDG6 </v>
          </cell>
          <cell r="B399">
            <v>177</v>
          </cell>
          <cell r="C399" t="str">
            <v>Servizi socio assistenziali - Q. Porto                      </v>
          </cell>
          <cell r="D399">
            <v>5</v>
          </cell>
          <cell r="E399">
            <v>6974</v>
          </cell>
          <cell r="F399" t="str">
            <v>Q.RI AIUTO ALL'AUTONOMIA                                    </v>
          </cell>
          <cell r="G399">
            <v>0</v>
          </cell>
          <cell r="H399">
            <v>731.65</v>
          </cell>
          <cell r="I399">
            <v>20658.28</v>
          </cell>
          <cell r="J399">
            <v>15493.71</v>
          </cell>
          <cell r="K399">
            <v>15493.71</v>
          </cell>
        </row>
        <row r="400">
          <cell r="A400" t="str">
            <v>CDG6 </v>
          </cell>
          <cell r="B400">
            <v>187</v>
          </cell>
          <cell r="C400" t="str">
            <v>Servi. socio assistenziali - Q. Reno                        </v>
          </cell>
          <cell r="D400">
            <v>5</v>
          </cell>
          <cell r="E400">
            <v>6974</v>
          </cell>
          <cell r="F400" t="str">
            <v>Q.RI AIUTO ALL'AUTONOMIA                                    </v>
          </cell>
          <cell r="G400">
            <v>0</v>
          </cell>
          <cell r="H400">
            <v>0</v>
          </cell>
          <cell r="I400">
            <v>10329.14</v>
          </cell>
          <cell r="J400">
            <v>7746.85</v>
          </cell>
          <cell r="K400">
            <v>7746.85</v>
          </cell>
        </row>
        <row r="401">
          <cell r="A401" t="str">
            <v>CDG6 </v>
          </cell>
          <cell r="B401">
            <v>197</v>
          </cell>
          <cell r="C401" t="str">
            <v>Servi. socio assistenz. - Q. San Donato                     </v>
          </cell>
          <cell r="D401">
            <v>5</v>
          </cell>
          <cell r="E401">
            <v>6974</v>
          </cell>
          <cell r="F401" t="str">
            <v>Q.RI AIUTO ALL'AUTONOMIA                                    </v>
          </cell>
          <cell r="G401">
            <v>0</v>
          </cell>
          <cell r="H401">
            <v>1444.92</v>
          </cell>
          <cell r="I401">
            <v>15493.71</v>
          </cell>
          <cell r="J401">
            <v>7746.85</v>
          </cell>
          <cell r="K401">
            <v>15493.71</v>
          </cell>
        </row>
        <row r="402">
          <cell r="A402" t="str">
            <v>CDG6 </v>
          </cell>
          <cell r="B402">
            <v>207</v>
          </cell>
          <cell r="C402" t="str">
            <v>Servi. socio assistenz. - Q. S.Stefano                      </v>
          </cell>
          <cell r="D402">
            <v>5</v>
          </cell>
          <cell r="E402">
            <v>6974</v>
          </cell>
          <cell r="F402" t="str">
            <v>Q.RI AIUTO ALL'AUTONOMIA                                    </v>
          </cell>
          <cell r="G402">
            <v>0</v>
          </cell>
          <cell r="H402">
            <v>834.94</v>
          </cell>
          <cell r="I402">
            <v>18592.45</v>
          </cell>
          <cell r="J402">
            <v>19108.91</v>
          </cell>
          <cell r="K402">
            <v>19108.91</v>
          </cell>
        </row>
        <row r="403">
          <cell r="A403" t="str">
            <v>CDG6 </v>
          </cell>
          <cell r="B403">
            <v>217</v>
          </cell>
          <cell r="C403" t="str">
            <v>Servi. socio assistenz. - Q. San Vitale                     </v>
          </cell>
          <cell r="D403">
            <v>5</v>
          </cell>
          <cell r="E403">
            <v>6974</v>
          </cell>
          <cell r="F403" t="str">
            <v>Q.RI AIUTO ALL'AUTONOMIA                                    </v>
          </cell>
          <cell r="G403">
            <v>0</v>
          </cell>
          <cell r="H403">
            <v>3012.67</v>
          </cell>
          <cell r="I403">
            <v>77468.53</v>
          </cell>
          <cell r="J403">
            <v>36733.51</v>
          </cell>
          <cell r="K403">
            <v>36668.44</v>
          </cell>
        </row>
        <row r="404">
          <cell r="A404" t="str">
            <v>CDG6 </v>
          </cell>
          <cell r="B404">
            <v>227</v>
          </cell>
          <cell r="C404" t="str">
            <v>Servi. socio assistenz. - Q. Saragozza                      </v>
          </cell>
          <cell r="D404">
            <v>5</v>
          </cell>
          <cell r="E404">
            <v>6974</v>
          </cell>
          <cell r="F404" t="str">
            <v>Q.RI AIUTO ALL'AUTONOMIA                                    </v>
          </cell>
          <cell r="G404">
            <v>0</v>
          </cell>
          <cell r="H404">
            <v>1291.14</v>
          </cell>
          <cell r="I404">
            <v>41316.55</v>
          </cell>
          <cell r="J404">
            <v>41317</v>
          </cell>
          <cell r="K404">
            <v>41316.55</v>
          </cell>
        </row>
        <row r="405">
          <cell r="A405" t="str">
            <v>CDG6 </v>
          </cell>
          <cell r="B405">
            <v>237</v>
          </cell>
          <cell r="C405" t="str">
            <v>Servi. socio assistenziali - Q. Savena                      </v>
          </cell>
          <cell r="D405">
            <v>5</v>
          </cell>
          <cell r="E405">
            <v>6974</v>
          </cell>
          <cell r="F405" t="str">
            <v>Q.RI AIUTO ALL'AUTONOMIA                                    </v>
          </cell>
          <cell r="G405">
            <v>0</v>
          </cell>
          <cell r="H405">
            <v>430.38</v>
          </cell>
          <cell r="I405">
            <v>20658.28</v>
          </cell>
          <cell r="J405">
            <v>20658</v>
          </cell>
          <cell r="K405">
            <v>20658.28</v>
          </cell>
        </row>
        <row r="406">
          <cell r="A406" t="str">
            <v>CDG6 </v>
          </cell>
          <cell r="B406">
            <v>167</v>
          </cell>
          <cell r="C406" t="str">
            <v>Servizi socio assistenziali - Q. Navile                     </v>
          </cell>
          <cell r="D406">
            <v>5</v>
          </cell>
          <cell r="E406">
            <v>6978</v>
          </cell>
          <cell r="F406" t="str">
            <v>Q.RI SERVIZI MINORI                                         </v>
          </cell>
          <cell r="G406">
            <v>0</v>
          </cell>
          <cell r="H406">
            <v>0</v>
          </cell>
          <cell r="I406">
            <v>42865.92</v>
          </cell>
          <cell r="J406">
            <v>0</v>
          </cell>
          <cell r="K406">
            <v>0</v>
          </cell>
        </row>
        <row r="407">
          <cell r="A407" t="str">
            <v>CDG6 </v>
          </cell>
          <cell r="B407">
            <v>197</v>
          </cell>
          <cell r="C407" t="str">
            <v>Servi. socio assistenz. - Q. San Donato                     </v>
          </cell>
          <cell r="D407">
            <v>5</v>
          </cell>
          <cell r="E407">
            <v>6978</v>
          </cell>
          <cell r="F407" t="str">
            <v>Q.RI SERVIZI MINORI                                         </v>
          </cell>
          <cell r="G407">
            <v>0</v>
          </cell>
          <cell r="H407">
            <v>0</v>
          </cell>
          <cell r="I407">
            <v>44931.75</v>
          </cell>
          <cell r="J407">
            <v>0</v>
          </cell>
          <cell r="K407">
            <v>0</v>
          </cell>
        </row>
        <row r="408">
          <cell r="A408" t="str">
            <v>CDG6 </v>
          </cell>
          <cell r="B408">
            <v>217</v>
          </cell>
          <cell r="C408" t="str">
            <v>Servi. socio assistenz. - Q. San Vitale                     </v>
          </cell>
          <cell r="D408">
            <v>5</v>
          </cell>
          <cell r="E408">
            <v>6978</v>
          </cell>
          <cell r="F408" t="str">
            <v>Q.RI SERVIZI MINORI                                         </v>
          </cell>
          <cell r="G408">
            <v>0</v>
          </cell>
          <cell r="H408">
            <v>0</v>
          </cell>
          <cell r="I408">
            <v>42142.88</v>
          </cell>
          <cell r="J408">
            <v>0</v>
          </cell>
          <cell r="K4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5"/>
  <sheetViews>
    <sheetView tabSelected="1" workbookViewId="0" topLeftCell="G1">
      <selection activeCell="O276" sqref="O276"/>
    </sheetView>
  </sheetViews>
  <sheetFormatPr defaultColWidth="9.140625" defaultRowHeight="12.75"/>
  <cols>
    <col min="1" max="1" width="4.8515625" style="3" customWidth="1"/>
    <col min="2" max="2" width="47.28125" style="3" customWidth="1"/>
    <col min="3" max="3" width="9.57421875" style="118" customWidth="1"/>
    <col min="4" max="4" width="8.57421875" style="4" customWidth="1"/>
    <col min="5" max="5" width="9.57421875" style="4" customWidth="1"/>
    <col min="6" max="6" width="8.57421875" style="4" customWidth="1"/>
    <col min="7" max="7" width="9.57421875" style="4" customWidth="1"/>
    <col min="8" max="8" width="8.57421875" style="4" customWidth="1"/>
    <col min="9" max="9" width="9.57421875" style="4" customWidth="1"/>
    <col min="10" max="10" width="8.57421875" style="4" customWidth="1"/>
    <col min="11" max="11" width="9.57421875" style="1" bestFit="1" customWidth="1"/>
    <col min="12" max="12" width="8.57421875" style="0" bestFit="1" customWidth="1"/>
    <col min="13" max="13" width="9.57421875" style="4" customWidth="1"/>
    <col min="14" max="14" width="8.57421875" style="1" customWidth="1"/>
    <col min="15" max="15" width="9.57421875" style="4" customWidth="1"/>
    <col min="16" max="16" width="8.57421875" style="1" customWidth="1"/>
    <col min="17" max="17" width="9.57421875" style="4" customWidth="1"/>
    <col min="18" max="18" width="8.57421875" style="1" customWidth="1"/>
    <col min="19" max="19" width="9.57421875" style="4" customWidth="1"/>
    <col min="20" max="20" width="8.57421875" style="1" customWidth="1"/>
    <col min="21" max="21" width="9.57421875" style="4" customWidth="1"/>
    <col min="22" max="22" width="8.57421875" style="1" customWidth="1"/>
  </cols>
  <sheetData>
    <row r="1" spans="1:22" s="2" customFormat="1" ht="24" customHeight="1">
      <c r="A1" s="69" t="s">
        <v>140</v>
      </c>
      <c r="B1" s="3"/>
      <c r="C1" s="118"/>
      <c r="D1" s="4"/>
      <c r="E1" s="4" t="s">
        <v>6</v>
      </c>
      <c r="F1" s="4"/>
      <c r="G1" s="4"/>
      <c r="H1" s="4"/>
      <c r="I1" s="4"/>
      <c r="J1" s="4"/>
      <c r="K1" s="1"/>
      <c r="L1"/>
      <c r="M1" s="4"/>
      <c r="N1" s="1"/>
      <c r="O1" s="4"/>
      <c r="P1" s="1"/>
      <c r="Q1" s="4"/>
      <c r="R1" s="1"/>
      <c r="S1" s="4"/>
      <c r="T1" s="1"/>
      <c r="U1" s="4"/>
      <c r="V1" s="1"/>
    </row>
    <row r="2" spans="1:22" s="2" customFormat="1" ht="5.25" customHeight="1">
      <c r="A2" s="5"/>
      <c r="B2" s="121"/>
      <c r="C2" s="71"/>
      <c r="D2" s="71"/>
      <c r="E2" s="71"/>
      <c r="F2" s="71"/>
      <c r="G2" s="71"/>
      <c r="H2" s="71"/>
      <c r="I2" s="71"/>
      <c r="J2" s="70"/>
      <c r="K2" s="11"/>
      <c r="L2" s="91"/>
      <c r="M2" s="91"/>
      <c r="N2" s="1"/>
      <c r="O2" s="91"/>
      <c r="P2" s="1"/>
      <c r="Q2" s="91"/>
      <c r="R2" s="1"/>
      <c r="S2" s="91"/>
      <c r="T2" s="1"/>
      <c r="U2" s="91"/>
      <c r="V2" s="1"/>
    </row>
    <row r="3" spans="1:22" s="2" customFormat="1" ht="12.75">
      <c r="A3" s="72" t="s">
        <v>11</v>
      </c>
      <c r="B3" s="121"/>
      <c r="C3" s="120"/>
      <c r="D3" s="4"/>
      <c r="E3" s="4"/>
      <c r="F3" s="4"/>
      <c r="G3" s="4"/>
      <c r="H3" s="4"/>
      <c r="I3" s="4"/>
      <c r="J3" s="4"/>
      <c r="K3" s="1"/>
      <c r="L3" s="91"/>
      <c r="M3" s="91"/>
      <c r="N3" s="1"/>
      <c r="O3" s="91"/>
      <c r="P3" s="1"/>
      <c r="Q3" s="91"/>
      <c r="R3" s="1"/>
      <c r="S3" s="91"/>
      <c r="T3" s="1"/>
      <c r="U3" s="91"/>
      <c r="V3" s="1"/>
    </row>
    <row r="4" spans="1:22" s="2" customFormat="1" ht="5.25" customHeight="1">
      <c r="A4" s="7"/>
      <c r="B4" s="122"/>
      <c r="C4" s="11"/>
      <c r="D4" s="95"/>
      <c r="E4" s="95"/>
      <c r="F4" s="95"/>
      <c r="G4" s="95"/>
      <c r="H4" s="95"/>
      <c r="I4" s="4"/>
      <c r="J4" s="4"/>
      <c r="K4" s="1"/>
      <c r="L4" s="19"/>
      <c r="M4" s="95"/>
      <c r="N4" s="1"/>
      <c r="O4" s="4"/>
      <c r="P4" s="1"/>
      <c r="Q4" s="4"/>
      <c r="R4" s="1"/>
      <c r="S4" s="95"/>
      <c r="T4" s="1"/>
      <c r="U4" s="95"/>
      <c r="V4" s="1"/>
    </row>
    <row r="5" spans="1:22" s="2" customFormat="1" ht="12.75">
      <c r="A5" s="8"/>
      <c r="B5" s="12"/>
      <c r="C5" s="40">
        <v>1998</v>
      </c>
      <c r="D5" s="41"/>
      <c r="E5" s="40">
        <v>1999</v>
      </c>
      <c r="F5" s="41"/>
      <c r="G5" s="40">
        <v>2000</v>
      </c>
      <c r="H5" s="41"/>
      <c r="I5" s="40">
        <v>2001</v>
      </c>
      <c r="J5" s="44"/>
      <c r="K5" s="40">
        <v>2002</v>
      </c>
      <c r="L5" s="44"/>
      <c r="M5" s="40">
        <v>2003</v>
      </c>
      <c r="N5" s="44"/>
      <c r="O5" s="40">
        <v>2004</v>
      </c>
      <c r="P5" s="44"/>
      <c r="Q5" s="40">
        <v>2005</v>
      </c>
      <c r="R5" s="44"/>
      <c r="S5" s="40">
        <v>2006</v>
      </c>
      <c r="T5" s="44"/>
      <c r="U5" s="40">
        <v>2007</v>
      </c>
      <c r="V5" s="44"/>
    </row>
    <row r="6" spans="1:22" s="2" customFormat="1" ht="15.75">
      <c r="A6" s="8"/>
      <c r="B6" s="98" t="s">
        <v>6</v>
      </c>
      <c r="C6" s="42" t="s">
        <v>10</v>
      </c>
      <c r="D6" s="43"/>
      <c r="E6" s="42" t="s">
        <v>10</v>
      </c>
      <c r="F6" s="43"/>
      <c r="G6" s="42" t="s">
        <v>10</v>
      </c>
      <c r="H6" s="43"/>
      <c r="I6" s="42" t="s">
        <v>10</v>
      </c>
      <c r="J6" s="43"/>
      <c r="K6" s="42" t="s">
        <v>10</v>
      </c>
      <c r="L6" s="43"/>
      <c r="M6" s="42" t="s">
        <v>10</v>
      </c>
      <c r="N6" s="43"/>
      <c r="O6" s="42" t="s">
        <v>10</v>
      </c>
      <c r="P6" s="43"/>
      <c r="Q6" s="42" t="s">
        <v>10</v>
      </c>
      <c r="R6" s="43"/>
      <c r="S6" s="109" t="s">
        <v>10</v>
      </c>
      <c r="T6" s="110"/>
      <c r="U6" s="109" t="s">
        <v>10</v>
      </c>
      <c r="V6" s="110"/>
    </row>
    <row r="7" spans="1:22" s="2" customFormat="1" ht="12.75">
      <c r="A7" s="100"/>
      <c r="B7" s="100"/>
      <c r="C7" s="48" t="s">
        <v>9</v>
      </c>
      <c r="D7" s="101" t="s">
        <v>96</v>
      </c>
      <c r="E7" s="48" t="s">
        <v>9</v>
      </c>
      <c r="F7" s="101" t="s">
        <v>96</v>
      </c>
      <c r="G7" s="48" t="s">
        <v>9</v>
      </c>
      <c r="H7" s="101" t="s">
        <v>96</v>
      </c>
      <c r="I7" s="48" t="s">
        <v>9</v>
      </c>
      <c r="J7" s="101" t="s">
        <v>96</v>
      </c>
      <c r="K7" s="48" t="s">
        <v>9</v>
      </c>
      <c r="L7" s="101" t="s">
        <v>96</v>
      </c>
      <c r="M7" s="48" t="s">
        <v>9</v>
      </c>
      <c r="N7" s="101" t="s">
        <v>96</v>
      </c>
      <c r="O7" s="48" t="s">
        <v>9</v>
      </c>
      <c r="P7" s="101" t="s">
        <v>96</v>
      </c>
      <c r="Q7" s="48" t="s">
        <v>9</v>
      </c>
      <c r="R7" s="101" t="s">
        <v>96</v>
      </c>
      <c r="S7" s="48" t="s">
        <v>9</v>
      </c>
      <c r="T7" s="101" t="s">
        <v>96</v>
      </c>
      <c r="U7" s="48" t="s">
        <v>9</v>
      </c>
      <c r="V7" s="101" t="s">
        <v>96</v>
      </c>
    </row>
    <row r="8" spans="1:22" s="2" customFormat="1" ht="12.75">
      <c r="A8" s="79" t="s">
        <v>0</v>
      </c>
      <c r="B8" s="96"/>
      <c r="C8" s="106">
        <f>+C9</f>
        <v>0</v>
      </c>
      <c r="D8" s="106">
        <f aca="true" t="shared" si="0" ref="D8:V8">+D9</f>
        <v>0</v>
      </c>
      <c r="E8" s="106">
        <f t="shared" si="0"/>
        <v>0</v>
      </c>
      <c r="F8" s="106">
        <f t="shared" si="0"/>
        <v>0</v>
      </c>
      <c r="G8" s="106">
        <f t="shared" si="0"/>
        <v>0</v>
      </c>
      <c r="H8" s="106">
        <f t="shared" si="0"/>
        <v>0</v>
      </c>
      <c r="I8" s="106">
        <f t="shared" si="0"/>
        <v>552</v>
      </c>
      <c r="J8" s="106">
        <f t="shared" si="0"/>
        <v>0</v>
      </c>
      <c r="K8" s="106">
        <f t="shared" si="0"/>
        <v>0</v>
      </c>
      <c r="L8" s="106">
        <f t="shared" si="0"/>
        <v>0</v>
      </c>
      <c r="M8" s="106">
        <f t="shared" si="0"/>
        <v>0</v>
      </c>
      <c r="N8" s="106">
        <f t="shared" si="0"/>
        <v>0</v>
      </c>
      <c r="O8" s="106">
        <f t="shared" si="0"/>
        <v>0</v>
      </c>
      <c r="P8" s="106">
        <f t="shared" si="0"/>
        <v>0</v>
      </c>
      <c r="Q8" s="106">
        <f t="shared" si="0"/>
        <v>0</v>
      </c>
      <c r="R8" s="106">
        <f t="shared" si="0"/>
        <v>0</v>
      </c>
      <c r="S8" s="106">
        <f t="shared" si="0"/>
        <v>0</v>
      </c>
      <c r="T8" s="106">
        <f t="shared" si="0"/>
        <v>0</v>
      </c>
      <c r="U8" s="106">
        <f t="shared" si="0"/>
        <v>0</v>
      </c>
      <c r="V8" s="106">
        <f t="shared" si="0"/>
        <v>0</v>
      </c>
    </row>
    <row r="9" spans="1:22" s="2" customFormat="1" ht="12.75">
      <c r="A9" s="77" t="s">
        <v>0</v>
      </c>
      <c r="B9" s="78"/>
      <c r="C9" s="33">
        <f aca="true" t="shared" si="1" ref="C9:V9">+C10</f>
        <v>0</v>
      </c>
      <c r="D9" s="33">
        <f t="shared" si="1"/>
        <v>0</v>
      </c>
      <c r="E9" s="33">
        <f t="shared" si="1"/>
        <v>0</v>
      </c>
      <c r="F9" s="33">
        <f t="shared" si="1"/>
        <v>0</v>
      </c>
      <c r="G9" s="33">
        <f t="shared" si="1"/>
        <v>0</v>
      </c>
      <c r="H9" s="33">
        <f t="shared" si="1"/>
        <v>0</v>
      </c>
      <c r="I9" s="33">
        <f t="shared" si="1"/>
        <v>552</v>
      </c>
      <c r="J9" s="33">
        <f t="shared" si="1"/>
        <v>0</v>
      </c>
      <c r="K9" s="33">
        <f t="shared" si="1"/>
        <v>0</v>
      </c>
      <c r="L9" s="33">
        <f t="shared" si="1"/>
        <v>0</v>
      </c>
      <c r="M9" s="33">
        <f t="shared" si="1"/>
        <v>0</v>
      </c>
      <c r="N9" s="33">
        <f t="shared" si="1"/>
        <v>0</v>
      </c>
      <c r="O9" s="33">
        <f t="shared" si="1"/>
        <v>0</v>
      </c>
      <c r="P9" s="33">
        <f t="shared" si="1"/>
        <v>0</v>
      </c>
      <c r="Q9" s="33">
        <f t="shared" si="1"/>
        <v>0</v>
      </c>
      <c r="R9" s="33">
        <f t="shared" si="1"/>
        <v>0</v>
      </c>
      <c r="S9" s="33">
        <f t="shared" si="1"/>
        <v>0</v>
      </c>
      <c r="T9" s="33">
        <f t="shared" si="1"/>
        <v>0</v>
      </c>
      <c r="U9" s="33">
        <f t="shared" si="1"/>
        <v>0</v>
      </c>
      <c r="V9" s="33">
        <f t="shared" si="1"/>
        <v>0</v>
      </c>
    </row>
    <row r="10" spans="1:22" s="2" customFormat="1" ht="12.75">
      <c r="A10" s="17"/>
      <c r="B10" s="81" t="s">
        <v>14</v>
      </c>
      <c r="C10" s="23"/>
      <c r="D10" s="21"/>
      <c r="E10" s="23"/>
      <c r="F10" s="21"/>
      <c r="G10" s="23"/>
      <c r="H10" s="21"/>
      <c r="I10" s="23">
        <v>552</v>
      </c>
      <c r="J10" s="21"/>
      <c r="K10" s="23"/>
      <c r="L10" s="21"/>
      <c r="M10" s="23"/>
      <c r="N10" s="21"/>
      <c r="O10" s="23"/>
      <c r="P10" s="21"/>
      <c r="Q10" s="23"/>
      <c r="R10" s="21"/>
      <c r="S10" s="23"/>
      <c r="T10" s="21"/>
      <c r="U10" s="23"/>
      <c r="V10" s="21"/>
    </row>
    <row r="11" spans="1:22" s="2" customFormat="1" ht="12.75">
      <c r="A11" s="79" t="s">
        <v>123</v>
      </c>
      <c r="B11" s="96"/>
      <c r="C11" s="106">
        <f aca="true" t="shared" si="2" ref="C11:T11">+C12+C20+C24</f>
        <v>3580</v>
      </c>
      <c r="D11" s="106">
        <f t="shared" si="2"/>
        <v>1309</v>
      </c>
      <c r="E11" s="106">
        <f t="shared" si="2"/>
        <v>6544</v>
      </c>
      <c r="F11" s="106">
        <f t="shared" si="2"/>
        <v>429</v>
      </c>
      <c r="G11" s="106">
        <f t="shared" si="2"/>
        <v>7442</v>
      </c>
      <c r="H11" s="106">
        <f t="shared" si="2"/>
        <v>350</v>
      </c>
      <c r="I11" s="106">
        <f t="shared" si="2"/>
        <v>21400</v>
      </c>
      <c r="J11" s="106">
        <f t="shared" si="2"/>
        <v>150</v>
      </c>
      <c r="K11" s="106">
        <f t="shared" si="2"/>
        <v>16936</v>
      </c>
      <c r="L11" s="106">
        <f t="shared" si="2"/>
        <v>1582</v>
      </c>
      <c r="M11" s="106">
        <f t="shared" si="2"/>
        <v>12435</v>
      </c>
      <c r="N11" s="106">
        <f t="shared" si="2"/>
        <v>1486</v>
      </c>
      <c r="O11" s="106">
        <f t="shared" si="2"/>
        <v>10714</v>
      </c>
      <c r="P11" s="106">
        <f t="shared" si="2"/>
        <v>1976</v>
      </c>
      <c r="Q11" s="106">
        <f t="shared" si="2"/>
        <v>13841</v>
      </c>
      <c r="R11" s="106">
        <f t="shared" si="2"/>
        <v>4022</v>
      </c>
      <c r="S11" s="106">
        <f t="shared" si="2"/>
        <v>11608</v>
      </c>
      <c r="T11" s="106">
        <f t="shared" si="2"/>
        <v>525</v>
      </c>
      <c r="U11" s="106">
        <f>+U12+U20+U24</f>
        <v>13450</v>
      </c>
      <c r="V11" s="106">
        <f>+V12+V20+V24</f>
        <v>842</v>
      </c>
    </row>
    <row r="12" spans="1:22" s="2" customFormat="1" ht="12.75">
      <c r="A12" s="77" t="s">
        <v>124</v>
      </c>
      <c r="B12" s="78"/>
      <c r="C12" s="33">
        <f aca="true" t="shared" si="3" ref="C12:T12">SUM(C13:C19)</f>
        <v>1382</v>
      </c>
      <c r="D12" s="33">
        <f t="shared" si="3"/>
        <v>1309</v>
      </c>
      <c r="E12" s="33">
        <f t="shared" si="3"/>
        <v>494</v>
      </c>
      <c r="F12" s="33">
        <f t="shared" si="3"/>
        <v>429</v>
      </c>
      <c r="G12" s="33">
        <f t="shared" si="3"/>
        <v>1383</v>
      </c>
      <c r="H12" s="33">
        <f t="shared" si="3"/>
        <v>350</v>
      </c>
      <c r="I12" s="33">
        <f t="shared" si="3"/>
        <v>1319</v>
      </c>
      <c r="J12" s="33">
        <f t="shared" si="3"/>
        <v>150</v>
      </c>
      <c r="K12" s="33">
        <f t="shared" si="3"/>
        <v>1648</v>
      </c>
      <c r="L12" s="33">
        <f t="shared" si="3"/>
        <v>1582</v>
      </c>
      <c r="M12" s="33">
        <f t="shared" si="3"/>
        <v>1524</v>
      </c>
      <c r="N12" s="33">
        <f t="shared" si="3"/>
        <v>1486</v>
      </c>
      <c r="O12" s="33">
        <f t="shared" si="3"/>
        <v>1989</v>
      </c>
      <c r="P12" s="33">
        <f t="shared" si="3"/>
        <v>1976</v>
      </c>
      <c r="Q12" s="33">
        <f t="shared" si="3"/>
        <v>4028</v>
      </c>
      <c r="R12" s="33">
        <f t="shared" si="3"/>
        <v>4022</v>
      </c>
      <c r="S12" s="33">
        <f t="shared" si="3"/>
        <v>503</v>
      </c>
      <c r="T12" s="33">
        <f t="shared" si="3"/>
        <v>495</v>
      </c>
      <c r="U12" s="33">
        <f>SUM(U13:U19)</f>
        <v>855</v>
      </c>
      <c r="V12" s="33">
        <f>SUM(V13:V19)</f>
        <v>842</v>
      </c>
    </row>
    <row r="13" spans="1:22" s="2" customFormat="1" ht="12.75">
      <c r="A13" s="83"/>
      <c r="B13" s="35" t="s">
        <v>66</v>
      </c>
      <c r="C13" s="22">
        <v>1309</v>
      </c>
      <c r="D13" s="51">
        <v>1309</v>
      </c>
      <c r="E13" s="22">
        <v>198</v>
      </c>
      <c r="F13" s="51">
        <v>198</v>
      </c>
      <c r="G13" s="22"/>
      <c r="H13" s="51"/>
      <c r="I13" s="37"/>
      <c r="J13" s="51"/>
      <c r="K13" s="37"/>
      <c r="L13" s="51"/>
      <c r="M13" s="37"/>
      <c r="N13" s="51"/>
      <c r="O13" s="37"/>
      <c r="P13" s="68"/>
      <c r="Q13" s="37"/>
      <c r="R13" s="68"/>
      <c r="S13" s="37">
        <v>32</v>
      </c>
      <c r="T13" s="68">
        <v>32</v>
      </c>
      <c r="U13" s="37"/>
      <c r="V13" s="68"/>
    </row>
    <row r="14" spans="1:22" s="2" customFormat="1" ht="12.75">
      <c r="A14" s="53"/>
      <c r="B14" s="35" t="s">
        <v>16</v>
      </c>
      <c r="C14" s="37"/>
      <c r="D14" s="51"/>
      <c r="E14" s="37"/>
      <c r="F14" s="51"/>
      <c r="G14" s="37">
        <v>1033</v>
      </c>
      <c r="H14" s="51"/>
      <c r="I14" s="37">
        <v>1085</v>
      </c>
      <c r="J14" s="51"/>
      <c r="K14" s="37"/>
      <c r="L14" s="51"/>
      <c r="M14" s="37"/>
      <c r="N14" s="51"/>
      <c r="O14" s="37"/>
      <c r="P14" s="51"/>
      <c r="Q14" s="36">
        <v>31</v>
      </c>
      <c r="R14" s="37">
        <v>31</v>
      </c>
      <c r="S14" s="36">
        <v>20</v>
      </c>
      <c r="T14" s="37">
        <v>20</v>
      </c>
      <c r="U14" s="36">
        <v>22</v>
      </c>
      <c r="V14" s="37">
        <v>22</v>
      </c>
    </row>
    <row r="15" spans="1:22" s="54" customFormat="1" ht="12.75">
      <c r="A15" s="83"/>
      <c r="B15" s="34" t="s">
        <v>97</v>
      </c>
      <c r="C15" s="22"/>
      <c r="D15" s="51"/>
      <c r="E15" s="22">
        <v>100</v>
      </c>
      <c r="F15" s="51">
        <v>100</v>
      </c>
      <c r="G15" s="22">
        <v>130</v>
      </c>
      <c r="H15" s="51">
        <v>130</v>
      </c>
      <c r="I15" s="37"/>
      <c r="J15" s="51"/>
      <c r="K15" s="37">
        <f>1287+48</f>
        <v>1335</v>
      </c>
      <c r="L15" s="51">
        <f>1287+48</f>
        <v>1335</v>
      </c>
      <c r="M15" s="37">
        <f>1142+6</f>
        <v>1148</v>
      </c>
      <c r="N15" s="51">
        <f>1142+6</f>
        <v>1148</v>
      </c>
      <c r="O15" s="37">
        <v>1819</v>
      </c>
      <c r="P15" s="68">
        <v>1819</v>
      </c>
      <c r="Q15" s="37">
        <v>3671</v>
      </c>
      <c r="R15" s="68">
        <v>3671</v>
      </c>
      <c r="S15" s="37">
        <f>35+24</f>
        <v>59</v>
      </c>
      <c r="T15" s="68">
        <f>35+24</f>
        <v>59</v>
      </c>
      <c r="U15" s="37">
        <v>362</v>
      </c>
      <c r="V15" s="68">
        <v>362</v>
      </c>
    </row>
    <row r="16" spans="1:22" s="2" customFormat="1" ht="12.75">
      <c r="A16" s="83"/>
      <c r="B16" s="34" t="s">
        <v>67</v>
      </c>
      <c r="C16" s="37"/>
      <c r="D16" s="51"/>
      <c r="E16" s="37"/>
      <c r="F16" s="51"/>
      <c r="G16" s="37"/>
      <c r="H16" s="51"/>
      <c r="I16" s="37"/>
      <c r="J16" s="51"/>
      <c r="K16" s="36">
        <v>12</v>
      </c>
      <c r="L16" s="37">
        <v>12</v>
      </c>
      <c r="M16" s="37"/>
      <c r="N16" s="51"/>
      <c r="O16" s="36">
        <v>10</v>
      </c>
      <c r="P16" s="37">
        <v>10</v>
      </c>
      <c r="Q16" s="37">
        <v>100</v>
      </c>
      <c r="R16" s="68">
        <v>100</v>
      </c>
      <c r="S16" s="37">
        <f>15+235</f>
        <v>250</v>
      </c>
      <c r="T16" s="68">
        <f>15+235</f>
        <v>250</v>
      </c>
      <c r="U16" s="37">
        <v>170</v>
      </c>
      <c r="V16" s="68">
        <v>170</v>
      </c>
    </row>
    <row r="17" spans="1:22" s="54" customFormat="1" ht="12.75">
      <c r="A17" s="53"/>
      <c r="B17" s="35" t="s">
        <v>18</v>
      </c>
      <c r="C17" s="22">
        <v>73</v>
      </c>
      <c r="D17" s="51"/>
      <c r="E17" s="22">
        <v>65</v>
      </c>
      <c r="F17" s="51"/>
      <c r="G17" s="22"/>
      <c r="H17" s="51"/>
      <c r="I17" s="37"/>
      <c r="J17" s="51"/>
      <c r="K17" s="37"/>
      <c r="L17" s="51"/>
      <c r="M17" s="37"/>
      <c r="N17" s="51"/>
      <c r="O17" s="37"/>
      <c r="P17" s="51"/>
      <c r="Q17" s="37"/>
      <c r="R17" s="51"/>
      <c r="S17" s="37"/>
      <c r="T17" s="51"/>
      <c r="U17" s="37"/>
      <c r="V17" s="51"/>
    </row>
    <row r="18" spans="1:22" s="54" customFormat="1" ht="12.75">
      <c r="A18" s="13"/>
      <c r="B18" s="10" t="s">
        <v>19</v>
      </c>
      <c r="C18" s="22"/>
      <c r="D18" s="20"/>
      <c r="E18" s="22"/>
      <c r="F18" s="20"/>
      <c r="G18" s="22"/>
      <c r="H18" s="20"/>
      <c r="I18" s="22">
        <v>84</v>
      </c>
      <c r="J18" s="20"/>
      <c r="K18" s="22">
        <v>66</v>
      </c>
      <c r="L18" s="20"/>
      <c r="M18" s="22">
        <v>38</v>
      </c>
      <c r="N18" s="20"/>
      <c r="O18" s="22">
        <v>13</v>
      </c>
      <c r="P18" s="20"/>
      <c r="Q18" s="22">
        <v>6</v>
      </c>
      <c r="R18" s="20"/>
      <c r="S18" s="22">
        <v>8</v>
      </c>
      <c r="T18" s="20"/>
      <c r="U18" s="22">
        <v>13</v>
      </c>
      <c r="V18" s="20"/>
    </row>
    <row r="19" spans="1:22" s="54" customFormat="1" ht="12.75">
      <c r="A19" s="13"/>
      <c r="B19" s="10" t="s">
        <v>111</v>
      </c>
      <c r="C19" s="22"/>
      <c r="D19" s="20"/>
      <c r="E19" s="22">
        <v>131</v>
      </c>
      <c r="F19" s="20">
        <v>131</v>
      </c>
      <c r="G19" s="22">
        <v>220</v>
      </c>
      <c r="H19" s="20">
        <v>220</v>
      </c>
      <c r="I19" s="22">
        <v>150</v>
      </c>
      <c r="J19" s="20">
        <v>150</v>
      </c>
      <c r="K19" s="22">
        <v>235</v>
      </c>
      <c r="L19" s="20">
        <v>235</v>
      </c>
      <c r="M19" s="22">
        <v>338</v>
      </c>
      <c r="N19" s="20">
        <v>338</v>
      </c>
      <c r="O19" s="22">
        <v>147</v>
      </c>
      <c r="P19" s="20">
        <v>147</v>
      </c>
      <c r="Q19" s="22">
        <v>220</v>
      </c>
      <c r="R19" s="20">
        <v>220</v>
      </c>
      <c r="S19" s="22">
        <v>134</v>
      </c>
      <c r="T19" s="20">
        <v>134</v>
      </c>
      <c r="U19" s="22">
        <v>288</v>
      </c>
      <c r="V19" s="20">
        <v>288</v>
      </c>
    </row>
    <row r="20" spans="1:22" s="2" customFormat="1" ht="12.75">
      <c r="A20" s="27" t="s">
        <v>87</v>
      </c>
      <c r="B20" s="28"/>
      <c r="C20" s="29">
        <f>SUM(C21:C23)</f>
        <v>16</v>
      </c>
      <c r="D20" s="29">
        <f aca="true" t="shared" si="4" ref="D20:P20">SUM(D21:D23)</f>
        <v>0</v>
      </c>
      <c r="E20" s="29">
        <f t="shared" si="4"/>
        <v>38</v>
      </c>
      <c r="F20" s="29">
        <f t="shared" si="4"/>
        <v>0</v>
      </c>
      <c r="G20" s="29">
        <f t="shared" si="4"/>
        <v>33</v>
      </c>
      <c r="H20" s="29">
        <f t="shared" si="4"/>
        <v>0</v>
      </c>
      <c r="I20" s="29">
        <f t="shared" si="4"/>
        <v>60</v>
      </c>
      <c r="J20" s="29">
        <f t="shared" si="4"/>
        <v>0</v>
      </c>
      <c r="K20" s="29">
        <f t="shared" si="4"/>
        <v>63</v>
      </c>
      <c r="L20" s="29">
        <f t="shared" si="4"/>
        <v>0</v>
      </c>
      <c r="M20" s="29">
        <f t="shared" si="4"/>
        <v>36</v>
      </c>
      <c r="N20" s="29">
        <f t="shared" si="4"/>
        <v>0</v>
      </c>
      <c r="O20" s="29">
        <f t="shared" si="4"/>
        <v>36</v>
      </c>
      <c r="P20" s="29">
        <f t="shared" si="4"/>
        <v>0</v>
      </c>
      <c r="Q20" s="29">
        <f>SUM(Q21:Q23)</f>
        <v>37</v>
      </c>
      <c r="R20" s="29">
        <f>SUM(R21:R23)</f>
        <v>0</v>
      </c>
      <c r="S20" s="29">
        <f>SUM(S21:S23)</f>
        <v>68</v>
      </c>
      <c r="T20" s="29">
        <f>SUM(T21:T23)</f>
        <v>30</v>
      </c>
      <c r="U20" s="29">
        <f>SUM(U21:U23)</f>
        <v>36</v>
      </c>
      <c r="V20" s="29">
        <f>SUM(V21:V23)</f>
        <v>0</v>
      </c>
    </row>
    <row r="21" spans="1:22" s="39" customFormat="1" ht="12.75">
      <c r="A21" s="83"/>
      <c r="B21" s="34" t="s">
        <v>21</v>
      </c>
      <c r="C21" s="22">
        <v>1</v>
      </c>
      <c r="D21" s="51"/>
      <c r="E21" s="22"/>
      <c r="F21" s="51"/>
      <c r="G21" s="22"/>
      <c r="H21" s="51"/>
      <c r="I21" s="37"/>
      <c r="J21" s="51"/>
      <c r="K21" s="37"/>
      <c r="L21" s="51"/>
      <c r="M21" s="37"/>
      <c r="N21" s="51"/>
      <c r="O21" s="37"/>
      <c r="P21" s="51"/>
      <c r="Q21" s="37"/>
      <c r="R21" s="51"/>
      <c r="S21" s="37"/>
      <c r="T21" s="51"/>
      <c r="U21" s="37"/>
      <c r="V21" s="51"/>
    </row>
    <row r="22" spans="1:22" s="2" customFormat="1" ht="12.75">
      <c r="A22" s="83"/>
      <c r="B22" s="6" t="s">
        <v>67</v>
      </c>
      <c r="C22" s="22"/>
      <c r="D22" s="51"/>
      <c r="E22" s="22"/>
      <c r="F22" s="51"/>
      <c r="G22" s="22"/>
      <c r="H22" s="51"/>
      <c r="I22" s="37"/>
      <c r="J22" s="51"/>
      <c r="K22" s="37"/>
      <c r="L22" s="51"/>
      <c r="M22" s="37"/>
      <c r="N22" s="51"/>
      <c r="O22" s="37"/>
      <c r="P22" s="51"/>
      <c r="Q22" s="37"/>
      <c r="R22" s="51"/>
      <c r="S22" s="37">
        <v>30</v>
      </c>
      <c r="T22" s="51">
        <v>30</v>
      </c>
      <c r="U22" s="37"/>
      <c r="V22" s="51"/>
    </row>
    <row r="23" spans="1:22" s="2" customFormat="1" ht="12.75">
      <c r="A23" s="13"/>
      <c r="B23" s="6" t="s">
        <v>20</v>
      </c>
      <c r="C23" s="22">
        <v>15</v>
      </c>
      <c r="D23" s="20"/>
      <c r="E23" s="22">
        <v>38</v>
      </c>
      <c r="F23" s="20"/>
      <c r="G23" s="22">
        <v>33</v>
      </c>
      <c r="H23" s="20"/>
      <c r="I23" s="22">
        <v>60</v>
      </c>
      <c r="J23" s="20"/>
      <c r="K23" s="22">
        <v>63</v>
      </c>
      <c r="L23" s="20"/>
      <c r="M23" s="22">
        <v>36</v>
      </c>
      <c r="N23" s="20"/>
      <c r="O23" s="22">
        <v>36</v>
      </c>
      <c r="P23" s="20"/>
      <c r="Q23" s="22">
        <v>37</v>
      </c>
      <c r="R23" s="20"/>
      <c r="S23" s="22">
        <v>38</v>
      </c>
      <c r="T23" s="20"/>
      <c r="U23" s="22">
        <v>36</v>
      </c>
      <c r="V23" s="20"/>
    </row>
    <row r="24" spans="1:22" s="54" customFormat="1" ht="12.75">
      <c r="A24" s="27" t="s">
        <v>98</v>
      </c>
      <c r="B24" s="28"/>
      <c r="C24" s="29">
        <f aca="true" t="shared" si="5" ref="C24:V24">+C25</f>
        <v>2182</v>
      </c>
      <c r="D24" s="29">
        <f t="shared" si="5"/>
        <v>0</v>
      </c>
      <c r="E24" s="29">
        <f t="shared" si="5"/>
        <v>6012</v>
      </c>
      <c r="F24" s="29">
        <f t="shared" si="5"/>
        <v>0</v>
      </c>
      <c r="G24" s="29">
        <f t="shared" si="5"/>
        <v>6026</v>
      </c>
      <c r="H24" s="29">
        <f t="shared" si="5"/>
        <v>0</v>
      </c>
      <c r="I24" s="29">
        <f t="shared" si="5"/>
        <v>20021</v>
      </c>
      <c r="J24" s="29">
        <f t="shared" si="5"/>
        <v>0</v>
      </c>
      <c r="K24" s="29">
        <f t="shared" si="5"/>
        <v>15225</v>
      </c>
      <c r="L24" s="29">
        <f t="shared" si="5"/>
        <v>0</v>
      </c>
      <c r="M24" s="29">
        <f t="shared" si="5"/>
        <v>10875</v>
      </c>
      <c r="N24" s="29">
        <f t="shared" si="5"/>
        <v>0</v>
      </c>
      <c r="O24" s="29">
        <f t="shared" si="5"/>
        <v>8689</v>
      </c>
      <c r="P24" s="29">
        <f t="shared" si="5"/>
        <v>0</v>
      </c>
      <c r="Q24" s="29">
        <f t="shared" si="5"/>
        <v>9776</v>
      </c>
      <c r="R24" s="29">
        <f t="shared" si="5"/>
        <v>0</v>
      </c>
      <c r="S24" s="29">
        <f t="shared" si="5"/>
        <v>11037</v>
      </c>
      <c r="T24" s="29">
        <f t="shared" si="5"/>
        <v>0</v>
      </c>
      <c r="U24" s="29">
        <f t="shared" si="5"/>
        <v>12559</v>
      </c>
      <c r="V24" s="29">
        <f t="shared" si="5"/>
        <v>0</v>
      </c>
    </row>
    <row r="25" spans="1:22" s="54" customFormat="1" ht="12.75">
      <c r="A25" s="52"/>
      <c r="B25" s="35" t="s">
        <v>15</v>
      </c>
      <c r="C25" s="22">
        <v>2182</v>
      </c>
      <c r="D25" s="20"/>
      <c r="E25" s="22">
        <v>6012</v>
      </c>
      <c r="F25" s="20"/>
      <c r="G25" s="22">
        <v>6026</v>
      </c>
      <c r="H25" s="20"/>
      <c r="I25" s="22">
        <v>20021</v>
      </c>
      <c r="J25" s="20"/>
      <c r="K25" s="22">
        <v>15225</v>
      </c>
      <c r="L25" s="20"/>
      <c r="M25" s="22">
        <v>10875</v>
      </c>
      <c r="N25" s="20"/>
      <c r="O25" s="22">
        <v>8689</v>
      </c>
      <c r="P25" s="20"/>
      <c r="Q25" s="22">
        <v>9776</v>
      </c>
      <c r="R25" s="20"/>
      <c r="S25" s="22">
        <v>11037</v>
      </c>
      <c r="T25" s="20"/>
      <c r="U25" s="22">
        <v>12559</v>
      </c>
      <c r="V25" s="20"/>
    </row>
    <row r="26" spans="1:22" s="2" customFormat="1" ht="12.75">
      <c r="A26" s="79" t="s">
        <v>125</v>
      </c>
      <c r="B26" s="96"/>
      <c r="C26" s="106">
        <f>+C27+C29+C33+C41+C46+C54+C75+C31</f>
        <v>131603</v>
      </c>
      <c r="D26" s="106">
        <f aca="true" t="shared" si="6" ref="D26:V26">+D27+D29+D33+D41+D46+D54+D75+D31</f>
        <v>87</v>
      </c>
      <c r="E26" s="106">
        <f t="shared" si="6"/>
        <v>125491</v>
      </c>
      <c r="F26" s="106">
        <f t="shared" si="6"/>
        <v>84</v>
      </c>
      <c r="G26" s="106">
        <f t="shared" si="6"/>
        <v>122633</v>
      </c>
      <c r="H26" s="106">
        <f t="shared" si="6"/>
        <v>116</v>
      </c>
      <c r="I26" s="106">
        <f t="shared" si="6"/>
        <v>131310</v>
      </c>
      <c r="J26" s="106">
        <f t="shared" si="6"/>
        <v>425</v>
      </c>
      <c r="K26" s="106">
        <f t="shared" si="6"/>
        <v>136431</v>
      </c>
      <c r="L26" s="106">
        <f t="shared" si="6"/>
        <v>785</v>
      </c>
      <c r="M26" s="106">
        <f t="shared" si="6"/>
        <v>153092</v>
      </c>
      <c r="N26" s="106">
        <f t="shared" si="6"/>
        <v>546</v>
      </c>
      <c r="O26" s="106">
        <f t="shared" si="6"/>
        <v>140811</v>
      </c>
      <c r="P26" s="106">
        <f t="shared" si="6"/>
        <v>242</v>
      </c>
      <c r="Q26" s="106">
        <f t="shared" si="6"/>
        <v>144118</v>
      </c>
      <c r="R26" s="106">
        <f t="shared" si="6"/>
        <v>416</v>
      </c>
      <c r="S26" s="106">
        <f t="shared" si="6"/>
        <v>133097</v>
      </c>
      <c r="T26" s="106">
        <f t="shared" si="6"/>
        <v>319</v>
      </c>
      <c r="U26" s="106">
        <f t="shared" si="6"/>
        <v>129169</v>
      </c>
      <c r="V26" s="106">
        <f t="shared" si="6"/>
        <v>553</v>
      </c>
    </row>
    <row r="27" spans="1:22" s="39" customFormat="1" ht="12.75">
      <c r="A27" s="77" t="s">
        <v>86</v>
      </c>
      <c r="B27" s="78"/>
      <c r="C27" s="33">
        <f>+C28</f>
        <v>303</v>
      </c>
      <c r="D27" s="33">
        <f aca="true" t="shared" si="7" ref="D27:V27">+D28</f>
        <v>0</v>
      </c>
      <c r="E27" s="33">
        <f t="shared" si="7"/>
        <v>39</v>
      </c>
      <c r="F27" s="33">
        <f t="shared" si="7"/>
        <v>0</v>
      </c>
      <c r="G27" s="33">
        <f t="shared" si="7"/>
        <v>13</v>
      </c>
      <c r="H27" s="33">
        <f t="shared" si="7"/>
        <v>0</v>
      </c>
      <c r="I27" s="33">
        <f t="shared" si="7"/>
        <v>21</v>
      </c>
      <c r="J27" s="33">
        <f t="shared" si="7"/>
        <v>0</v>
      </c>
      <c r="K27" s="33">
        <f t="shared" si="7"/>
        <v>33</v>
      </c>
      <c r="L27" s="33">
        <f t="shared" si="7"/>
        <v>33</v>
      </c>
      <c r="M27" s="33">
        <f t="shared" si="7"/>
        <v>42</v>
      </c>
      <c r="N27" s="33">
        <f t="shared" si="7"/>
        <v>42</v>
      </c>
      <c r="O27" s="33">
        <f t="shared" si="7"/>
        <v>61</v>
      </c>
      <c r="P27" s="33">
        <f t="shared" si="7"/>
        <v>61</v>
      </c>
      <c r="Q27" s="33">
        <f t="shared" si="7"/>
        <v>52</v>
      </c>
      <c r="R27" s="33">
        <f t="shared" si="7"/>
        <v>52</v>
      </c>
      <c r="S27" s="33">
        <f t="shared" si="7"/>
        <v>32</v>
      </c>
      <c r="T27" s="33">
        <f t="shared" si="7"/>
        <v>22</v>
      </c>
      <c r="U27" s="33">
        <f t="shared" si="7"/>
        <v>61</v>
      </c>
      <c r="V27" s="33">
        <f t="shared" si="7"/>
        <v>50</v>
      </c>
    </row>
    <row r="28" spans="1:22" s="39" customFormat="1" ht="12.75">
      <c r="A28" s="52"/>
      <c r="B28" s="35" t="s">
        <v>24</v>
      </c>
      <c r="C28" s="24">
        <v>303</v>
      </c>
      <c r="D28" s="46"/>
      <c r="E28" s="24">
        <v>39</v>
      </c>
      <c r="F28" s="46"/>
      <c r="G28" s="24">
        <v>13</v>
      </c>
      <c r="H28" s="46"/>
      <c r="I28" s="24">
        <v>21</v>
      </c>
      <c r="J28" s="46"/>
      <c r="K28" s="22">
        <v>33</v>
      </c>
      <c r="L28" s="20">
        <v>33</v>
      </c>
      <c r="M28" s="22">
        <v>42</v>
      </c>
      <c r="N28" s="20">
        <v>42</v>
      </c>
      <c r="O28" s="22">
        <v>61</v>
      </c>
      <c r="P28" s="20">
        <v>61</v>
      </c>
      <c r="Q28" s="22">
        <v>52</v>
      </c>
      <c r="R28" s="20">
        <v>52</v>
      </c>
      <c r="S28" s="22">
        <f>10+22</f>
        <v>32</v>
      </c>
      <c r="T28" s="20">
        <v>22</v>
      </c>
      <c r="U28" s="22">
        <v>61</v>
      </c>
      <c r="V28" s="20">
        <v>50</v>
      </c>
    </row>
    <row r="29" spans="1:22" s="2" customFormat="1" ht="12.75">
      <c r="A29" s="27" t="s">
        <v>126</v>
      </c>
      <c r="B29" s="28"/>
      <c r="C29" s="29">
        <f>SUM(C30:C30)</f>
        <v>841</v>
      </c>
      <c r="D29" s="29">
        <f>SUM(D30:D30)</f>
        <v>0</v>
      </c>
      <c r="E29" s="29">
        <f>SUM(E30:E30)</f>
        <v>414</v>
      </c>
      <c r="F29" s="29">
        <f>SUM(F30:F30)</f>
        <v>0</v>
      </c>
      <c r="G29" s="29">
        <f>SUM(G30:G30)</f>
        <v>534</v>
      </c>
      <c r="H29" s="29">
        <f>SUM(H30:H30)</f>
        <v>8</v>
      </c>
      <c r="I29" s="29">
        <f>SUM(I30:I30)</f>
        <v>300</v>
      </c>
      <c r="J29" s="29">
        <f>SUM(J30:J30)</f>
        <v>0</v>
      </c>
      <c r="K29" s="29">
        <f>SUM(K30:K30)</f>
        <v>0</v>
      </c>
      <c r="L29" s="29">
        <f>SUM(L30:L30)</f>
        <v>0</v>
      </c>
      <c r="M29" s="29">
        <f>SUM(M30:M30)</f>
        <v>0</v>
      </c>
      <c r="N29" s="29">
        <f>SUM(N30:N30)</f>
        <v>0</v>
      </c>
      <c r="O29" s="29">
        <f>SUM(O30:O30)</f>
        <v>0</v>
      </c>
      <c r="P29" s="29">
        <f>SUM(P30:P30)</f>
        <v>0</v>
      </c>
      <c r="Q29" s="29">
        <f>SUM(Q30:Q30)</f>
        <v>140</v>
      </c>
      <c r="R29" s="29">
        <f>SUM(R30:R30)</f>
        <v>140</v>
      </c>
      <c r="S29" s="29">
        <f>SUM(S30:S30)</f>
        <v>140</v>
      </c>
      <c r="T29" s="29">
        <f>SUM(T30:T30)</f>
        <v>140</v>
      </c>
      <c r="U29" s="29">
        <f>SUM(U30:U30)</f>
        <v>140</v>
      </c>
      <c r="V29" s="29">
        <f>SUM(V30:V30)</f>
        <v>140</v>
      </c>
    </row>
    <row r="30" spans="1:22" s="2" customFormat="1" ht="12.75">
      <c r="A30" s="56"/>
      <c r="B30" s="57" t="s">
        <v>16</v>
      </c>
      <c r="C30" s="22">
        <f>516+325</f>
        <v>841</v>
      </c>
      <c r="D30" s="51"/>
      <c r="E30" s="22">
        <v>414</v>
      </c>
      <c r="F30" s="51"/>
      <c r="G30" s="22">
        <f>526+8</f>
        <v>534</v>
      </c>
      <c r="H30" s="51">
        <v>8</v>
      </c>
      <c r="I30" s="37">
        <v>300</v>
      </c>
      <c r="J30" s="51"/>
      <c r="K30" s="37"/>
      <c r="L30" s="51"/>
      <c r="M30" s="37"/>
      <c r="N30" s="51"/>
      <c r="O30" s="37"/>
      <c r="P30" s="51"/>
      <c r="Q30" s="37">
        <v>140</v>
      </c>
      <c r="R30" s="51">
        <v>140</v>
      </c>
      <c r="S30" s="37">
        <v>140</v>
      </c>
      <c r="T30" s="51">
        <v>140</v>
      </c>
      <c r="U30" s="37">
        <v>140</v>
      </c>
      <c r="V30" s="51">
        <v>140</v>
      </c>
    </row>
    <row r="31" spans="1:22" s="2" customFormat="1" ht="12.75">
      <c r="A31" s="27" t="s">
        <v>141</v>
      </c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>
        <f>+U32</f>
        <v>9</v>
      </c>
      <c r="V31" s="29">
        <f>+V32</f>
        <v>9</v>
      </c>
    </row>
    <row r="32" spans="1:22" s="2" customFormat="1" ht="12.75">
      <c r="A32" s="56"/>
      <c r="B32" s="57" t="s">
        <v>16</v>
      </c>
      <c r="C32" s="22"/>
      <c r="D32" s="51"/>
      <c r="E32" s="22"/>
      <c r="F32" s="51"/>
      <c r="G32" s="22"/>
      <c r="H32" s="51"/>
      <c r="I32" s="37"/>
      <c r="J32" s="51"/>
      <c r="K32" s="37"/>
      <c r="L32" s="51"/>
      <c r="M32" s="37"/>
      <c r="N32" s="51"/>
      <c r="O32" s="37"/>
      <c r="P32" s="51"/>
      <c r="Q32" s="37"/>
      <c r="R32" s="51"/>
      <c r="S32" s="37"/>
      <c r="T32" s="51"/>
      <c r="U32" s="37">
        <v>9</v>
      </c>
      <c r="V32" s="51">
        <v>9</v>
      </c>
    </row>
    <row r="33" spans="1:22" s="2" customFormat="1" ht="12.75">
      <c r="A33" s="77" t="s">
        <v>127</v>
      </c>
      <c r="B33" s="78"/>
      <c r="C33" s="32">
        <f aca="true" t="shared" si="8" ref="C33:P33">SUM(C34:C40)</f>
        <v>3501</v>
      </c>
      <c r="D33" s="32">
        <f t="shared" si="8"/>
        <v>41</v>
      </c>
      <c r="E33" s="32">
        <f t="shared" si="8"/>
        <v>6419</v>
      </c>
      <c r="F33" s="32">
        <f t="shared" si="8"/>
        <v>33</v>
      </c>
      <c r="G33" s="32">
        <f t="shared" si="8"/>
        <v>6071</v>
      </c>
      <c r="H33" s="32">
        <f t="shared" si="8"/>
        <v>25</v>
      </c>
      <c r="I33" s="32">
        <f t="shared" si="8"/>
        <v>6156</v>
      </c>
      <c r="J33" s="32">
        <f t="shared" si="8"/>
        <v>84</v>
      </c>
      <c r="K33" s="32">
        <f t="shared" si="8"/>
        <v>3994</v>
      </c>
      <c r="L33" s="32">
        <f t="shared" si="8"/>
        <v>63</v>
      </c>
      <c r="M33" s="32">
        <f t="shared" si="8"/>
        <v>8008</v>
      </c>
      <c r="N33" s="32">
        <f t="shared" si="8"/>
        <v>56</v>
      </c>
      <c r="O33" s="32">
        <f t="shared" si="8"/>
        <v>7870</v>
      </c>
      <c r="P33" s="32">
        <f t="shared" si="8"/>
        <v>78</v>
      </c>
      <c r="Q33" s="32">
        <f>SUM(Q34:Q40)</f>
        <v>7641</v>
      </c>
      <c r="R33" s="32">
        <f>SUM(R34:R40)</f>
        <v>149</v>
      </c>
      <c r="S33" s="32">
        <f>SUM(S34:S40)</f>
        <v>7420</v>
      </c>
      <c r="T33" s="32">
        <f>SUM(T34:T40)</f>
        <v>155</v>
      </c>
      <c r="U33" s="32">
        <f>SUM(U34:U40)</f>
        <v>5294</v>
      </c>
      <c r="V33" s="32">
        <f>SUM(V34:V40)</f>
        <v>93</v>
      </c>
    </row>
    <row r="34" spans="1:22" s="2" customFormat="1" ht="12.75">
      <c r="A34" s="49"/>
      <c r="B34" s="35" t="s">
        <v>19</v>
      </c>
      <c r="C34" s="22">
        <v>100</v>
      </c>
      <c r="D34" s="51"/>
      <c r="E34" s="22">
        <v>113</v>
      </c>
      <c r="F34" s="51"/>
      <c r="G34" s="22">
        <v>40</v>
      </c>
      <c r="H34" s="51"/>
      <c r="I34" s="37">
        <v>719</v>
      </c>
      <c r="J34" s="51"/>
      <c r="K34" s="37">
        <v>23</v>
      </c>
      <c r="L34" s="51"/>
      <c r="M34" s="37">
        <v>14</v>
      </c>
      <c r="N34" s="51"/>
      <c r="O34" s="37">
        <v>14</v>
      </c>
      <c r="P34" s="51"/>
      <c r="Q34" s="37">
        <v>23</v>
      </c>
      <c r="R34" s="51"/>
      <c r="S34" s="37">
        <v>27</v>
      </c>
      <c r="T34" s="51"/>
      <c r="U34" s="37">
        <v>24</v>
      </c>
      <c r="V34" s="51"/>
    </row>
    <row r="35" spans="1:22" s="2" customFormat="1" ht="12.75">
      <c r="A35" s="15"/>
      <c r="B35" s="10" t="s">
        <v>24</v>
      </c>
      <c r="C35" s="22">
        <f>123+41</f>
        <v>164</v>
      </c>
      <c r="D35" s="20">
        <v>41</v>
      </c>
      <c r="E35" s="22">
        <f>3046+33</f>
        <v>3079</v>
      </c>
      <c r="F35" s="20">
        <v>33</v>
      </c>
      <c r="G35" s="22">
        <f>2690+25</f>
        <v>2715</v>
      </c>
      <c r="H35" s="20">
        <v>25</v>
      </c>
      <c r="I35" s="22">
        <f>2089-58+84</f>
        <v>2115</v>
      </c>
      <c r="J35" s="74">
        <v>84</v>
      </c>
      <c r="K35" s="22">
        <f>593+63</f>
        <v>656</v>
      </c>
      <c r="L35" s="74">
        <v>63</v>
      </c>
      <c r="M35" s="22">
        <f>749+56</f>
        <v>805</v>
      </c>
      <c r="N35" s="74">
        <v>56</v>
      </c>
      <c r="O35" s="22">
        <f>874+78</f>
        <v>952</v>
      </c>
      <c r="P35" s="74">
        <v>78</v>
      </c>
      <c r="Q35" s="22">
        <f>1332+149</f>
        <v>1481</v>
      </c>
      <c r="R35" s="74">
        <v>149</v>
      </c>
      <c r="S35" s="22">
        <f>1168+155</f>
        <v>1323</v>
      </c>
      <c r="T35" s="74">
        <v>155</v>
      </c>
      <c r="U35" s="22">
        <f>4060+1117+93</f>
        <v>5270</v>
      </c>
      <c r="V35" s="74">
        <v>93</v>
      </c>
    </row>
    <row r="36" spans="1:22" s="2" customFormat="1" ht="12.75">
      <c r="A36" s="15"/>
      <c r="B36" s="35" t="s">
        <v>32</v>
      </c>
      <c r="C36" s="22">
        <v>129</v>
      </c>
      <c r="D36" s="20"/>
      <c r="E36" s="22">
        <v>119</v>
      </c>
      <c r="F36" s="20"/>
      <c r="G36" s="22">
        <v>144</v>
      </c>
      <c r="H36" s="20"/>
      <c r="I36" s="22">
        <v>130</v>
      </c>
      <c r="J36" s="20"/>
      <c r="K36" s="22">
        <v>123</v>
      </c>
      <c r="L36" s="20"/>
      <c r="M36" s="22">
        <v>120</v>
      </c>
      <c r="N36" s="20"/>
      <c r="O36" s="22"/>
      <c r="P36" s="20"/>
      <c r="Q36" s="22"/>
      <c r="R36" s="20"/>
      <c r="S36" s="22"/>
      <c r="T36" s="20"/>
      <c r="U36" s="22"/>
      <c r="V36" s="20"/>
    </row>
    <row r="37" spans="1:22" s="2" customFormat="1" ht="12.75">
      <c r="A37" s="15"/>
      <c r="B37" s="35" t="s">
        <v>18</v>
      </c>
      <c r="C37" s="22"/>
      <c r="D37" s="20"/>
      <c r="E37" s="22"/>
      <c r="F37" s="20"/>
      <c r="G37" s="22"/>
      <c r="H37" s="20"/>
      <c r="I37" s="22"/>
      <c r="J37" s="20"/>
      <c r="K37" s="22"/>
      <c r="L37" s="20"/>
      <c r="M37" s="22"/>
      <c r="N37" s="20"/>
      <c r="O37" s="22"/>
      <c r="P37" s="20"/>
      <c r="Q37" s="22"/>
      <c r="R37" s="20"/>
      <c r="S37" s="22"/>
      <c r="T37" s="20"/>
      <c r="U37" s="22"/>
      <c r="V37" s="20"/>
    </row>
    <row r="38" spans="1:22" s="2" customFormat="1" ht="12.75">
      <c r="A38" s="15"/>
      <c r="B38" s="35" t="s">
        <v>72</v>
      </c>
      <c r="C38" s="22"/>
      <c r="D38" s="20"/>
      <c r="E38" s="22"/>
      <c r="F38" s="20"/>
      <c r="G38" s="22"/>
      <c r="H38" s="20"/>
      <c r="I38" s="22"/>
      <c r="J38" s="20"/>
      <c r="K38" s="22"/>
      <c r="L38" s="20"/>
      <c r="M38" s="22"/>
      <c r="N38" s="20"/>
      <c r="O38" s="22">
        <v>382</v>
      </c>
      <c r="P38" s="20"/>
      <c r="Q38" s="22"/>
      <c r="R38" s="20"/>
      <c r="S38" s="22"/>
      <c r="T38" s="20"/>
      <c r="U38" s="22"/>
      <c r="V38" s="20"/>
    </row>
    <row r="39" spans="1:22" s="2" customFormat="1" ht="12.75">
      <c r="A39" s="15"/>
      <c r="B39" s="10" t="s">
        <v>36</v>
      </c>
      <c r="C39" s="22"/>
      <c r="D39" s="20"/>
      <c r="E39" s="22"/>
      <c r="F39" s="20"/>
      <c r="G39" s="22"/>
      <c r="H39" s="20"/>
      <c r="I39" s="22"/>
      <c r="J39" s="20"/>
      <c r="K39" s="22"/>
      <c r="L39" s="20"/>
      <c r="M39" s="22"/>
      <c r="N39" s="20"/>
      <c r="O39" s="22"/>
      <c r="P39" s="20"/>
      <c r="Q39" s="22">
        <v>1004</v>
      </c>
      <c r="R39" s="20"/>
      <c r="S39" s="22"/>
      <c r="T39" s="20"/>
      <c r="U39" s="22"/>
      <c r="V39" s="20"/>
    </row>
    <row r="40" spans="1:22" s="2" customFormat="1" ht="12.75">
      <c r="A40" s="15"/>
      <c r="B40" s="35" t="s">
        <v>66</v>
      </c>
      <c r="C40" s="23">
        <v>3108</v>
      </c>
      <c r="D40" s="21"/>
      <c r="E40" s="23">
        <v>3108</v>
      </c>
      <c r="F40" s="21"/>
      <c r="G40" s="23">
        <v>3172</v>
      </c>
      <c r="H40" s="21"/>
      <c r="I40" s="23">
        <v>3192</v>
      </c>
      <c r="J40" s="21"/>
      <c r="K40" s="23">
        <v>3192</v>
      </c>
      <c r="L40" s="21"/>
      <c r="M40" s="23">
        <f>6190+879</f>
        <v>7069</v>
      </c>
      <c r="N40" s="21"/>
      <c r="O40" s="23">
        <f>434+6088</f>
        <v>6522</v>
      </c>
      <c r="P40" s="21"/>
      <c r="Q40" s="23">
        <f>1073+4060</f>
        <v>5133</v>
      </c>
      <c r="R40" s="21"/>
      <c r="S40" s="23">
        <f>2010+4060</f>
        <v>6070</v>
      </c>
      <c r="T40" s="21"/>
      <c r="U40" s="23"/>
      <c r="V40" s="21"/>
    </row>
    <row r="41" spans="1:22" s="2" customFormat="1" ht="12.75">
      <c r="A41" s="27" t="s">
        <v>1</v>
      </c>
      <c r="B41" s="28"/>
      <c r="C41" s="33">
        <f>SUM(C42:C45)</f>
        <v>1907</v>
      </c>
      <c r="D41" s="33">
        <f aca="true" t="shared" si="9" ref="D41:P41">SUM(D42:D45)</f>
        <v>0</v>
      </c>
      <c r="E41" s="33">
        <f t="shared" si="9"/>
        <v>1578</v>
      </c>
      <c r="F41" s="33">
        <f t="shared" si="9"/>
        <v>0</v>
      </c>
      <c r="G41" s="33">
        <f t="shared" si="9"/>
        <v>2119</v>
      </c>
      <c r="H41" s="33">
        <f t="shared" si="9"/>
        <v>0</v>
      </c>
      <c r="I41" s="33">
        <f t="shared" si="9"/>
        <v>1211</v>
      </c>
      <c r="J41" s="33">
        <f t="shared" si="9"/>
        <v>0</v>
      </c>
      <c r="K41" s="33">
        <f t="shared" si="9"/>
        <v>1466</v>
      </c>
      <c r="L41" s="33">
        <f t="shared" si="9"/>
        <v>38</v>
      </c>
      <c r="M41" s="33">
        <f t="shared" si="9"/>
        <v>1133</v>
      </c>
      <c r="N41" s="33">
        <f t="shared" si="9"/>
        <v>0</v>
      </c>
      <c r="O41" s="33">
        <f t="shared" si="9"/>
        <v>1750</v>
      </c>
      <c r="P41" s="33">
        <f t="shared" si="9"/>
        <v>0</v>
      </c>
      <c r="Q41" s="33">
        <f>SUM(Q42:Q45)</f>
        <v>2017</v>
      </c>
      <c r="R41" s="33">
        <f>SUM(R42:R45)</f>
        <v>0</v>
      </c>
      <c r="S41" s="33">
        <f>SUM(S42:S45)</f>
        <v>1520</v>
      </c>
      <c r="T41" s="33">
        <f>SUM(T42:T45)</f>
        <v>0</v>
      </c>
      <c r="U41" s="33">
        <f>SUM(U42:U45)</f>
        <v>1635</v>
      </c>
      <c r="V41" s="33">
        <f>SUM(V42:V45)</f>
        <v>100</v>
      </c>
    </row>
    <row r="42" spans="1:22" s="2" customFormat="1" ht="12.75">
      <c r="A42" s="52"/>
      <c r="B42" s="10" t="s">
        <v>24</v>
      </c>
      <c r="C42" s="22">
        <f>568+1333</f>
        <v>1901</v>
      </c>
      <c r="D42" s="51"/>
      <c r="E42" s="22">
        <f>516+1060</f>
        <v>1576</v>
      </c>
      <c r="F42" s="51"/>
      <c r="G42" s="22">
        <f>516+1581</f>
        <v>2097</v>
      </c>
      <c r="H42" s="51"/>
      <c r="I42" s="36">
        <v>1206</v>
      </c>
      <c r="J42" s="51"/>
      <c r="K42" s="36">
        <v>1421</v>
      </c>
      <c r="L42" s="51"/>
      <c r="M42" s="36">
        <v>1114</v>
      </c>
      <c r="N42" s="51"/>
      <c r="O42" s="36">
        <v>1750</v>
      </c>
      <c r="P42" s="51"/>
      <c r="Q42" s="36">
        <v>2017</v>
      </c>
      <c r="R42" s="51"/>
      <c r="S42" s="36">
        <v>1520</v>
      </c>
      <c r="T42" s="51"/>
      <c r="U42" s="36">
        <v>1535</v>
      </c>
      <c r="V42" s="51"/>
    </row>
    <row r="43" spans="1:22" s="2" customFormat="1" ht="12.75">
      <c r="A43" s="52"/>
      <c r="B43" s="35" t="s">
        <v>19</v>
      </c>
      <c r="C43" s="22">
        <v>6</v>
      </c>
      <c r="D43" s="51"/>
      <c r="E43" s="22">
        <v>2</v>
      </c>
      <c r="F43" s="51"/>
      <c r="G43" s="22">
        <v>22</v>
      </c>
      <c r="H43" s="51"/>
      <c r="I43" s="36">
        <v>5</v>
      </c>
      <c r="J43" s="51"/>
      <c r="K43" s="36">
        <v>7</v>
      </c>
      <c r="L43" s="51"/>
      <c r="M43" s="36">
        <v>19</v>
      </c>
      <c r="N43" s="51"/>
      <c r="O43" s="36"/>
      <c r="P43" s="51"/>
      <c r="Q43" s="36"/>
      <c r="R43" s="51"/>
      <c r="S43" s="36"/>
      <c r="T43" s="51"/>
      <c r="U43" s="36"/>
      <c r="V43" s="51"/>
    </row>
    <row r="44" spans="1:22" s="2" customFormat="1" ht="12.75">
      <c r="A44" s="52"/>
      <c r="B44" s="35" t="s">
        <v>32</v>
      </c>
      <c r="C44" s="22"/>
      <c r="D44" s="51"/>
      <c r="E44" s="22"/>
      <c r="F44" s="51"/>
      <c r="G44" s="22"/>
      <c r="H44" s="51"/>
      <c r="I44" s="36"/>
      <c r="J44" s="51"/>
      <c r="K44" s="36"/>
      <c r="L44" s="51"/>
      <c r="M44" s="36"/>
      <c r="N44" s="51"/>
      <c r="O44" s="36"/>
      <c r="P44" s="51"/>
      <c r="Q44" s="36"/>
      <c r="R44" s="51"/>
      <c r="S44" s="36"/>
      <c r="T44" s="51"/>
      <c r="U44" s="36">
        <v>100</v>
      </c>
      <c r="V44" s="51">
        <v>100</v>
      </c>
    </row>
    <row r="45" spans="1:22" s="2" customFormat="1" ht="12.75">
      <c r="A45" s="52"/>
      <c r="B45" s="35" t="s">
        <v>72</v>
      </c>
      <c r="C45" s="22"/>
      <c r="D45" s="51"/>
      <c r="E45" s="22"/>
      <c r="F45" s="51"/>
      <c r="G45" s="22"/>
      <c r="H45" s="51"/>
      <c r="I45" s="36"/>
      <c r="J45" s="51"/>
      <c r="K45" s="36">
        <v>38</v>
      </c>
      <c r="L45" s="51">
        <v>38</v>
      </c>
      <c r="M45" s="36"/>
      <c r="N45" s="51"/>
      <c r="O45" s="36"/>
      <c r="P45" s="51"/>
      <c r="Q45" s="36"/>
      <c r="R45" s="51"/>
      <c r="S45" s="36"/>
      <c r="T45" s="51"/>
      <c r="U45" s="36"/>
      <c r="V45" s="51"/>
    </row>
    <row r="46" spans="1:22" s="2" customFormat="1" ht="12.75">
      <c r="A46" s="27" t="s">
        <v>88</v>
      </c>
      <c r="B46" s="28"/>
      <c r="C46" s="29">
        <f aca="true" t="shared" si="10" ref="C46:P46">SUM(C47:C53)</f>
        <v>327</v>
      </c>
      <c r="D46" s="29">
        <f t="shared" si="10"/>
        <v>0</v>
      </c>
      <c r="E46" s="29">
        <f t="shared" si="10"/>
        <v>427</v>
      </c>
      <c r="F46" s="29">
        <f t="shared" si="10"/>
        <v>0</v>
      </c>
      <c r="G46" s="29">
        <f t="shared" si="10"/>
        <v>288</v>
      </c>
      <c r="H46" s="29">
        <f t="shared" si="10"/>
        <v>0</v>
      </c>
      <c r="I46" s="29">
        <f t="shared" si="10"/>
        <v>254</v>
      </c>
      <c r="J46" s="29">
        <f t="shared" si="10"/>
        <v>113</v>
      </c>
      <c r="K46" s="29">
        <f t="shared" si="10"/>
        <v>714</v>
      </c>
      <c r="L46" s="29">
        <f t="shared" si="10"/>
        <v>620</v>
      </c>
      <c r="M46" s="29">
        <f t="shared" si="10"/>
        <v>518</v>
      </c>
      <c r="N46" s="29">
        <f t="shared" si="10"/>
        <v>404</v>
      </c>
      <c r="O46" s="29">
        <f t="shared" si="10"/>
        <v>179</v>
      </c>
      <c r="P46" s="29">
        <f t="shared" si="10"/>
        <v>78</v>
      </c>
      <c r="Q46" s="29">
        <f>SUM(Q47:Q53)</f>
        <v>101</v>
      </c>
      <c r="R46" s="29">
        <f>SUM(R47:R53)</f>
        <v>20</v>
      </c>
      <c r="S46" s="29">
        <f>SUM(S47:S53)</f>
        <v>63</v>
      </c>
      <c r="T46" s="29">
        <f>SUM(T47:T53)</f>
        <v>0</v>
      </c>
      <c r="U46" s="29">
        <f>SUM(U47:U53)</f>
        <v>256</v>
      </c>
      <c r="V46" s="29">
        <f>SUM(V47:V53)</f>
        <v>150</v>
      </c>
    </row>
    <row r="47" spans="1:22" s="39" customFormat="1" ht="12.75">
      <c r="A47" s="52"/>
      <c r="B47" s="35" t="s">
        <v>52</v>
      </c>
      <c r="C47" s="22">
        <v>204</v>
      </c>
      <c r="D47" s="51"/>
      <c r="E47" s="22">
        <v>193</v>
      </c>
      <c r="F47" s="51"/>
      <c r="G47" s="22">
        <v>190</v>
      </c>
      <c r="H47" s="51"/>
      <c r="I47" s="36">
        <v>38</v>
      </c>
      <c r="J47" s="51"/>
      <c r="K47" s="36">
        <v>8</v>
      </c>
      <c r="L47" s="51"/>
      <c r="M47" s="36">
        <v>2</v>
      </c>
      <c r="N47" s="51"/>
      <c r="O47" s="36">
        <v>7</v>
      </c>
      <c r="P47" s="51"/>
      <c r="Q47" s="36">
        <v>3</v>
      </c>
      <c r="R47" s="51"/>
      <c r="S47" s="36">
        <v>4</v>
      </c>
      <c r="T47" s="51"/>
      <c r="U47" s="36">
        <v>1</v>
      </c>
      <c r="V47" s="51"/>
    </row>
    <row r="48" spans="1:22" s="39" customFormat="1" ht="12.75">
      <c r="A48" s="52"/>
      <c r="B48" s="35" t="s">
        <v>53</v>
      </c>
      <c r="C48" s="22">
        <v>123</v>
      </c>
      <c r="D48" s="51"/>
      <c r="E48" s="22">
        <v>234</v>
      </c>
      <c r="F48" s="51"/>
      <c r="G48" s="22">
        <v>98</v>
      </c>
      <c r="H48" s="51"/>
      <c r="I48" s="36">
        <v>103</v>
      </c>
      <c r="J48" s="51"/>
      <c r="K48" s="36">
        <v>86</v>
      </c>
      <c r="L48" s="51"/>
      <c r="M48" s="36">
        <v>112</v>
      </c>
      <c r="N48" s="51"/>
      <c r="O48" s="36">
        <v>94</v>
      </c>
      <c r="P48" s="51"/>
      <c r="Q48" s="36">
        <v>78</v>
      </c>
      <c r="R48" s="51"/>
      <c r="S48" s="36">
        <v>59</v>
      </c>
      <c r="T48" s="51"/>
      <c r="U48" s="36">
        <v>65</v>
      </c>
      <c r="V48" s="51"/>
    </row>
    <row r="49" spans="1:22" s="39" customFormat="1" ht="12.75">
      <c r="A49" s="52"/>
      <c r="B49" s="10" t="s">
        <v>65</v>
      </c>
      <c r="C49" s="22"/>
      <c r="D49" s="51"/>
      <c r="E49" s="22"/>
      <c r="F49" s="51"/>
      <c r="G49" s="22"/>
      <c r="H49" s="51"/>
      <c r="I49" s="36"/>
      <c r="J49" s="51"/>
      <c r="K49" s="36"/>
      <c r="L49" s="51"/>
      <c r="M49" s="36"/>
      <c r="N49" s="51"/>
      <c r="O49" s="36">
        <v>78</v>
      </c>
      <c r="P49" s="51">
        <v>78</v>
      </c>
      <c r="Q49" s="36"/>
      <c r="R49" s="51"/>
      <c r="S49" s="36"/>
      <c r="T49" s="51"/>
      <c r="U49" s="36"/>
      <c r="V49" s="51"/>
    </row>
    <row r="50" spans="1:22" s="39" customFormat="1" ht="12.75">
      <c r="A50" s="52"/>
      <c r="B50" s="35" t="s">
        <v>32</v>
      </c>
      <c r="C50" s="22"/>
      <c r="D50" s="51"/>
      <c r="E50" s="22"/>
      <c r="F50" s="51"/>
      <c r="G50" s="22"/>
      <c r="H50" s="51"/>
      <c r="I50" s="36"/>
      <c r="J50" s="51"/>
      <c r="K50" s="36"/>
      <c r="L50" s="51"/>
      <c r="M50" s="36"/>
      <c r="N50" s="51"/>
      <c r="O50" s="36"/>
      <c r="P50" s="51"/>
      <c r="Q50" s="36"/>
      <c r="R50" s="51"/>
      <c r="S50" s="36"/>
      <c r="T50" s="51"/>
      <c r="U50" s="36">
        <f>40+150</f>
        <v>190</v>
      </c>
      <c r="V50" s="51">
        <v>150</v>
      </c>
    </row>
    <row r="51" spans="1:22" s="39" customFormat="1" ht="12.75">
      <c r="A51" s="52"/>
      <c r="B51" s="35" t="s">
        <v>16</v>
      </c>
      <c r="C51" s="22"/>
      <c r="D51" s="51"/>
      <c r="E51" s="22"/>
      <c r="F51" s="51"/>
      <c r="G51" s="22"/>
      <c r="H51" s="51"/>
      <c r="I51" s="36"/>
      <c r="J51" s="51"/>
      <c r="K51" s="36"/>
      <c r="L51" s="51"/>
      <c r="M51" s="36"/>
      <c r="N51" s="51"/>
      <c r="O51" s="36"/>
      <c r="P51" s="51"/>
      <c r="Q51" s="36">
        <v>20</v>
      </c>
      <c r="R51" s="51">
        <v>20</v>
      </c>
      <c r="S51" s="36"/>
      <c r="T51" s="51"/>
      <c r="U51" s="36"/>
      <c r="V51" s="51"/>
    </row>
    <row r="52" spans="1:22" s="2" customFormat="1" ht="12.75">
      <c r="A52" s="52"/>
      <c r="B52" s="35" t="s">
        <v>66</v>
      </c>
      <c r="C52" s="22"/>
      <c r="D52" s="51"/>
      <c r="E52" s="22"/>
      <c r="F52" s="51"/>
      <c r="G52" s="22"/>
      <c r="H52" s="51"/>
      <c r="I52" s="36">
        <v>62</v>
      </c>
      <c r="J52" s="51">
        <v>62</v>
      </c>
      <c r="K52" s="36">
        <v>620</v>
      </c>
      <c r="L52" s="51">
        <v>620</v>
      </c>
      <c r="M52" s="36">
        <v>404</v>
      </c>
      <c r="N52" s="51">
        <v>404</v>
      </c>
      <c r="O52" s="36"/>
      <c r="P52" s="51"/>
      <c r="Q52" s="36"/>
      <c r="R52" s="51"/>
      <c r="S52" s="36"/>
      <c r="T52" s="51"/>
      <c r="U52" s="36"/>
      <c r="V52" s="51"/>
    </row>
    <row r="53" spans="1:22" s="2" customFormat="1" ht="12.75">
      <c r="A53" s="56"/>
      <c r="B53" s="16" t="s">
        <v>111</v>
      </c>
      <c r="C53" s="23"/>
      <c r="D53" s="58"/>
      <c r="E53" s="23"/>
      <c r="F53" s="58"/>
      <c r="G53" s="23"/>
      <c r="H53" s="58"/>
      <c r="I53" s="62">
        <v>51</v>
      </c>
      <c r="J53" s="75">
        <v>51</v>
      </c>
      <c r="K53" s="62"/>
      <c r="L53" s="75"/>
      <c r="M53" s="62"/>
      <c r="N53" s="75"/>
      <c r="O53" s="62"/>
      <c r="P53" s="75"/>
      <c r="Q53" s="62"/>
      <c r="R53" s="75"/>
      <c r="S53" s="62"/>
      <c r="T53" s="75"/>
      <c r="U53" s="62"/>
      <c r="V53" s="75"/>
    </row>
    <row r="54" spans="1:22" s="2" customFormat="1" ht="12.75">
      <c r="A54" s="28" t="s">
        <v>128</v>
      </c>
      <c r="B54" s="30"/>
      <c r="C54" s="29">
        <f>SUM(C55:C74)</f>
        <v>124680</v>
      </c>
      <c r="D54" s="29">
        <f aca="true" t="shared" si="11" ref="D54:T54">SUM(D55:D74)</f>
        <v>2</v>
      </c>
      <c r="E54" s="29">
        <f t="shared" si="11"/>
        <v>116565</v>
      </c>
      <c r="F54" s="29">
        <f t="shared" si="11"/>
        <v>2</v>
      </c>
      <c r="G54" s="29">
        <f t="shared" si="11"/>
        <v>113527</v>
      </c>
      <c r="H54" s="29">
        <f t="shared" si="11"/>
        <v>2</v>
      </c>
      <c r="I54" s="29">
        <f t="shared" si="11"/>
        <v>123166</v>
      </c>
      <c r="J54" s="29">
        <f t="shared" si="11"/>
        <v>26</v>
      </c>
      <c r="K54" s="29">
        <f t="shared" si="11"/>
        <v>130203</v>
      </c>
      <c r="L54" s="29">
        <f t="shared" si="11"/>
        <v>10</v>
      </c>
      <c r="M54" s="29">
        <f t="shared" si="11"/>
        <v>143371</v>
      </c>
      <c r="N54" s="29">
        <f t="shared" si="11"/>
        <v>24</v>
      </c>
      <c r="O54" s="29">
        <f t="shared" si="11"/>
        <v>130928</v>
      </c>
      <c r="P54" s="29">
        <f t="shared" si="11"/>
        <v>2</v>
      </c>
      <c r="Q54" s="29">
        <f t="shared" si="11"/>
        <v>134114</v>
      </c>
      <c r="R54" s="29">
        <f t="shared" si="11"/>
        <v>2</v>
      </c>
      <c r="S54" s="29">
        <f t="shared" si="11"/>
        <v>123921</v>
      </c>
      <c r="T54" s="29">
        <f t="shared" si="11"/>
        <v>1</v>
      </c>
      <c r="U54" s="29">
        <f>SUM(U55:U74)</f>
        <v>121764</v>
      </c>
      <c r="V54" s="29">
        <f>SUM(V55:V74)</f>
        <v>1</v>
      </c>
    </row>
    <row r="55" spans="1:22" s="2" customFormat="1" ht="12.75">
      <c r="A55" s="87"/>
      <c r="B55" s="10" t="s">
        <v>25</v>
      </c>
      <c r="C55" s="84">
        <v>59440</v>
      </c>
      <c r="D55" s="73"/>
      <c r="E55" s="84">
        <v>58487</v>
      </c>
      <c r="F55" s="73"/>
      <c r="G55" s="84">
        <v>52570</v>
      </c>
      <c r="H55" s="73"/>
      <c r="I55" s="73">
        <v>69381</v>
      </c>
      <c r="J55" s="73"/>
      <c r="K55" s="73">
        <v>5982</v>
      </c>
      <c r="L55" s="73"/>
      <c r="M55" s="73"/>
      <c r="N55" s="73"/>
      <c r="O55" s="73">
        <v>463</v>
      </c>
      <c r="P55" s="73"/>
      <c r="Q55" s="73">
        <v>8152</v>
      </c>
      <c r="R55" s="73"/>
      <c r="S55" s="73">
        <v>10212</v>
      </c>
      <c r="T55" s="73"/>
      <c r="U55" s="73">
        <v>61126</v>
      </c>
      <c r="V55" s="73"/>
    </row>
    <row r="56" spans="1:22" s="2" customFormat="1" ht="12.75">
      <c r="A56" s="87"/>
      <c r="B56" s="10" t="s">
        <v>89</v>
      </c>
      <c r="C56" s="84"/>
      <c r="D56" s="68"/>
      <c r="E56" s="84"/>
      <c r="F56" s="68"/>
      <c r="G56" s="84"/>
      <c r="H56" s="68"/>
      <c r="I56" s="73"/>
      <c r="J56" s="68"/>
      <c r="K56" s="73">
        <v>64952</v>
      </c>
      <c r="L56" s="68"/>
      <c r="M56" s="73">
        <v>91870</v>
      </c>
      <c r="N56" s="68"/>
      <c r="O56" s="73">
        <v>93361</v>
      </c>
      <c r="P56" s="68"/>
      <c r="Q56" s="73">
        <v>92691</v>
      </c>
      <c r="R56" s="68"/>
      <c r="S56" s="73">
        <v>91684</v>
      </c>
      <c r="T56" s="68"/>
      <c r="U56" s="73">
        <v>8433</v>
      </c>
      <c r="V56" s="68"/>
    </row>
    <row r="57" spans="1:22" s="2" customFormat="1" ht="12.75">
      <c r="A57" s="87"/>
      <c r="B57" s="10" t="s">
        <v>122</v>
      </c>
      <c r="C57" s="84"/>
      <c r="D57" s="68"/>
      <c r="E57" s="84"/>
      <c r="F57" s="68"/>
      <c r="G57" s="84"/>
      <c r="H57" s="68"/>
      <c r="I57" s="73"/>
      <c r="J57" s="68"/>
      <c r="K57" s="73"/>
      <c r="L57" s="68"/>
      <c r="M57" s="73"/>
      <c r="N57" s="68"/>
      <c r="O57" s="73"/>
      <c r="P57" s="68"/>
      <c r="Q57" s="73"/>
      <c r="R57" s="68"/>
      <c r="S57" s="73">
        <v>234</v>
      </c>
      <c r="T57" s="68"/>
      <c r="U57" s="73">
        <v>268</v>
      </c>
      <c r="V57" s="68"/>
    </row>
    <row r="58" spans="1:22" s="2" customFormat="1" ht="12.75">
      <c r="A58" s="87"/>
      <c r="B58" s="10" t="s">
        <v>26</v>
      </c>
      <c r="C58" s="84">
        <v>28398</v>
      </c>
      <c r="D58" s="68"/>
      <c r="E58" s="84">
        <v>21531</v>
      </c>
      <c r="F58" s="68"/>
      <c r="G58" s="84">
        <v>17029</v>
      </c>
      <c r="H58" s="68"/>
      <c r="I58" s="73">
        <v>14691</v>
      </c>
      <c r="J58" s="68"/>
      <c r="K58" s="73">
        <v>13496</v>
      </c>
      <c r="L58" s="68"/>
      <c r="M58" s="73">
        <v>11156</v>
      </c>
      <c r="N58" s="68"/>
      <c r="O58" s="73">
        <v>2111</v>
      </c>
      <c r="P58" s="68"/>
      <c r="Q58" s="73">
        <v>1494</v>
      </c>
      <c r="R58" s="68"/>
      <c r="S58" s="73">
        <v>1494</v>
      </c>
      <c r="T58" s="68"/>
      <c r="U58" s="73">
        <v>6775</v>
      </c>
      <c r="V58" s="68"/>
    </row>
    <row r="59" spans="1:22" s="2" customFormat="1" ht="12.75">
      <c r="A59" s="87"/>
      <c r="B59" s="35" t="s">
        <v>18</v>
      </c>
      <c r="C59" s="84"/>
      <c r="D59" s="68"/>
      <c r="E59" s="84">
        <v>1</v>
      </c>
      <c r="F59" s="68"/>
      <c r="G59" s="84"/>
      <c r="H59" s="68"/>
      <c r="I59" s="73">
        <v>6</v>
      </c>
      <c r="J59" s="68"/>
      <c r="K59" s="73">
        <v>10</v>
      </c>
      <c r="L59" s="68"/>
      <c r="M59" s="73"/>
      <c r="N59" s="68"/>
      <c r="O59" s="73">
        <v>5</v>
      </c>
      <c r="P59" s="68"/>
      <c r="Q59" s="73"/>
      <c r="R59" s="68"/>
      <c r="S59" s="73"/>
      <c r="T59" s="68"/>
      <c r="U59" s="73"/>
      <c r="V59" s="68"/>
    </row>
    <row r="60" spans="1:22" s="2" customFormat="1" ht="12.75">
      <c r="A60" s="87"/>
      <c r="B60" s="10" t="s">
        <v>27</v>
      </c>
      <c r="C60" s="84">
        <v>2</v>
      </c>
      <c r="D60" s="68">
        <v>2</v>
      </c>
      <c r="E60" s="84">
        <v>2</v>
      </c>
      <c r="F60" s="68">
        <v>2</v>
      </c>
      <c r="G60" s="84">
        <v>2</v>
      </c>
      <c r="H60" s="68">
        <v>2</v>
      </c>
      <c r="I60" s="73">
        <v>14</v>
      </c>
      <c r="J60" s="68">
        <v>14</v>
      </c>
      <c r="K60" s="73">
        <v>10</v>
      </c>
      <c r="L60" s="68">
        <v>10</v>
      </c>
      <c r="M60" s="73">
        <v>6</v>
      </c>
      <c r="N60" s="68">
        <v>6</v>
      </c>
      <c r="O60" s="73">
        <v>2</v>
      </c>
      <c r="P60" s="68">
        <v>2</v>
      </c>
      <c r="Q60" s="73">
        <v>2</v>
      </c>
      <c r="R60" s="68">
        <v>2</v>
      </c>
      <c r="S60" s="73">
        <v>1</v>
      </c>
      <c r="T60" s="68">
        <v>1</v>
      </c>
      <c r="U60" s="73">
        <v>1</v>
      </c>
      <c r="V60" s="68">
        <v>1</v>
      </c>
    </row>
    <row r="61" spans="1:22" s="2" customFormat="1" ht="12.75">
      <c r="A61" s="87"/>
      <c r="B61" s="10" t="s">
        <v>28</v>
      </c>
      <c r="C61" s="84">
        <v>558</v>
      </c>
      <c r="D61" s="68"/>
      <c r="E61" s="84">
        <v>396</v>
      </c>
      <c r="F61" s="68"/>
      <c r="G61" s="84">
        <v>4516</v>
      </c>
      <c r="H61" s="68"/>
      <c r="I61" s="73">
        <v>3672</v>
      </c>
      <c r="J61" s="68">
        <v>12</v>
      </c>
      <c r="K61" s="73">
        <v>2946</v>
      </c>
      <c r="L61" s="68"/>
      <c r="M61" s="73">
        <v>2280</v>
      </c>
      <c r="N61" s="68"/>
      <c r="O61" s="73">
        <v>3381</v>
      </c>
      <c r="P61" s="68"/>
      <c r="Q61" s="73">
        <v>2663</v>
      </c>
      <c r="R61" s="68"/>
      <c r="S61" s="73">
        <v>2829</v>
      </c>
      <c r="T61" s="68"/>
      <c r="U61" s="73">
        <v>3777</v>
      </c>
      <c r="V61" s="68"/>
    </row>
    <row r="62" spans="1:22" s="2" customFormat="1" ht="12.75">
      <c r="A62" s="87"/>
      <c r="B62" s="10" t="s">
        <v>29</v>
      </c>
      <c r="C62" s="84">
        <v>2868</v>
      </c>
      <c r="D62" s="68"/>
      <c r="E62" s="84">
        <v>2723</v>
      </c>
      <c r="F62" s="68"/>
      <c r="G62" s="84">
        <v>2374</v>
      </c>
      <c r="H62" s="68"/>
      <c r="I62" s="73">
        <v>1639</v>
      </c>
      <c r="J62" s="68"/>
      <c r="K62" s="73">
        <v>1353</v>
      </c>
      <c r="L62" s="68"/>
      <c r="M62" s="73">
        <v>2117</v>
      </c>
      <c r="N62" s="68"/>
      <c r="O62" s="73">
        <v>150</v>
      </c>
      <c r="P62" s="68"/>
      <c r="Q62" s="73">
        <v>35</v>
      </c>
      <c r="R62" s="68"/>
      <c r="S62" s="73">
        <v>27</v>
      </c>
      <c r="T62" s="68"/>
      <c r="U62" s="73">
        <v>2844</v>
      </c>
      <c r="V62" s="68"/>
    </row>
    <row r="63" spans="1:22" s="2" customFormat="1" ht="12.75">
      <c r="A63" s="87"/>
      <c r="B63" s="10" t="s">
        <v>34</v>
      </c>
      <c r="C63" s="84">
        <v>4403</v>
      </c>
      <c r="D63" s="68"/>
      <c r="E63" s="84">
        <v>5127</v>
      </c>
      <c r="F63" s="68"/>
      <c r="G63" s="84">
        <v>6177</v>
      </c>
      <c r="H63" s="68"/>
      <c r="I63" s="73">
        <v>6126</v>
      </c>
      <c r="J63" s="68"/>
      <c r="K63" s="73">
        <v>6266</v>
      </c>
      <c r="L63" s="68"/>
      <c r="M63" s="73">
        <v>8382</v>
      </c>
      <c r="N63" s="68"/>
      <c r="O63" s="73">
        <v>8325</v>
      </c>
      <c r="P63" s="68"/>
      <c r="Q63" s="73">
        <v>12218</v>
      </c>
      <c r="R63" s="68"/>
      <c r="S63" s="73">
        <v>3487</v>
      </c>
      <c r="T63" s="68"/>
      <c r="U63" s="73">
        <v>10626</v>
      </c>
      <c r="V63" s="68"/>
    </row>
    <row r="64" spans="1:22" s="2" customFormat="1" ht="12.75">
      <c r="A64" s="87"/>
      <c r="B64" s="10" t="s">
        <v>30</v>
      </c>
      <c r="C64" s="84">
        <v>15530</v>
      </c>
      <c r="D64" s="68"/>
      <c r="E64" s="84">
        <v>15530</v>
      </c>
      <c r="F64" s="68"/>
      <c r="G64" s="84">
        <v>15530</v>
      </c>
      <c r="H64" s="68"/>
      <c r="I64" s="73">
        <v>15530</v>
      </c>
      <c r="J64" s="68"/>
      <c r="K64" s="73">
        <v>15375</v>
      </c>
      <c r="L64" s="68"/>
      <c r="M64" s="73"/>
      <c r="N64" s="68"/>
      <c r="O64" s="73"/>
      <c r="P64" s="68"/>
      <c r="Q64" s="73"/>
      <c r="R64" s="68"/>
      <c r="S64" s="73"/>
      <c r="T64" s="68"/>
      <c r="U64" s="73">
        <v>15064</v>
      </c>
      <c r="V64" s="68"/>
    </row>
    <row r="65" spans="1:22" s="2" customFormat="1" ht="12.75">
      <c r="A65" s="87"/>
      <c r="B65" s="10" t="s">
        <v>31</v>
      </c>
      <c r="C65" s="84">
        <v>722</v>
      </c>
      <c r="D65" s="68"/>
      <c r="E65" s="84">
        <v>722</v>
      </c>
      <c r="F65" s="68"/>
      <c r="G65" s="84">
        <v>722</v>
      </c>
      <c r="H65" s="68"/>
      <c r="I65" s="73">
        <v>722</v>
      </c>
      <c r="J65" s="68"/>
      <c r="K65" s="73">
        <v>714</v>
      </c>
      <c r="L65" s="68"/>
      <c r="M65" s="73"/>
      <c r="N65" s="68"/>
      <c r="O65" s="73"/>
      <c r="P65" s="68"/>
      <c r="Q65" s="73"/>
      <c r="R65" s="68"/>
      <c r="S65" s="73"/>
      <c r="T65" s="68"/>
      <c r="U65" s="73">
        <v>700</v>
      </c>
      <c r="V65" s="68"/>
    </row>
    <row r="66" spans="1:22" s="2" customFormat="1" ht="12.75">
      <c r="A66" s="87"/>
      <c r="B66" s="10" t="s">
        <v>36</v>
      </c>
      <c r="C66" s="84">
        <v>2</v>
      </c>
      <c r="D66" s="68"/>
      <c r="E66" s="84">
        <v>2</v>
      </c>
      <c r="F66" s="68"/>
      <c r="G66" s="84">
        <v>3614</v>
      </c>
      <c r="H66" s="68"/>
      <c r="I66" s="73">
        <v>2</v>
      </c>
      <c r="J66" s="68"/>
      <c r="K66" s="73">
        <v>2</v>
      </c>
      <c r="L66" s="68"/>
      <c r="M66" s="73">
        <v>18</v>
      </c>
      <c r="N66" s="68">
        <v>18</v>
      </c>
      <c r="O66" s="73">
        <v>50</v>
      </c>
      <c r="P66" s="68"/>
      <c r="Q66" s="73">
        <v>27</v>
      </c>
      <c r="R66" s="68"/>
      <c r="S66" s="73"/>
      <c r="T66" s="68"/>
      <c r="U66" s="73"/>
      <c r="V66" s="68"/>
    </row>
    <row r="67" spans="1:22" s="2" customFormat="1" ht="12.75">
      <c r="A67" s="87"/>
      <c r="B67" s="10" t="s">
        <v>21</v>
      </c>
      <c r="C67" s="84">
        <v>493</v>
      </c>
      <c r="D67" s="68"/>
      <c r="E67" s="84">
        <v>442</v>
      </c>
      <c r="F67" s="68"/>
      <c r="G67" s="84">
        <v>194</v>
      </c>
      <c r="H67" s="68"/>
      <c r="I67" s="73">
        <v>235</v>
      </c>
      <c r="J67" s="68"/>
      <c r="K67" s="73">
        <v>261</v>
      </c>
      <c r="L67" s="68"/>
      <c r="M67" s="73">
        <v>551</v>
      </c>
      <c r="N67" s="68"/>
      <c r="O67" s="73">
        <v>559</v>
      </c>
      <c r="P67" s="68"/>
      <c r="Q67" s="73">
        <v>321</v>
      </c>
      <c r="R67" s="68"/>
      <c r="S67" s="73">
        <v>330</v>
      </c>
      <c r="T67" s="68"/>
      <c r="U67" s="73">
        <v>240</v>
      </c>
      <c r="V67" s="68"/>
    </row>
    <row r="68" spans="1:22" s="2" customFormat="1" ht="12.75">
      <c r="A68" s="87"/>
      <c r="B68" s="10" t="s">
        <v>60</v>
      </c>
      <c r="C68" s="84"/>
      <c r="D68" s="68"/>
      <c r="E68" s="84"/>
      <c r="F68" s="68"/>
      <c r="G68" s="84"/>
      <c r="H68" s="68"/>
      <c r="I68" s="73"/>
      <c r="J68" s="68"/>
      <c r="K68" s="73"/>
      <c r="L68" s="68"/>
      <c r="M68" s="73"/>
      <c r="N68" s="68"/>
      <c r="O68" s="73">
        <v>54</v>
      </c>
      <c r="P68" s="68"/>
      <c r="Q68" s="73">
        <v>11</v>
      </c>
      <c r="R68" s="68"/>
      <c r="S68" s="73">
        <v>10</v>
      </c>
      <c r="T68" s="68"/>
      <c r="U68" s="73">
        <v>3</v>
      </c>
      <c r="V68" s="68"/>
    </row>
    <row r="69" spans="1:22" s="2" customFormat="1" ht="12.75">
      <c r="A69" s="87"/>
      <c r="B69" s="35" t="s">
        <v>32</v>
      </c>
      <c r="C69" s="84">
        <v>1291</v>
      </c>
      <c r="D69" s="68"/>
      <c r="E69" s="84">
        <v>1291</v>
      </c>
      <c r="F69" s="68"/>
      <c r="G69" s="84">
        <v>1291</v>
      </c>
      <c r="H69" s="68"/>
      <c r="I69" s="73">
        <v>1291</v>
      </c>
      <c r="J69" s="68"/>
      <c r="K69" s="73">
        <v>430</v>
      </c>
      <c r="L69" s="68"/>
      <c r="M69" s="73"/>
      <c r="N69" s="68"/>
      <c r="O69" s="73"/>
      <c r="P69" s="68"/>
      <c r="Q69" s="73"/>
      <c r="R69" s="68"/>
      <c r="S69" s="73"/>
      <c r="T69" s="68"/>
      <c r="U69" s="73"/>
      <c r="V69" s="68"/>
    </row>
    <row r="70" spans="1:22" s="2" customFormat="1" ht="12.75">
      <c r="A70" s="87"/>
      <c r="B70" s="10" t="s">
        <v>33</v>
      </c>
      <c r="C70" s="84">
        <v>4724</v>
      </c>
      <c r="D70" s="68"/>
      <c r="E70" s="84">
        <v>6294</v>
      </c>
      <c r="F70" s="68"/>
      <c r="G70" s="84">
        <v>4693</v>
      </c>
      <c r="H70" s="68"/>
      <c r="I70" s="73">
        <v>5371</v>
      </c>
      <c r="J70" s="68"/>
      <c r="K70" s="73">
        <v>2853</v>
      </c>
      <c r="L70" s="68"/>
      <c r="M70" s="73">
        <v>4532</v>
      </c>
      <c r="N70" s="68"/>
      <c r="O70" s="73">
        <v>3832</v>
      </c>
      <c r="P70" s="68"/>
      <c r="Q70" s="73">
        <v>4617</v>
      </c>
      <c r="R70" s="68"/>
      <c r="S70" s="73">
        <v>2499</v>
      </c>
      <c r="T70" s="68"/>
      <c r="U70" s="73">
        <v>5445</v>
      </c>
      <c r="V70" s="68"/>
    </row>
    <row r="71" spans="1:22" s="2" customFormat="1" ht="12.75">
      <c r="A71" s="87"/>
      <c r="B71" s="10" t="s">
        <v>14</v>
      </c>
      <c r="C71" s="84">
        <v>1378</v>
      </c>
      <c r="D71" s="68"/>
      <c r="E71" s="84"/>
      <c r="F71" s="68"/>
      <c r="G71" s="84"/>
      <c r="H71" s="68"/>
      <c r="I71" s="73"/>
      <c r="J71" s="68"/>
      <c r="K71" s="73"/>
      <c r="L71" s="68"/>
      <c r="M71" s="73"/>
      <c r="N71" s="68"/>
      <c r="O71" s="73"/>
      <c r="P71" s="68"/>
      <c r="Q71" s="73"/>
      <c r="R71" s="68"/>
      <c r="S71" s="73"/>
      <c r="T71" s="68"/>
      <c r="U71" s="73"/>
      <c r="V71" s="68"/>
    </row>
    <row r="72" spans="1:22" s="2" customFormat="1" ht="12.75">
      <c r="A72" s="87"/>
      <c r="B72" s="35" t="s">
        <v>35</v>
      </c>
      <c r="C72" s="84">
        <v>3</v>
      </c>
      <c r="D72" s="68"/>
      <c r="E72" s="84">
        <v>3</v>
      </c>
      <c r="F72" s="68"/>
      <c r="G72" s="84">
        <v>1036</v>
      </c>
      <c r="H72" s="68"/>
      <c r="I72" s="73">
        <v>1036</v>
      </c>
      <c r="J72" s="68"/>
      <c r="K72" s="73">
        <v>12247</v>
      </c>
      <c r="L72" s="68"/>
      <c r="M72" s="73">
        <v>19199</v>
      </c>
      <c r="N72" s="68"/>
      <c r="O72" s="73">
        <v>14238</v>
      </c>
      <c r="P72" s="68"/>
      <c r="Q72" s="73">
        <v>9270</v>
      </c>
      <c r="R72" s="68"/>
      <c r="S72" s="73">
        <v>9676</v>
      </c>
      <c r="T72" s="68"/>
      <c r="U72" s="73">
        <v>5043</v>
      </c>
      <c r="V72" s="68"/>
    </row>
    <row r="73" spans="1:22" s="2" customFormat="1" ht="12.75">
      <c r="A73" s="87"/>
      <c r="B73" s="35" t="s">
        <v>53</v>
      </c>
      <c r="C73" s="84">
        <v>4868</v>
      </c>
      <c r="D73" s="68"/>
      <c r="E73" s="84">
        <v>4014</v>
      </c>
      <c r="F73" s="68"/>
      <c r="G73" s="84">
        <v>3779</v>
      </c>
      <c r="H73" s="68"/>
      <c r="I73" s="73">
        <v>3450</v>
      </c>
      <c r="J73" s="68"/>
      <c r="K73" s="73">
        <v>3306</v>
      </c>
      <c r="L73" s="68"/>
      <c r="M73" s="73">
        <v>3260</v>
      </c>
      <c r="N73" s="68"/>
      <c r="O73" s="73">
        <v>1585</v>
      </c>
      <c r="P73" s="68"/>
      <c r="Q73" s="73">
        <v>1500</v>
      </c>
      <c r="R73" s="68"/>
      <c r="S73" s="73">
        <v>1438</v>
      </c>
      <c r="T73" s="68"/>
      <c r="U73" s="73">
        <v>1419</v>
      </c>
      <c r="V73" s="68"/>
    </row>
    <row r="74" spans="1:22" s="2" customFormat="1" ht="12.75">
      <c r="A74" s="103"/>
      <c r="B74" s="57" t="s">
        <v>103</v>
      </c>
      <c r="C74" s="104"/>
      <c r="D74" s="75"/>
      <c r="E74" s="104"/>
      <c r="F74" s="75"/>
      <c r="G74" s="104"/>
      <c r="H74" s="75"/>
      <c r="I74" s="89"/>
      <c r="J74" s="75"/>
      <c r="K74" s="89"/>
      <c r="L74" s="75"/>
      <c r="M74" s="89"/>
      <c r="N74" s="75"/>
      <c r="O74" s="89">
        <v>2812</v>
      </c>
      <c r="P74" s="75"/>
      <c r="Q74" s="89">
        <v>1113</v>
      </c>
      <c r="R74" s="75"/>
      <c r="S74" s="89"/>
      <c r="T74" s="75"/>
      <c r="U74" s="89"/>
      <c r="V74" s="75"/>
    </row>
    <row r="75" spans="1:22" s="2" customFormat="1" ht="12.75">
      <c r="A75" s="77" t="s">
        <v>129</v>
      </c>
      <c r="B75" s="86"/>
      <c r="C75" s="33">
        <f>SUM(C76:C79)</f>
        <v>44</v>
      </c>
      <c r="D75" s="33">
        <f aca="true" t="shared" si="12" ref="D75:T75">SUM(D76:D79)</f>
        <v>44</v>
      </c>
      <c r="E75" s="33">
        <f t="shared" si="12"/>
        <v>49</v>
      </c>
      <c r="F75" s="33">
        <f t="shared" si="12"/>
        <v>49</v>
      </c>
      <c r="G75" s="33">
        <f t="shared" si="12"/>
        <v>81</v>
      </c>
      <c r="H75" s="33">
        <f t="shared" si="12"/>
        <v>81</v>
      </c>
      <c r="I75" s="33">
        <f t="shared" si="12"/>
        <v>202</v>
      </c>
      <c r="J75" s="33">
        <f t="shared" si="12"/>
        <v>202</v>
      </c>
      <c r="K75" s="33">
        <f t="shared" si="12"/>
        <v>21</v>
      </c>
      <c r="L75" s="33">
        <f t="shared" si="12"/>
        <v>21</v>
      </c>
      <c r="M75" s="33">
        <f t="shared" si="12"/>
        <v>20</v>
      </c>
      <c r="N75" s="33">
        <f t="shared" si="12"/>
        <v>20</v>
      </c>
      <c r="O75" s="33">
        <f t="shared" si="12"/>
        <v>23</v>
      </c>
      <c r="P75" s="33">
        <f t="shared" si="12"/>
        <v>23</v>
      </c>
      <c r="Q75" s="33">
        <f t="shared" si="12"/>
        <v>53</v>
      </c>
      <c r="R75" s="33">
        <f t="shared" si="12"/>
        <v>53</v>
      </c>
      <c r="S75" s="33">
        <f t="shared" si="12"/>
        <v>1</v>
      </c>
      <c r="T75" s="33">
        <f t="shared" si="12"/>
        <v>1</v>
      </c>
      <c r="U75" s="33">
        <f>SUM(U76:U79)</f>
        <v>10</v>
      </c>
      <c r="V75" s="33">
        <f>SUM(V76:V79)</f>
        <v>10</v>
      </c>
    </row>
    <row r="76" spans="1:22" s="2" customFormat="1" ht="12.75">
      <c r="A76" s="9"/>
      <c r="B76" s="34" t="s">
        <v>17</v>
      </c>
      <c r="C76" s="22">
        <v>44</v>
      </c>
      <c r="D76" s="20">
        <v>44</v>
      </c>
      <c r="E76" s="22">
        <v>25</v>
      </c>
      <c r="F76" s="20">
        <v>25</v>
      </c>
      <c r="G76" s="22">
        <v>81</v>
      </c>
      <c r="H76" s="20">
        <v>81</v>
      </c>
      <c r="I76" s="24">
        <v>195</v>
      </c>
      <c r="J76" s="74">
        <v>195</v>
      </c>
      <c r="K76" s="24">
        <v>20</v>
      </c>
      <c r="L76" s="74">
        <v>20</v>
      </c>
      <c r="M76" s="24">
        <v>20</v>
      </c>
      <c r="N76" s="74">
        <v>20</v>
      </c>
      <c r="O76" s="24">
        <v>20</v>
      </c>
      <c r="P76" s="74">
        <v>20</v>
      </c>
      <c r="Q76" s="24"/>
      <c r="R76" s="74"/>
      <c r="S76" s="24">
        <v>1</v>
      </c>
      <c r="T76" s="74">
        <v>1</v>
      </c>
      <c r="U76" s="24"/>
      <c r="V76" s="74"/>
    </row>
    <row r="77" spans="1:22" s="2" customFormat="1" ht="12.75">
      <c r="A77" s="9"/>
      <c r="B77" s="10" t="s">
        <v>36</v>
      </c>
      <c r="C77" s="22"/>
      <c r="D77" s="20"/>
      <c r="E77" s="22"/>
      <c r="F77" s="20"/>
      <c r="G77" s="22"/>
      <c r="H77" s="20"/>
      <c r="I77" s="24"/>
      <c r="J77" s="74"/>
      <c r="K77" s="24"/>
      <c r="L77" s="74"/>
      <c r="M77" s="24"/>
      <c r="N77" s="74"/>
      <c r="O77" s="24"/>
      <c r="P77" s="74"/>
      <c r="Q77" s="24"/>
      <c r="R77" s="74"/>
      <c r="S77" s="24"/>
      <c r="T77" s="74"/>
      <c r="U77" s="24">
        <v>10</v>
      </c>
      <c r="V77" s="74">
        <v>10</v>
      </c>
    </row>
    <row r="78" spans="1:22" s="2" customFormat="1" ht="12.75">
      <c r="A78" s="9"/>
      <c r="B78" s="35" t="s">
        <v>66</v>
      </c>
      <c r="C78" s="22"/>
      <c r="D78" s="20"/>
      <c r="E78" s="22">
        <v>24</v>
      </c>
      <c r="F78" s="20">
        <v>24</v>
      </c>
      <c r="G78" s="22"/>
      <c r="H78" s="20"/>
      <c r="I78" s="24">
        <v>7</v>
      </c>
      <c r="J78" s="22">
        <v>7</v>
      </c>
      <c r="K78" s="24">
        <v>1</v>
      </c>
      <c r="L78" s="22">
        <v>1</v>
      </c>
      <c r="M78" s="24"/>
      <c r="N78" s="22"/>
      <c r="O78" s="24">
        <v>3</v>
      </c>
      <c r="P78" s="22">
        <v>3</v>
      </c>
      <c r="Q78" s="24">
        <v>1</v>
      </c>
      <c r="R78" s="22">
        <v>1</v>
      </c>
      <c r="S78" s="24"/>
      <c r="T78" s="22"/>
      <c r="U78" s="24"/>
      <c r="V78" s="22"/>
    </row>
    <row r="79" spans="1:22" s="2" customFormat="1" ht="12.75">
      <c r="A79" s="9"/>
      <c r="B79" s="35" t="s">
        <v>72</v>
      </c>
      <c r="C79" s="22"/>
      <c r="D79" s="20"/>
      <c r="E79" s="22"/>
      <c r="F79" s="20"/>
      <c r="G79" s="22"/>
      <c r="H79" s="20"/>
      <c r="I79" s="24"/>
      <c r="J79" s="22"/>
      <c r="K79" s="24"/>
      <c r="L79" s="22"/>
      <c r="M79" s="24"/>
      <c r="N79" s="22"/>
      <c r="O79" s="24"/>
      <c r="P79" s="22"/>
      <c r="Q79" s="24">
        <v>52</v>
      </c>
      <c r="R79" s="22">
        <v>52</v>
      </c>
      <c r="S79" s="24"/>
      <c r="T79" s="22"/>
      <c r="U79" s="24"/>
      <c r="V79" s="22"/>
    </row>
    <row r="80" spans="1:22" s="2" customFormat="1" ht="12.75">
      <c r="A80" s="79" t="s">
        <v>130</v>
      </c>
      <c r="B80" s="96"/>
      <c r="C80" s="106">
        <f aca="true" t="shared" si="13" ref="C80:T80">+C81+C90+C103+C126+C137+C154+C167+C179+C188+C197+C206+C216+C221+C230</f>
        <v>283610</v>
      </c>
      <c r="D80" s="106">
        <f t="shared" si="13"/>
        <v>6903</v>
      </c>
      <c r="E80" s="106">
        <f t="shared" si="13"/>
        <v>283850</v>
      </c>
      <c r="F80" s="106">
        <f t="shared" si="13"/>
        <v>7436</v>
      </c>
      <c r="G80" s="106">
        <f t="shared" si="13"/>
        <v>302371</v>
      </c>
      <c r="H80" s="106">
        <f t="shared" si="13"/>
        <v>14415</v>
      </c>
      <c r="I80" s="106">
        <f t="shared" si="13"/>
        <v>297633</v>
      </c>
      <c r="J80" s="106">
        <f t="shared" si="13"/>
        <v>15138</v>
      </c>
      <c r="K80" s="106">
        <f t="shared" si="13"/>
        <v>323210</v>
      </c>
      <c r="L80" s="106">
        <f t="shared" si="13"/>
        <v>24630</v>
      </c>
      <c r="M80" s="106">
        <f t="shared" si="13"/>
        <v>334782</v>
      </c>
      <c r="N80" s="106">
        <f t="shared" si="13"/>
        <v>26238</v>
      </c>
      <c r="O80" s="106">
        <f t="shared" si="13"/>
        <v>355179</v>
      </c>
      <c r="P80" s="106">
        <f t="shared" si="13"/>
        <v>29068</v>
      </c>
      <c r="Q80" s="106">
        <f t="shared" si="13"/>
        <v>366319</v>
      </c>
      <c r="R80" s="106">
        <f t="shared" si="13"/>
        <v>32686</v>
      </c>
      <c r="S80" s="106">
        <f t="shared" si="13"/>
        <v>350899</v>
      </c>
      <c r="T80" s="106">
        <f t="shared" si="13"/>
        <v>18630</v>
      </c>
      <c r="U80" s="106">
        <f>+U81+U90+U103+U126+U137+U154+U167+U179+U188+U197+U206+U216+U221+U230</f>
        <v>388792</v>
      </c>
      <c r="V80" s="106">
        <f>+V81+V90+V103+V126+V137+V154+V167+V179+V188+V197+V206+V216+V221+V230</f>
        <v>26665</v>
      </c>
    </row>
    <row r="81" spans="1:22" s="2" customFormat="1" ht="12.75">
      <c r="A81" s="77" t="s">
        <v>100</v>
      </c>
      <c r="B81" s="78"/>
      <c r="C81" s="33">
        <f>SUM(C82:C89)</f>
        <v>513</v>
      </c>
      <c r="D81" s="33">
        <f aca="true" t="shared" si="14" ref="D81:P81">SUM(D82:D89)</f>
        <v>104</v>
      </c>
      <c r="E81" s="33">
        <f t="shared" si="14"/>
        <v>1248</v>
      </c>
      <c r="F81" s="33">
        <f t="shared" si="14"/>
        <v>239</v>
      </c>
      <c r="G81" s="33">
        <f t="shared" si="14"/>
        <v>879</v>
      </c>
      <c r="H81" s="33">
        <f t="shared" si="14"/>
        <v>166</v>
      </c>
      <c r="I81" s="33">
        <f t="shared" si="14"/>
        <v>2560</v>
      </c>
      <c r="J81" s="33">
        <f t="shared" si="14"/>
        <v>1789</v>
      </c>
      <c r="K81" s="33">
        <f t="shared" si="14"/>
        <v>1801</v>
      </c>
      <c r="L81" s="33">
        <f t="shared" si="14"/>
        <v>1134</v>
      </c>
      <c r="M81" s="33">
        <f t="shared" si="14"/>
        <v>1907</v>
      </c>
      <c r="N81" s="33">
        <f t="shared" si="14"/>
        <v>1693</v>
      </c>
      <c r="O81" s="33">
        <f t="shared" si="14"/>
        <v>827</v>
      </c>
      <c r="P81" s="33">
        <f t="shared" si="14"/>
        <v>407</v>
      </c>
      <c r="Q81" s="33">
        <f>SUM(Q82:Q89)</f>
        <v>601</v>
      </c>
      <c r="R81" s="33">
        <f>SUM(R82:R89)</f>
        <v>223</v>
      </c>
      <c r="S81" s="33">
        <f>SUM(S82:S89)</f>
        <v>1162</v>
      </c>
      <c r="T81" s="33">
        <f>SUM(T82:T89)</f>
        <v>628</v>
      </c>
      <c r="U81" s="33">
        <f>SUM(U82:U89)</f>
        <v>1503</v>
      </c>
      <c r="V81" s="33">
        <f>SUM(V82:V89)</f>
        <v>154</v>
      </c>
    </row>
    <row r="82" spans="1:22" s="2" customFormat="1" ht="12.75">
      <c r="A82" s="52"/>
      <c r="B82" s="35" t="s">
        <v>32</v>
      </c>
      <c r="C82" s="22"/>
      <c r="D82" s="51"/>
      <c r="E82" s="22"/>
      <c r="F82" s="51"/>
      <c r="G82" s="22"/>
      <c r="H82" s="51"/>
      <c r="I82" s="37">
        <v>207</v>
      </c>
      <c r="J82" s="68"/>
      <c r="K82" s="37">
        <v>207</v>
      </c>
      <c r="L82" s="68"/>
      <c r="M82" s="37"/>
      <c r="N82" s="68"/>
      <c r="O82" s="37"/>
      <c r="P82" s="68"/>
      <c r="Q82" s="37"/>
      <c r="R82" s="68"/>
      <c r="S82" s="37">
        <v>284</v>
      </c>
      <c r="T82" s="68">
        <v>284</v>
      </c>
      <c r="U82" s="37">
        <f>1100+100</f>
        <v>1200</v>
      </c>
      <c r="V82" s="68">
        <v>100</v>
      </c>
    </row>
    <row r="83" spans="1:22" s="2" customFormat="1" ht="12.75">
      <c r="A83" s="52"/>
      <c r="B83" s="35" t="s">
        <v>72</v>
      </c>
      <c r="C83" s="22"/>
      <c r="D83" s="51"/>
      <c r="E83" s="22"/>
      <c r="F83" s="51"/>
      <c r="G83" s="22"/>
      <c r="H83" s="51"/>
      <c r="I83" s="37"/>
      <c r="J83" s="68"/>
      <c r="K83" s="37"/>
      <c r="L83" s="68"/>
      <c r="M83" s="37"/>
      <c r="N83" s="68"/>
      <c r="O83" s="37"/>
      <c r="P83" s="68"/>
      <c r="Q83" s="37"/>
      <c r="R83" s="68"/>
      <c r="S83" s="37">
        <v>17</v>
      </c>
      <c r="T83" s="68">
        <v>17</v>
      </c>
      <c r="U83" s="37"/>
      <c r="V83" s="68"/>
    </row>
    <row r="84" spans="1:22" s="2" customFormat="1" ht="12.75">
      <c r="A84" s="52"/>
      <c r="B84" s="10" t="s">
        <v>24</v>
      </c>
      <c r="C84" s="22">
        <f>18+64+82</f>
        <v>164</v>
      </c>
      <c r="D84" s="20">
        <v>82</v>
      </c>
      <c r="E84" s="22">
        <f>153+79+172</f>
        <v>404</v>
      </c>
      <c r="F84" s="20">
        <v>172</v>
      </c>
      <c r="G84" s="22">
        <f>546+56+166</f>
        <v>768</v>
      </c>
      <c r="H84" s="20">
        <v>166</v>
      </c>
      <c r="I84" s="22">
        <f>508+56+77</f>
        <v>641</v>
      </c>
      <c r="J84" s="20">
        <v>77</v>
      </c>
      <c r="K84" s="22">
        <f>155+28+146</f>
        <v>329</v>
      </c>
      <c r="L84" s="20">
        <v>146</v>
      </c>
      <c r="M84" s="22">
        <f>163+134</f>
        <v>297</v>
      </c>
      <c r="N84" s="20">
        <v>134</v>
      </c>
      <c r="O84" s="22">
        <f>283+326</f>
        <v>609</v>
      </c>
      <c r="P84" s="20">
        <v>326</v>
      </c>
      <c r="Q84" s="22">
        <f>325+221</f>
        <v>546</v>
      </c>
      <c r="R84" s="20">
        <v>221</v>
      </c>
      <c r="S84" s="22">
        <f>534+112</f>
        <v>646</v>
      </c>
      <c r="T84" s="20">
        <v>112</v>
      </c>
      <c r="U84" s="22">
        <f>249+54</f>
        <v>303</v>
      </c>
      <c r="V84" s="20">
        <v>54</v>
      </c>
    </row>
    <row r="85" spans="1:22" s="2" customFormat="1" ht="12.75">
      <c r="A85" s="52"/>
      <c r="B85" s="34" t="s">
        <v>19</v>
      </c>
      <c r="C85" s="22"/>
      <c r="D85" s="20"/>
      <c r="E85" s="22"/>
      <c r="F85" s="20"/>
      <c r="G85" s="22"/>
      <c r="H85" s="20"/>
      <c r="I85" s="22"/>
      <c r="J85" s="74"/>
      <c r="K85" s="22">
        <v>32</v>
      </c>
      <c r="L85" s="74"/>
      <c r="M85" s="22">
        <v>51</v>
      </c>
      <c r="N85" s="74"/>
      <c r="O85" s="22">
        <v>29</v>
      </c>
      <c r="P85" s="74"/>
      <c r="Q85" s="22"/>
      <c r="R85" s="74"/>
      <c r="S85" s="22"/>
      <c r="T85" s="74"/>
      <c r="U85" s="22"/>
      <c r="V85" s="74"/>
    </row>
    <row r="86" spans="1:22" s="2" customFormat="1" ht="12.75">
      <c r="A86" s="52"/>
      <c r="B86" s="35" t="s">
        <v>35</v>
      </c>
      <c r="C86" s="22">
        <v>2</v>
      </c>
      <c r="D86" s="20"/>
      <c r="E86" s="22">
        <v>2</v>
      </c>
      <c r="F86" s="20"/>
      <c r="G86" s="22"/>
      <c r="H86" s="20"/>
      <c r="I86" s="22"/>
      <c r="J86" s="20"/>
      <c r="K86" s="22"/>
      <c r="L86" s="20"/>
      <c r="M86" s="22"/>
      <c r="N86" s="20"/>
      <c r="O86" s="22"/>
      <c r="P86" s="20"/>
      <c r="Q86" s="22"/>
      <c r="R86" s="20"/>
      <c r="S86" s="22"/>
      <c r="T86" s="20"/>
      <c r="U86" s="22"/>
      <c r="V86" s="20"/>
    </row>
    <row r="87" spans="1:22" s="2" customFormat="1" ht="12.75">
      <c r="A87" s="52"/>
      <c r="B87" s="35" t="s">
        <v>111</v>
      </c>
      <c r="C87" s="22"/>
      <c r="D87" s="20"/>
      <c r="E87" s="22"/>
      <c r="F87" s="20"/>
      <c r="G87" s="22"/>
      <c r="H87" s="20"/>
      <c r="I87" s="22"/>
      <c r="J87" s="20"/>
      <c r="K87" s="22"/>
      <c r="L87" s="20"/>
      <c r="M87" s="22"/>
      <c r="N87" s="20"/>
      <c r="O87" s="22"/>
      <c r="P87" s="20"/>
      <c r="Q87" s="22">
        <v>2</v>
      </c>
      <c r="R87" s="20">
        <v>2</v>
      </c>
      <c r="S87" s="22">
        <v>206</v>
      </c>
      <c r="T87" s="20">
        <v>206</v>
      </c>
      <c r="U87" s="22"/>
      <c r="V87" s="20"/>
    </row>
    <row r="88" spans="1:22" s="2" customFormat="1" ht="12.75">
      <c r="A88" s="52"/>
      <c r="B88" s="35" t="s">
        <v>14</v>
      </c>
      <c r="C88" s="22">
        <v>56</v>
      </c>
      <c r="D88" s="20"/>
      <c r="E88" s="22"/>
      <c r="F88" s="20"/>
      <c r="G88" s="22">
        <v>111</v>
      </c>
      <c r="H88" s="20"/>
      <c r="I88" s="22">
        <v>117</v>
      </c>
      <c r="J88" s="74">
        <v>117</v>
      </c>
      <c r="K88" s="22"/>
      <c r="L88" s="74"/>
      <c r="M88" s="22"/>
      <c r="N88" s="74"/>
      <c r="O88" s="22">
        <f>108+81</f>
        <v>189</v>
      </c>
      <c r="P88" s="74">
        <v>81</v>
      </c>
      <c r="Q88" s="22">
        <v>53</v>
      </c>
      <c r="R88" s="74"/>
      <c r="S88" s="22">
        <v>9</v>
      </c>
      <c r="T88" s="74">
        <v>9</v>
      </c>
      <c r="U88" s="22"/>
      <c r="V88" s="74"/>
    </row>
    <row r="89" spans="1:22" s="2" customFormat="1" ht="12.75">
      <c r="A89" s="56"/>
      <c r="B89" s="57" t="s">
        <v>64</v>
      </c>
      <c r="C89" s="23">
        <f>269+22</f>
        <v>291</v>
      </c>
      <c r="D89" s="21">
        <v>22</v>
      </c>
      <c r="E89" s="23">
        <f>775+67</f>
        <v>842</v>
      </c>
      <c r="F89" s="21">
        <v>67</v>
      </c>
      <c r="G89" s="23"/>
      <c r="H89" s="21"/>
      <c r="I89" s="23">
        <v>1595</v>
      </c>
      <c r="J89" s="94">
        <v>1595</v>
      </c>
      <c r="K89" s="23">
        <f>245+988</f>
        <v>1233</v>
      </c>
      <c r="L89" s="94">
        <v>988</v>
      </c>
      <c r="M89" s="23">
        <v>1559</v>
      </c>
      <c r="N89" s="94">
        <v>1559</v>
      </c>
      <c r="O89" s="23"/>
      <c r="P89" s="94"/>
      <c r="Q89" s="23"/>
      <c r="R89" s="94"/>
      <c r="S89" s="23"/>
      <c r="T89" s="94"/>
      <c r="U89" s="23"/>
      <c r="V89" s="94"/>
    </row>
    <row r="90" spans="1:22" s="2" customFormat="1" ht="12.75">
      <c r="A90" s="77" t="s">
        <v>99</v>
      </c>
      <c r="B90" s="86"/>
      <c r="C90" s="33">
        <f>SUM(C91:C102)</f>
        <v>12456</v>
      </c>
      <c r="D90" s="33">
        <f aca="true" t="shared" si="15" ref="D90:P90">SUM(D91:D102)</f>
        <v>40</v>
      </c>
      <c r="E90" s="33">
        <f t="shared" si="15"/>
        <v>13309</v>
      </c>
      <c r="F90" s="33">
        <f t="shared" si="15"/>
        <v>22</v>
      </c>
      <c r="G90" s="33">
        <f t="shared" si="15"/>
        <v>14531</v>
      </c>
      <c r="H90" s="33">
        <f t="shared" si="15"/>
        <v>5</v>
      </c>
      <c r="I90" s="33">
        <f t="shared" si="15"/>
        <v>13736</v>
      </c>
      <c r="J90" s="33">
        <f t="shared" si="15"/>
        <v>0</v>
      </c>
      <c r="K90" s="33">
        <f t="shared" si="15"/>
        <v>15608</v>
      </c>
      <c r="L90" s="33">
        <f t="shared" si="15"/>
        <v>0</v>
      </c>
      <c r="M90" s="33">
        <f t="shared" si="15"/>
        <v>18407</v>
      </c>
      <c r="N90" s="33">
        <f t="shared" si="15"/>
        <v>5</v>
      </c>
      <c r="O90" s="33">
        <f t="shared" si="15"/>
        <v>25805</v>
      </c>
      <c r="P90" s="33">
        <f t="shared" si="15"/>
        <v>1</v>
      </c>
      <c r="Q90" s="33">
        <f>SUM(Q91:Q102)</f>
        <v>30485</v>
      </c>
      <c r="R90" s="33">
        <f>SUM(R91:R102)</f>
        <v>7</v>
      </c>
      <c r="S90" s="33">
        <f>SUM(S91:S102)</f>
        <v>44489</v>
      </c>
      <c r="T90" s="33">
        <f>SUM(T91:T102)</f>
        <v>0</v>
      </c>
      <c r="U90" s="33">
        <f>SUM(U91:U102)</f>
        <v>50109</v>
      </c>
      <c r="V90" s="33">
        <f>SUM(V91:V102)</f>
        <v>80</v>
      </c>
    </row>
    <row r="91" spans="1:22" s="2" customFormat="1" ht="12.75">
      <c r="A91" s="63"/>
      <c r="B91" s="35" t="s">
        <v>36</v>
      </c>
      <c r="C91" s="22">
        <v>52</v>
      </c>
      <c r="D91" s="20"/>
      <c r="E91" s="22">
        <v>2</v>
      </c>
      <c r="F91" s="20"/>
      <c r="G91" s="22">
        <v>17</v>
      </c>
      <c r="H91" s="20"/>
      <c r="I91" s="22">
        <v>31</v>
      </c>
      <c r="J91" s="20"/>
      <c r="K91" s="22">
        <v>8</v>
      </c>
      <c r="L91" s="20"/>
      <c r="M91" s="22">
        <v>3</v>
      </c>
      <c r="N91" s="20"/>
      <c r="O91" s="22"/>
      <c r="P91" s="20"/>
      <c r="Q91" s="22">
        <v>8</v>
      </c>
      <c r="R91" s="20"/>
      <c r="S91" s="22">
        <v>3</v>
      </c>
      <c r="T91" s="20"/>
      <c r="U91" s="22">
        <v>19</v>
      </c>
      <c r="V91" s="20">
        <v>19</v>
      </c>
    </row>
    <row r="92" spans="1:22" s="2" customFormat="1" ht="12.75">
      <c r="A92" s="63"/>
      <c r="B92" s="34" t="s">
        <v>17</v>
      </c>
      <c r="C92" s="22"/>
      <c r="D92" s="20"/>
      <c r="E92" s="22"/>
      <c r="F92" s="20"/>
      <c r="G92" s="22"/>
      <c r="H92" s="20"/>
      <c r="I92" s="22"/>
      <c r="J92" s="20"/>
      <c r="K92" s="22"/>
      <c r="L92" s="20"/>
      <c r="M92" s="22"/>
      <c r="N92" s="20"/>
      <c r="O92" s="22"/>
      <c r="P92" s="20"/>
      <c r="Q92" s="22"/>
      <c r="R92" s="20"/>
      <c r="S92" s="22"/>
      <c r="T92" s="20"/>
      <c r="U92" s="22">
        <v>51</v>
      </c>
      <c r="V92" s="20">
        <v>51</v>
      </c>
    </row>
    <row r="93" spans="1:22" s="2" customFormat="1" ht="12.75">
      <c r="A93" s="63"/>
      <c r="B93" s="35" t="s">
        <v>72</v>
      </c>
      <c r="C93" s="22"/>
      <c r="D93" s="20"/>
      <c r="E93" s="22"/>
      <c r="F93" s="20"/>
      <c r="G93" s="22"/>
      <c r="H93" s="20"/>
      <c r="I93" s="22"/>
      <c r="J93" s="20"/>
      <c r="K93" s="22"/>
      <c r="L93" s="20"/>
      <c r="M93" s="22"/>
      <c r="N93" s="20"/>
      <c r="O93" s="22"/>
      <c r="P93" s="20"/>
      <c r="Q93" s="22"/>
      <c r="R93" s="20"/>
      <c r="S93" s="22"/>
      <c r="T93" s="20"/>
      <c r="U93" s="22">
        <f>10+4</f>
        <v>14</v>
      </c>
      <c r="V93" s="20">
        <v>10</v>
      </c>
    </row>
    <row r="94" spans="1:22" s="2" customFormat="1" ht="12.75">
      <c r="A94" s="15"/>
      <c r="B94" s="10" t="s">
        <v>28</v>
      </c>
      <c r="C94" s="22">
        <v>12</v>
      </c>
      <c r="D94" s="20"/>
      <c r="E94" s="22">
        <v>7</v>
      </c>
      <c r="F94" s="20"/>
      <c r="G94" s="22">
        <v>4</v>
      </c>
      <c r="H94" s="20"/>
      <c r="I94" s="22">
        <v>2</v>
      </c>
      <c r="J94" s="20"/>
      <c r="K94" s="22">
        <v>3</v>
      </c>
      <c r="L94" s="20"/>
      <c r="M94" s="22">
        <v>14</v>
      </c>
      <c r="N94" s="20"/>
      <c r="O94" s="22">
        <v>1</v>
      </c>
      <c r="P94" s="20"/>
      <c r="Q94" s="22"/>
      <c r="R94" s="20"/>
      <c r="S94" s="22"/>
      <c r="T94" s="20"/>
      <c r="U94" s="22"/>
      <c r="V94" s="20"/>
    </row>
    <row r="95" spans="1:22" s="2" customFormat="1" ht="12.75">
      <c r="A95" s="15"/>
      <c r="B95" s="10" t="s">
        <v>65</v>
      </c>
      <c r="C95" s="22">
        <v>1029</v>
      </c>
      <c r="D95" s="20"/>
      <c r="E95" s="22">
        <v>1229</v>
      </c>
      <c r="F95" s="20"/>
      <c r="G95" s="22">
        <v>1515</v>
      </c>
      <c r="H95" s="20"/>
      <c r="I95" s="22">
        <v>1298</v>
      </c>
      <c r="J95" s="20"/>
      <c r="K95" s="22">
        <v>1286</v>
      </c>
      <c r="L95" s="20"/>
      <c r="M95" s="22">
        <v>1693</v>
      </c>
      <c r="N95" s="20"/>
      <c r="O95" s="22">
        <v>2554</v>
      </c>
      <c r="P95" s="20"/>
      <c r="Q95" s="22">
        <v>3008</v>
      </c>
      <c r="R95" s="20"/>
      <c r="S95" s="22">
        <v>5539</v>
      </c>
      <c r="T95" s="20"/>
      <c r="U95" s="22">
        <v>4266</v>
      </c>
      <c r="V95" s="20"/>
    </row>
    <row r="96" spans="1:22" s="2" customFormat="1" ht="12.75">
      <c r="A96" s="15"/>
      <c r="B96" s="35" t="s">
        <v>82</v>
      </c>
      <c r="C96" s="22">
        <v>879</v>
      </c>
      <c r="D96" s="20"/>
      <c r="E96" s="22">
        <v>823</v>
      </c>
      <c r="F96" s="20"/>
      <c r="G96" s="22">
        <v>989</v>
      </c>
      <c r="H96" s="20"/>
      <c r="I96" s="22">
        <v>1486</v>
      </c>
      <c r="J96" s="20"/>
      <c r="K96" s="22">
        <v>1233</v>
      </c>
      <c r="L96" s="20"/>
      <c r="M96" s="22">
        <v>1486</v>
      </c>
      <c r="N96" s="20"/>
      <c r="O96" s="22">
        <v>1475</v>
      </c>
      <c r="P96" s="74"/>
      <c r="Q96" s="22">
        <v>1564</v>
      </c>
      <c r="R96" s="74"/>
      <c r="S96" s="22">
        <v>1441</v>
      </c>
      <c r="T96" s="74"/>
      <c r="U96" s="22">
        <v>1566</v>
      </c>
      <c r="V96" s="74"/>
    </row>
    <row r="97" spans="1:22" s="2" customFormat="1" ht="12.75">
      <c r="A97" s="15"/>
      <c r="B97" s="10" t="s">
        <v>18</v>
      </c>
      <c r="C97" s="22">
        <v>30</v>
      </c>
      <c r="D97" s="20"/>
      <c r="E97" s="22">
        <v>57</v>
      </c>
      <c r="F97" s="20"/>
      <c r="G97" s="22">
        <v>98</v>
      </c>
      <c r="H97" s="20"/>
      <c r="I97" s="22">
        <v>126</v>
      </c>
      <c r="J97" s="20"/>
      <c r="K97" s="22">
        <v>99</v>
      </c>
      <c r="L97" s="20"/>
      <c r="M97" s="22">
        <v>72</v>
      </c>
      <c r="N97" s="20"/>
      <c r="O97" s="22">
        <v>73</v>
      </c>
      <c r="P97" s="20"/>
      <c r="Q97" s="22">
        <v>66</v>
      </c>
      <c r="R97" s="20"/>
      <c r="S97" s="22">
        <v>75</v>
      </c>
      <c r="T97" s="20"/>
      <c r="U97" s="22">
        <v>74</v>
      </c>
      <c r="V97" s="20"/>
    </row>
    <row r="98" spans="1:22" s="2" customFormat="1" ht="12.75">
      <c r="A98" s="15"/>
      <c r="B98" s="6" t="s">
        <v>67</v>
      </c>
      <c r="C98" s="22">
        <v>40</v>
      </c>
      <c r="D98" s="20">
        <v>40</v>
      </c>
      <c r="E98" s="22">
        <v>22</v>
      </c>
      <c r="F98" s="20">
        <v>22</v>
      </c>
      <c r="G98" s="22">
        <v>5</v>
      </c>
      <c r="H98" s="20">
        <v>5</v>
      </c>
      <c r="I98" s="22">
        <v>0</v>
      </c>
      <c r="J98" s="20"/>
      <c r="K98" s="22"/>
      <c r="L98" s="20"/>
      <c r="M98" s="22">
        <v>5</v>
      </c>
      <c r="N98" s="20">
        <v>5</v>
      </c>
      <c r="O98" s="22">
        <v>1</v>
      </c>
      <c r="P98" s="20">
        <v>1</v>
      </c>
      <c r="Q98" s="22">
        <v>7</v>
      </c>
      <c r="R98" s="20">
        <v>7</v>
      </c>
      <c r="S98" s="22"/>
      <c r="T98" s="20"/>
      <c r="U98" s="22"/>
      <c r="V98" s="20"/>
    </row>
    <row r="99" spans="1:22" s="2" customFormat="1" ht="12.75">
      <c r="A99" s="15"/>
      <c r="B99" s="10" t="s">
        <v>79</v>
      </c>
      <c r="C99" s="22">
        <v>10414</v>
      </c>
      <c r="D99" s="20"/>
      <c r="E99" s="22">
        <v>11169</v>
      </c>
      <c r="F99" s="20"/>
      <c r="G99" s="22">
        <v>11903</v>
      </c>
      <c r="H99" s="20"/>
      <c r="I99" s="22"/>
      <c r="J99" s="20"/>
      <c r="K99" s="22"/>
      <c r="L99" s="20"/>
      <c r="M99" s="22"/>
      <c r="N99" s="20"/>
      <c r="O99" s="22"/>
      <c r="P99" s="20"/>
      <c r="Q99" s="22"/>
      <c r="R99" s="20"/>
      <c r="S99" s="22"/>
      <c r="T99" s="20"/>
      <c r="U99" s="22"/>
      <c r="V99" s="20"/>
    </row>
    <row r="100" spans="1:22" s="2" customFormat="1" ht="12.75">
      <c r="A100" s="49"/>
      <c r="B100" s="10" t="s">
        <v>80</v>
      </c>
      <c r="C100" s="22"/>
      <c r="D100" s="51"/>
      <c r="E100" s="22"/>
      <c r="F100" s="51"/>
      <c r="G100" s="22"/>
      <c r="H100" s="51"/>
      <c r="I100" s="37">
        <v>9883</v>
      </c>
      <c r="J100" s="51"/>
      <c r="K100" s="37">
        <v>11265</v>
      </c>
      <c r="L100" s="51"/>
      <c r="M100" s="37">
        <v>13729</v>
      </c>
      <c r="N100" s="51"/>
      <c r="O100" s="37">
        <v>19527</v>
      </c>
      <c r="P100" s="51"/>
      <c r="Q100" s="37">
        <v>20450</v>
      </c>
      <c r="R100" s="51"/>
      <c r="S100" s="37">
        <v>26195</v>
      </c>
      <c r="T100" s="51"/>
      <c r="U100" s="37">
        <v>31656</v>
      </c>
      <c r="V100" s="51"/>
    </row>
    <row r="101" spans="1:22" s="2" customFormat="1" ht="12.75">
      <c r="A101" s="15"/>
      <c r="B101" s="10" t="s">
        <v>81</v>
      </c>
      <c r="C101" s="22"/>
      <c r="D101" s="20"/>
      <c r="E101" s="22"/>
      <c r="F101" s="20"/>
      <c r="G101" s="22"/>
      <c r="H101" s="20"/>
      <c r="I101" s="22">
        <v>910</v>
      </c>
      <c r="J101" s="20"/>
      <c r="K101" s="22">
        <v>1713</v>
      </c>
      <c r="L101" s="20"/>
      <c r="M101" s="22">
        <v>1405</v>
      </c>
      <c r="N101" s="20"/>
      <c r="O101" s="22">
        <v>2174</v>
      </c>
      <c r="P101" s="20"/>
      <c r="Q101" s="22">
        <v>5382</v>
      </c>
      <c r="R101" s="20"/>
      <c r="S101" s="22">
        <v>11236</v>
      </c>
      <c r="T101" s="20"/>
      <c r="U101" s="22">
        <v>12463</v>
      </c>
      <c r="V101" s="20"/>
    </row>
    <row r="102" spans="1:22" s="2" customFormat="1" ht="12.75">
      <c r="A102" s="99"/>
      <c r="B102" s="16" t="s">
        <v>83</v>
      </c>
      <c r="C102" s="23"/>
      <c r="D102" s="58"/>
      <c r="E102" s="23"/>
      <c r="F102" s="58"/>
      <c r="G102" s="23"/>
      <c r="H102" s="58"/>
      <c r="I102" s="38"/>
      <c r="J102" s="58"/>
      <c r="K102" s="38">
        <v>1</v>
      </c>
      <c r="L102" s="58"/>
      <c r="M102" s="38"/>
      <c r="N102" s="58"/>
      <c r="O102" s="38"/>
      <c r="P102" s="58"/>
      <c r="Q102" s="38"/>
      <c r="R102" s="58"/>
      <c r="S102" s="38"/>
      <c r="T102" s="58"/>
      <c r="U102" s="38"/>
      <c r="V102" s="58"/>
    </row>
    <row r="103" spans="1:22" s="2" customFormat="1" ht="12.75">
      <c r="A103" s="77" t="s">
        <v>12</v>
      </c>
      <c r="B103" s="86"/>
      <c r="C103" s="33">
        <f>SUM(C104:C125)</f>
        <v>217059</v>
      </c>
      <c r="D103" s="33">
        <f aca="true" t="shared" si="16" ref="D103:P103">SUM(D104:D125)</f>
        <v>0</v>
      </c>
      <c r="E103" s="33">
        <f t="shared" si="16"/>
        <v>216716</v>
      </c>
      <c r="F103" s="33">
        <f t="shared" si="16"/>
        <v>0</v>
      </c>
      <c r="G103" s="33">
        <f t="shared" si="16"/>
        <v>226913</v>
      </c>
      <c r="H103" s="33">
        <f t="shared" si="16"/>
        <v>1</v>
      </c>
      <c r="I103" s="33">
        <f t="shared" si="16"/>
        <v>212885</v>
      </c>
      <c r="J103" s="33">
        <f t="shared" si="16"/>
        <v>0</v>
      </c>
      <c r="K103" s="33">
        <f t="shared" si="16"/>
        <v>230379</v>
      </c>
      <c r="L103" s="33">
        <f t="shared" si="16"/>
        <v>2</v>
      </c>
      <c r="M103" s="33">
        <f t="shared" si="16"/>
        <v>243739</v>
      </c>
      <c r="N103" s="33">
        <f t="shared" si="16"/>
        <v>1</v>
      </c>
      <c r="O103" s="33">
        <f t="shared" si="16"/>
        <v>251898</v>
      </c>
      <c r="P103" s="33">
        <f t="shared" si="16"/>
        <v>0</v>
      </c>
      <c r="Q103" s="33">
        <f>SUM(Q104:Q125)</f>
        <v>253571</v>
      </c>
      <c r="R103" s="33">
        <f>SUM(R104:R125)</f>
        <v>7</v>
      </c>
      <c r="S103" s="33">
        <f>SUM(S104:S125)</f>
        <v>252788</v>
      </c>
      <c r="T103" s="33">
        <f>SUM(T104:T125)</f>
        <v>5</v>
      </c>
      <c r="U103" s="33">
        <f>SUM(U104:U125)</f>
        <v>276804</v>
      </c>
      <c r="V103" s="33">
        <f>SUM(V104:V125)</f>
        <v>13</v>
      </c>
    </row>
    <row r="104" spans="1:22" s="2" customFormat="1" ht="12.75">
      <c r="A104" s="87"/>
      <c r="B104" s="35" t="s">
        <v>37</v>
      </c>
      <c r="C104" s="84"/>
      <c r="D104" s="68"/>
      <c r="E104" s="84">
        <v>134</v>
      </c>
      <c r="F104" s="68"/>
      <c r="G104" s="84">
        <v>207</v>
      </c>
      <c r="H104" s="68"/>
      <c r="I104" s="73">
        <v>142</v>
      </c>
      <c r="J104" s="68"/>
      <c r="K104" s="73">
        <v>48</v>
      </c>
      <c r="L104" s="68"/>
      <c r="M104" s="73">
        <v>39</v>
      </c>
      <c r="N104" s="68"/>
      <c r="O104" s="73">
        <v>29</v>
      </c>
      <c r="P104" s="68"/>
      <c r="Q104" s="73">
        <v>32</v>
      </c>
      <c r="R104" s="68"/>
      <c r="S104" s="73">
        <v>45</v>
      </c>
      <c r="T104" s="68"/>
      <c r="U104" s="73">
        <v>13</v>
      </c>
      <c r="V104" s="68"/>
    </row>
    <row r="105" spans="1:22" s="2" customFormat="1" ht="12.75">
      <c r="A105" s="87"/>
      <c r="B105" s="35" t="s">
        <v>38</v>
      </c>
      <c r="C105" s="84">
        <v>132574</v>
      </c>
      <c r="D105" s="68"/>
      <c r="E105" s="84">
        <v>132161</v>
      </c>
      <c r="F105" s="68"/>
      <c r="G105" s="84">
        <v>131568</v>
      </c>
      <c r="H105" s="68"/>
      <c r="I105" s="73">
        <v>130819</v>
      </c>
      <c r="J105" s="68"/>
      <c r="K105" s="73">
        <v>130982</v>
      </c>
      <c r="L105" s="68"/>
      <c r="M105" s="73">
        <v>131250</v>
      </c>
      <c r="N105" s="68"/>
      <c r="O105" s="73">
        <v>131700</v>
      </c>
      <c r="P105" s="68"/>
      <c r="Q105" s="73">
        <v>131519</v>
      </c>
      <c r="R105" s="68"/>
      <c r="S105" s="73">
        <v>132773</v>
      </c>
      <c r="T105" s="68"/>
      <c r="U105" s="73">
        <v>138601</v>
      </c>
      <c r="V105" s="68"/>
    </row>
    <row r="106" spans="1:22" s="2" customFormat="1" ht="12.75">
      <c r="A106" s="87"/>
      <c r="B106" s="35" t="s">
        <v>91</v>
      </c>
      <c r="C106" s="84"/>
      <c r="D106" s="68"/>
      <c r="E106" s="84"/>
      <c r="F106" s="68"/>
      <c r="G106" s="84"/>
      <c r="H106" s="68"/>
      <c r="I106" s="73"/>
      <c r="J106" s="68"/>
      <c r="K106" s="73"/>
      <c r="L106" s="68"/>
      <c r="M106" s="73">
        <v>4350</v>
      </c>
      <c r="N106" s="68"/>
      <c r="O106" s="73">
        <v>3299</v>
      </c>
      <c r="P106" s="68"/>
      <c r="Q106" s="73">
        <v>3968</v>
      </c>
      <c r="R106" s="68"/>
      <c r="S106" s="73">
        <v>2575</v>
      </c>
      <c r="T106" s="68"/>
      <c r="U106" s="73">
        <v>2279</v>
      </c>
      <c r="V106" s="68"/>
    </row>
    <row r="107" spans="1:22" s="2" customFormat="1" ht="12.75">
      <c r="A107" s="87"/>
      <c r="B107" s="35" t="s">
        <v>39</v>
      </c>
      <c r="C107" s="84">
        <v>4324</v>
      </c>
      <c r="D107" s="68"/>
      <c r="E107" s="84">
        <v>4414</v>
      </c>
      <c r="F107" s="68"/>
      <c r="G107" s="84">
        <v>4400</v>
      </c>
      <c r="H107" s="68"/>
      <c r="I107" s="73">
        <v>4544</v>
      </c>
      <c r="J107" s="68"/>
      <c r="K107" s="73">
        <v>4596</v>
      </c>
      <c r="L107" s="68"/>
      <c r="M107" s="73">
        <v>4882</v>
      </c>
      <c r="N107" s="68"/>
      <c r="O107" s="73">
        <v>4949</v>
      </c>
      <c r="P107" s="68"/>
      <c r="Q107" s="73">
        <v>4597</v>
      </c>
      <c r="R107" s="68"/>
      <c r="S107" s="73">
        <v>5743</v>
      </c>
      <c r="T107" s="68"/>
      <c r="U107" s="73">
        <v>5996</v>
      </c>
      <c r="V107" s="68"/>
    </row>
    <row r="108" spans="1:22" s="2" customFormat="1" ht="12.75">
      <c r="A108" s="87"/>
      <c r="B108" s="35" t="s">
        <v>40</v>
      </c>
      <c r="C108" s="84">
        <v>3763</v>
      </c>
      <c r="D108" s="68"/>
      <c r="E108" s="84">
        <v>3942</v>
      </c>
      <c r="F108" s="68"/>
      <c r="G108" s="84">
        <v>3396</v>
      </c>
      <c r="H108" s="68"/>
      <c r="I108" s="73">
        <v>3523</v>
      </c>
      <c r="J108" s="68"/>
      <c r="K108" s="73">
        <v>3615</v>
      </c>
      <c r="L108" s="68"/>
      <c r="M108" s="73">
        <v>3615</v>
      </c>
      <c r="N108" s="68"/>
      <c r="O108" s="73">
        <v>4196</v>
      </c>
      <c r="P108" s="68"/>
      <c r="Q108" s="73">
        <v>3989</v>
      </c>
      <c r="R108" s="68"/>
      <c r="S108" s="73">
        <v>3819</v>
      </c>
      <c r="T108" s="68"/>
      <c r="U108" s="73">
        <v>4047</v>
      </c>
      <c r="V108" s="68"/>
    </row>
    <row r="109" spans="1:22" s="2" customFormat="1" ht="12.75">
      <c r="A109" s="87"/>
      <c r="B109" s="35" t="s">
        <v>41</v>
      </c>
      <c r="C109" s="84">
        <v>47651</v>
      </c>
      <c r="D109" s="68"/>
      <c r="E109" s="84">
        <v>47956</v>
      </c>
      <c r="F109" s="68"/>
      <c r="G109" s="84">
        <v>47800</v>
      </c>
      <c r="H109" s="68"/>
      <c r="I109" s="73">
        <v>50305</v>
      </c>
      <c r="J109" s="68"/>
      <c r="K109" s="73">
        <v>50004</v>
      </c>
      <c r="L109" s="68"/>
      <c r="M109" s="73">
        <v>54233</v>
      </c>
      <c r="N109" s="68"/>
      <c r="O109" s="73">
        <v>57223</v>
      </c>
      <c r="P109" s="68"/>
      <c r="Q109" s="73">
        <v>58080</v>
      </c>
      <c r="R109" s="68"/>
      <c r="S109" s="73">
        <v>59579</v>
      </c>
      <c r="T109" s="68"/>
      <c r="U109" s="73">
        <v>61367</v>
      </c>
      <c r="V109" s="68"/>
    </row>
    <row r="110" spans="1:22" s="2" customFormat="1" ht="12.75">
      <c r="A110" s="87"/>
      <c r="B110" s="35" t="s">
        <v>93</v>
      </c>
      <c r="C110" s="84"/>
      <c r="D110" s="68"/>
      <c r="E110" s="84"/>
      <c r="F110" s="68"/>
      <c r="G110" s="84"/>
      <c r="H110" s="68"/>
      <c r="I110" s="73"/>
      <c r="J110" s="68"/>
      <c r="K110" s="73">
        <v>5760</v>
      </c>
      <c r="L110" s="68"/>
      <c r="M110" s="73">
        <v>8344</v>
      </c>
      <c r="N110" s="68"/>
      <c r="O110" s="73">
        <v>13523</v>
      </c>
      <c r="P110" s="68"/>
      <c r="Q110" s="73">
        <v>10948</v>
      </c>
      <c r="R110" s="68"/>
      <c r="S110" s="73">
        <v>6328</v>
      </c>
      <c r="T110" s="68"/>
      <c r="U110" s="73">
        <v>3465</v>
      </c>
      <c r="V110" s="68"/>
    </row>
    <row r="111" spans="1:22" s="2" customFormat="1" ht="12.75">
      <c r="A111" s="87"/>
      <c r="B111" s="35" t="s">
        <v>42</v>
      </c>
      <c r="C111" s="84">
        <v>3607</v>
      </c>
      <c r="D111" s="68"/>
      <c r="E111" s="84">
        <v>136</v>
      </c>
      <c r="F111" s="68"/>
      <c r="G111" s="84">
        <v>71</v>
      </c>
      <c r="H111" s="68"/>
      <c r="I111" s="73">
        <v>56</v>
      </c>
      <c r="J111" s="68"/>
      <c r="K111" s="73">
        <v>23</v>
      </c>
      <c r="L111" s="68"/>
      <c r="M111" s="73">
        <v>1</v>
      </c>
      <c r="N111" s="68"/>
      <c r="O111" s="73">
        <v>40</v>
      </c>
      <c r="P111" s="68"/>
      <c r="Q111" s="73">
        <v>43</v>
      </c>
      <c r="R111" s="68"/>
      <c r="S111" s="73">
        <v>21</v>
      </c>
      <c r="T111" s="68"/>
      <c r="U111" s="73">
        <v>32</v>
      </c>
      <c r="V111" s="68"/>
    </row>
    <row r="112" spans="1:22" s="2" customFormat="1" ht="12.75">
      <c r="A112" s="87"/>
      <c r="B112" s="35" t="s">
        <v>43</v>
      </c>
      <c r="C112" s="84"/>
      <c r="D112" s="68"/>
      <c r="E112" s="84"/>
      <c r="F112" s="68"/>
      <c r="G112" s="84"/>
      <c r="H112" s="68"/>
      <c r="I112" s="73"/>
      <c r="J112" s="68"/>
      <c r="K112" s="73"/>
      <c r="L112" s="68"/>
      <c r="M112" s="73"/>
      <c r="N112" s="68"/>
      <c r="O112" s="73"/>
      <c r="P112" s="68"/>
      <c r="Q112" s="73"/>
      <c r="R112" s="68"/>
      <c r="S112" s="73"/>
      <c r="T112" s="68"/>
      <c r="U112" s="73"/>
      <c r="V112" s="68"/>
    </row>
    <row r="113" spans="1:22" s="2" customFormat="1" ht="12.75">
      <c r="A113" s="87"/>
      <c r="B113" s="35" t="s">
        <v>44</v>
      </c>
      <c r="C113" s="84">
        <v>883</v>
      </c>
      <c r="D113" s="68"/>
      <c r="E113" s="84">
        <v>871</v>
      </c>
      <c r="F113" s="68"/>
      <c r="G113" s="84">
        <v>869</v>
      </c>
      <c r="H113" s="68"/>
      <c r="I113" s="73">
        <v>958</v>
      </c>
      <c r="J113" s="68"/>
      <c r="K113" s="73">
        <v>962</v>
      </c>
      <c r="L113" s="68"/>
      <c r="M113" s="73">
        <v>829</v>
      </c>
      <c r="N113" s="68"/>
      <c r="O113" s="73">
        <v>682</v>
      </c>
      <c r="P113" s="68"/>
      <c r="Q113" s="73">
        <v>809</v>
      </c>
      <c r="R113" s="68"/>
      <c r="S113" s="73">
        <v>790</v>
      </c>
      <c r="T113" s="68"/>
      <c r="U113" s="73">
        <v>791</v>
      </c>
      <c r="V113" s="68"/>
    </row>
    <row r="114" spans="1:22" s="2" customFormat="1" ht="12.75">
      <c r="A114" s="87"/>
      <c r="B114" s="35" t="s">
        <v>45</v>
      </c>
      <c r="C114" s="84">
        <v>3742</v>
      </c>
      <c r="D114" s="68"/>
      <c r="E114" s="84"/>
      <c r="F114" s="68"/>
      <c r="G114" s="84">
        <v>487</v>
      </c>
      <c r="H114" s="68"/>
      <c r="I114" s="73"/>
      <c r="J114" s="68"/>
      <c r="K114" s="73"/>
      <c r="L114" s="68"/>
      <c r="M114" s="73"/>
      <c r="N114" s="68"/>
      <c r="O114" s="73"/>
      <c r="P114" s="68"/>
      <c r="Q114" s="73"/>
      <c r="R114" s="68"/>
      <c r="S114" s="73"/>
      <c r="T114" s="68"/>
      <c r="U114" s="73"/>
      <c r="V114" s="68"/>
    </row>
    <row r="115" spans="1:22" s="2" customFormat="1" ht="12.75">
      <c r="A115" s="87"/>
      <c r="B115" s="35" t="s">
        <v>18</v>
      </c>
      <c r="C115" s="84">
        <v>146</v>
      </c>
      <c r="D115" s="68"/>
      <c r="E115" s="84">
        <v>156</v>
      </c>
      <c r="F115" s="68"/>
      <c r="G115" s="84">
        <f>182+1</f>
        <v>183</v>
      </c>
      <c r="H115" s="68">
        <v>1</v>
      </c>
      <c r="I115" s="73">
        <v>237</v>
      </c>
      <c r="J115" s="68"/>
      <c r="K115" s="73">
        <f>367+2</f>
        <v>369</v>
      </c>
      <c r="L115" s="68">
        <v>2</v>
      </c>
      <c r="M115" s="73">
        <f>306+1</f>
        <v>307</v>
      </c>
      <c r="N115" s="68">
        <v>1</v>
      </c>
      <c r="O115" s="73">
        <f>443</f>
        <v>443</v>
      </c>
      <c r="P115" s="68"/>
      <c r="Q115" s="73">
        <f>343+7</f>
        <v>350</v>
      </c>
      <c r="R115" s="68">
        <v>7</v>
      </c>
      <c r="S115" s="73">
        <f>433+5</f>
        <v>438</v>
      </c>
      <c r="T115" s="68">
        <v>5</v>
      </c>
      <c r="U115" s="73">
        <f>391+10+3</f>
        <v>404</v>
      </c>
      <c r="V115" s="68">
        <f>10+3</f>
        <v>13</v>
      </c>
    </row>
    <row r="116" spans="1:22" s="2" customFormat="1" ht="12.75">
      <c r="A116" s="87"/>
      <c r="B116" s="35" t="s">
        <v>47</v>
      </c>
      <c r="C116" s="84">
        <v>5696</v>
      </c>
      <c r="D116" s="68"/>
      <c r="E116" s="84">
        <v>5638</v>
      </c>
      <c r="F116" s="68"/>
      <c r="G116" s="84">
        <v>5852</v>
      </c>
      <c r="H116" s="68"/>
      <c r="I116" s="73">
        <v>5841</v>
      </c>
      <c r="J116" s="68"/>
      <c r="K116" s="73">
        <v>6900</v>
      </c>
      <c r="L116" s="68"/>
      <c r="M116" s="73">
        <v>7525</v>
      </c>
      <c r="N116" s="68"/>
      <c r="O116" s="73">
        <v>7790</v>
      </c>
      <c r="P116" s="68"/>
      <c r="Q116" s="73">
        <v>9242</v>
      </c>
      <c r="R116" s="68"/>
      <c r="S116" s="73">
        <v>10983</v>
      </c>
      <c r="T116" s="68"/>
      <c r="U116" s="73">
        <v>10916</v>
      </c>
      <c r="V116" s="68"/>
    </row>
    <row r="117" spans="1:22" s="2" customFormat="1" ht="12.75">
      <c r="A117" s="87"/>
      <c r="B117" s="10" t="s">
        <v>33</v>
      </c>
      <c r="C117" s="84"/>
      <c r="D117" s="68"/>
      <c r="E117" s="84"/>
      <c r="F117" s="68"/>
      <c r="G117" s="84"/>
      <c r="H117" s="68"/>
      <c r="I117" s="73">
        <v>6</v>
      </c>
      <c r="J117" s="68"/>
      <c r="K117" s="73">
        <v>1</v>
      </c>
      <c r="L117" s="68"/>
      <c r="M117" s="73"/>
      <c r="N117" s="68"/>
      <c r="O117" s="73"/>
      <c r="P117" s="68"/>
      <c r="Q117" s="73"/>
      <c r="R117" s="68"/>
      <c r="S117" s="73"/>
      <c r="T117" s="68"/>
      <c r="U117" s="73">
        <v>3</v>
      </c>
      <c r="V117" s="68"/>
    </row>
    <row r="118" spans="1:22" s="2" customFormat="1" ht="12.75">
      <c r="A118" s="87"/>
      <c r="B118" s="35" t="s">
        <v>14</v>
      </c>
      <c r="C118" s="84">
        <v>64</v>
      </c>
      <c r="D118" s="68"/>
      <c r="E118" s="84">
        <v>80</v>
      </c>
      <c r="F118" s="68"/>
      <c r="G118" s="84">
        <v>21</v>
      </c>
      <c r="H118" s="68"/>
      <c r="I118" s="73">
        <v>105</v>
      </c>
      <c r="J118" s="68"/>
      <c r="K118" s="73"/>
      <c r="L118" s="68"/>
      <c r="M118" s="73">
        <v>37</v>
      </c>
      <c r="N118" s="68"/>
      <c r="O118" s="73">
        <v>2</v>
      </c>
      <c r="P118" s="68"/>
      <c r="Q118" s="73">
        <v>304</v>
      </c>
      <c r="R118" s="68"/>
      <c r="S118" s="73"/>
      <c r="T118" s="68"/>
      <c r="U118" s="73">
        <v>5</v>
      </c>
      <c r="V118" s="68"/>
    </row>
    <row r="119" spans="1:22" s="2" customFormat="1" ht="12.75">
      <c r="A119" s="87"/>
      <c r="B119" s="35" t="s">
        <v>48</v>
      </c>
      <c r="C119" s="84">
        <v>14609</v>
      </c>
      <c r="D119" s="68"/>
      <c r="E119" s="84">
        <v>14828</v>
      </c>
      <c r="F119" s="68"/>
      <c r="G119" s="84">
        <v>15006</v>
      </c>
      <c r="H119" s="68"/>
      <c r="I119" s="73"/>
      <c r="J119" s="68"/>
      <c r="K119" s="73"/>
      <c r="L119" s="68"/>
      <c r="M119" s="73"/>
      <c r="N119" s="68"/>
      <c r="O119" s="73"/>
      <c r="P119" s="68"/>
      <c r="Q119" s="73"/>
      <c r="R119" s="68"/>
      <c r="S119" s="73"/>
      <c r="T119" s="68"/>
      <c r="U119" s="73"/>
      <c r="V119" s="68"/>
    </row>
    <row r="120" spans="1:22" s="2" customFormat="1" ht="12.75">
      <c r="A120" s="87"/>
      <c r="B120" s="35" t="s">
        <v>49</v>
      </c>
      <c r="C120" s="84"/>
      <c r="D120" s="68"/>
      <c r="E120" s="84"/>
      <c r="F120" s="68"/>
      <c r="G120" s="84">
        <v>11362</v>
      </c>
      <c r="H120" s="68"/>
      <c r="I120" s="73">
        <v>11362</v>
      </c>
      <c r="J120" s="68"/>
      <c r="K120" s="73">
        <v>23422</v>
      </c>
      <c r="L120" s="68"/>
      <c r="M120" s="73">
        <v>23422</v>
      </c>
      <c r="N120" s="68"/>
      <c r="O120" s="73">
        <v>23601</v>
      </c>
      <c r="P120" s="68"/>
      <c r="Q120" s="73">
        <v>24632</v>
      </c>
      <c r="R120" s="68"/>
      <c r="S120" s="73">
        <v>25537</v>
      </c>
      <c r="T120" s="68"/>
      <c r="U120" s="73">
        <v>41890</v>
      </c>
      <c r="V120" s="68"/>
    </row>
    <row r="121" spans="1:22" s="2" customFormat="1" ht="12.75">
      <c r="A121" s="87"/>
      <c r="B121" s="35" t="s">
        <v>92</v>
      </c>
      <c r="C121" s="84"/>
      <c r="D121" s="68"/>
      <c r="E121" s="84"/>
      <c r="F121" s="68"/>
      <c r="G121" s="84"/>
      <c r="H121" s="68"/>
      <c r="I121" s="73"/>
      <c r="J121" s="68"/>
      <c r="K121" s="73"/>
      <c r="L121" s="68"/>
      <c r="M121" s="73">
        <v>846</v>
      </c>
      <c r="N121" s="68"/>
      <c r="O121" s="73">
        <v>475</v>
      </c>
      <c r="P121" s="68"/>
      <c r="Q121" s="73">
        <v>870</v>
      </c>
      <c r="R121" s="68"/>
      <c r="S121" s="73"/>
      <c r="T121" s="68"/>
      <c r="U121" s="73"/>
      <c r="V121" s="68"/>
    </row>
    <row r="122" spans="1:22" s="2" customFormat="1" ht="12.75">
      <c r="A122" s="87"/>
      <c r="B122" s="35" t="s">
        <v>50</v>
      </c>
      <c r="C122" s="84"/>
      <c r="D122" s="68"/>
      <c r="E122" s="84">
        <v>2585</v>
      </c>
      <c r="F122" s="68"/>
      <c r="G122" s="84">
        <v>3346</v>
      </c>
      <c r="H122" s="68"/>
      <c r="I122" s="73">
        <v>4024</v>
      </c>
      <c r="J122" s="68"/>
      <c r="K122" s="73">
        <v>3697</v>
      </c>
      <c r="L122" s="68"/>
      <c r="M122" s="73">
        <v>4043</v>
      </c>
      <c r="N122" s="68"/>
      <c r="O122" s="73">
        <v>3697</v>
      </c>
      <c r="P122" s="68"/>
      <c r="Q122" s="73">
        <v>3738</v>
      </c>
      <c r="R122" s="68"/>
      <c r="S122" s="73">
        <v>3809</v>
      </c>
      <c r="T122" s="68"/>
      <c r="U122" s="73">
        <v>6674</v>
      </c>
      <c r="V122" s="68"/>
    </row>
    <row r="123" spans="1:22" s="97" customFormat="1" ht="12.75">
      <c r="A123" s="87"/>
      <c r="B123" s="35" t="s">
        <v>51</v>
      </c>
      <c r="C123" s="84"/>
      <c r="D123" s="68"/>
      <c r="E123" s="84">
        <v>3815</v>
      </c>
      <c r="F123" s="68"/>
      <c r="G123" s="84">
        <v>2345</v>
      </c>
      <c r="H123" s="68"/>
      <c r="I123" s="73">
        <v>395</v>
      </c>
      <c r="J123" s="68"/>
      <c r="K123" s="73"/>
      <c r="L123" s="68"/>
      <c r="M123" s="73"/>
      <c r="N123" s="68"/>
      <c r="O123" s="73"/>
      <c r="P123" s="68"/>
      <c r="Q123" s="73"/>
      <c r="R123" s="68"/>
      <c r="S123" s="73"/>
      <c r="T123" s="68"/>
      <c r="U123" s="73"/>
      <c r="V123" s="68"/>
    </row>
    <row r="124" spans="1:22" s="2" customFormat="1" ht="12.75">
      <c r="A124" s="87"/>
      <c r="B124" s="35" t="s">
        <v>104</v>
      </c>
      <c r="C124" s="84"/>
      <c r="D124" s="68"/>
      <c r="E124" s="84"/>
      <c r="F124" s="68"/>
      <c r="G124" s="84"/>
      <c r="H124" s="68"/>
      <c r="I124" s="73"/>
      <c r="J124" s="68"/>
      <c r="K124" s="73"/>
      <c r="L124" s="68"/>
      <c r="M124" s="73"/>
      <c r="N124" s="68"/>
      <c r="O124" s="73">
        <f>171+49+29</f>
        <v>249</v>
      </c>
      <c r="P124" s="68"/>
      <c r="Q124" s="73">
        <f>329+57+48</f>
        <v>434</v>
      </c>
      <c r="R124" s="68"/>
      <c r="S124" s="73">
        <f>203+57+58</f>
        <v>318</v>
      </c>
      <c r="T124" s="68"/>
      <c r="U124" s="73">
        <f>225+33+37+8+3+5</f>
        <v>311</v>
      </c>
      <c r="V124" s="68"/>
    </row>
    <row r="125" spans="1:22" s="2" customFormat="1" ht="12.75">
      <c r="A125" s="103"/>
      <c r="B125" s="57" t="s">
        <v>32</v>
      </c>
      <c r="C125" s="104"/>
      <c r="D125" s="75"/>
      <c r="E125" s="104"/>
      <c r="F125" s="75"/>
      <c r="G125" s="104"/>
      <c r="H125" s="75"/>
      <c r="I125" s="89">
        <v>568</v>
      </c>
      <c r="J125" s="75"/>
      <c r="K125" s="89"/>
      <c r="L125" s="75"/>
      <c r="M125" s="89">
        <v>16</v>
      </c>
      <c r="N125" s="75"/>
      <c r="O125" s="89"/>
      <c r="P125" s="75"/>
      <c r="Q125" s="89">
        <v>16</v>
      </c>
      <c r="R125" s="75"/>
      <c r="S125" s="89">
        <v>30</v>
      </c>
      <c r="T125" s="75"/>
      <c r="U125" s="89">
        <v>10</v>
      </c>
      <c r="V125" s="75"/>
    </row>
    <row r="126" spans="1:22" s="2" customFormat="1" ht="12.75">
      <c r="A126" s="77" t="s">
        <v>131</v>
      </c>
      <c r="B126" s="86"/>
      <c r="C126" s="33">
        <f>SUM(C127:C136)</f>
        <v>6349</v>
      </c>
      <c r="D126" s="33">
        <f aca="true" t="shared" si="17" ref="D126:P126">SUM(D127:D136)</f>
        <v>0</v>
      </c>
      <c r="E126" s="33">
        <f t="shared" si="17"/>
        <v>6264</v>
      </c>
      <c r="F126" s="33">
        <f t="shared" si="17"/>
        <v>0</v>
      </c>
      <c r="G126" s="33">
        <f t="shared" si="17"/>
        <v>7933</v>
      </c>
      <c r="H126" s="33">
        <f t="shared" si="17"/>
        <v>0</v>
      </c>
      <c r="I126" s="33">
        <f t="shared" si="17"/>
        <v>11791</v>
      </c>
      <c r="J126" s="33">
        <f t="shared" si="17"/>
        <v>389</v>
      </c>
      <c r="K126" s="33">
        <f t="shared" si="17"/>
        <v>14632</v>
      </c>
      <c r="L126" s="33">
        <f t="shared" si="17"/>
        <v>2737</v>
      </c>
      <c r="M126" s="33">
        <f t="shared" si="17"/>
        <v>12532</v>
      </c>
      <c r="N126" s="33">
        <f t="shared" si="17"/>
        <v>884</v>
      </c>
      <c r="O126" s="33">
        <f t="shared" si="17"/>
        <v>12291</v>
      </c>
      <c r="P126" s="33">
        <f t="shared" si="17"/>
        <v>553</v>
      </c>
      <c r="Q126" s="33">
        <f>SUM(Q127:Q136)</f>
        <v>12854</v>
      </c>
      <c r="R126" s="33">
        <f>SUM(R127:R136)</f>
        <v>1045</v>
      </c>
      <c r="S126" s="33">
        <f>SUM(S127:S136)</f>
        <v>12600</v>
      </c>
      <c r="T126" s="33">
        <f>SUM(T127:T136)</f>
        <v>855</v>
      </c>
      <c r="U126" s="33">
        <f>SUM(U127:U136)</f>
        <v>13240</v>
      </c>
      <c r="V126" s="33">
        <f>SUM(V127:V136)</f>
        <v>921</v>
      </c>
    </row>
    <row r="127" spans="1:22" s="2" customFormat="1" ht="12.75">
      <c r="A127" s="52"/>
      <c r="B127" s="35" t="s">
        <v>105</v>
      </c>
      <c r="C127" s="22">
        <v>147</v>
      </c>
      <c r="D127" s="51"/>
      <c r="E127" s="22">
        <v>128</v>
      </c>
      <c r="F127" s="51"/>
      <c r="G127" s="22">
        <v>123</v>
      </c>
      <c r="H127" s="51"/>
      <c r="I127" s="36">
        <v>186</v>
      </c>
      <c r="J127" s="51">
        <v>186</v>
      </c>
      <c r="K127" s="36">
        <v>186</v>
      </c>
      <c r="L127" s="51">
        <v>186</v>
      </c>
      <c r="M127" s="36">
        <v>183</v>
      </c>
      <c r="N127" s="51">
        <v>183</v>
      </c>
      <c r="O127" s="36">
        <v>173</v>
      </c>
      <c r="P127" s="51">
        <v>173</v>
      </c>
      <c r="Q127" s="36">
        <v>180</v>
      </c>
      <c r="R127" s="51">
        <v>180</v>
      </c>
      <c r="S127" s="36">
        <v>102</v>
      </c>
      <c r="T127" s="51">
        <v>102</v>
      </c>
      <c r="U127" s="36">
        <v>95</v>
      </c>
      <c r="V127" s="51">
        <v>95</v>
      </c>
    </row>
    <row r="128" spans="1:22" s="2" customFormat="1" ht="12.75">
      <c r="A128" s="52"/>
      <c r="B128" s="35" t="s">
        <v>54</v>
      </c>
      <c r="C128" s="22">
        <v>4010</v>
      </c>
      <c r="D128" s="51"/>
      <c r="E128" s="22">
        <v>4651</v>
      </c>
      <c r="F128" s="51"/>
      <c r="G128" s="22">
        <v>4661</v>
      </c>
      <c r="H128" s="51"/>
      <c r="I128" s="36">
        <v>5460</v>
      </c>
      <c r="J128" s="51"/>
      <c r="K128" s="36">
        <v>5457</v>
      </c>
      <c r="L128" s="51"/>
      <c r="M128" s="36">
        <v>5686</v>
      </c>
      <c r="N128" s="51"/>
      <c r="O128" s="36">
        <v>5615</v>
      </c>
      <c r="P128" s="51"/>
      <c r="Q128" s="36">
        <v>5702</v>
      </c>
      <c r="R128" s="51"/>
      <c r="S128" s="36">
        <v>5656</v>
      </c>
      <c r="T128" s="51"/>
      <c r="U128" s="36">
        <v>5907</v>
      </c>
      <c r="V128" s="51"/>
    </row>
    <row r="129" spans="1:22" s="2" customFormat="1" ht="12.75">
      <c r="A129" s="52"/>
      <c r="B129" s="35" t="s">
        <v>106</v>
      </c>
      <c r="C129" s="22">
        <v>177</v>
      </c>
      <c r="D129" s="51"/>
      <c r="E129" s="22">
        <v>193</v>
      </c>
      <c r="F129" s="51"/>
      <c r="G129" s="22">
        <v>189</v>
      </c>
      <c r="H129" s="51"/>
      <c r="I129" s="36">
        <v>203</v>
      </c>
      <c r="J129" s="51">
        <v>203</v>
      </c>
      <c r="K129" s="36">
        <v>202</v>
      </c>
      <c r="L129" s="51">
        <v>202</v>
      </c>
      <c r="M129" s="36">
        <v>193</v>
      </c>
      <c r="N129" s="51">
        <v>193</v>
      </c>
      <c r="O129" s="36">
        <v>218</v>
      </c>
      <c r="P129" s="51">
        <v>218</v>
      </c>
      <c r="Q129" s="36">
        <v>220</v>
      </c>
      <c r="R129" s="51">
        <v>220</v>
      </c>
      <c r="S129" s="36">
        <v>204</v>
      </c>
      <c r="T129" s="51">
        <v>204</v>
      </c>
      <c r="U129" s="36">
        <v>190</v>
      </c>
      <c r="V129" s="51">
        <v>190</v>
      </c>
    </row>
    <row r="130" spans="1:22" s="2" customFormat="1" ht="12.75">
      <c r="A130" s="52"/>
      <c r="B130" s="35" t="s">
        <v>55</v>
      </c>
      <c r="C130" s="22">
        <v>695</v>
      </c>
      <c r="D130" s="51"/>
      <c r="E130" s="22">
        <v>501</v>
      </c>
      <c r="F130" s="51"/>
      <c r="G130" s="22">
        <v>134</v>
      </c>
      <c r="H130" s="51"/>
      <c r="I130" s="36">
        <v>36</v>
      </c>
      <c r="J130" s="51"/>
      <c r="K130" s="36">
        <v>27</v>
      </c>
      <c r="L130" s="51"/>
      <c r="M130" s="36">
        <v>18</v>
      </c>
      <c r="N130" s="51"/>
      <c r="O130" s="36"/>
      <c r="P130" s="51"/>
      <c r="Q130" s="36"/>
      <c r="R130" s="51"/>
      <c r="S130" s="36"/>
      <c r="T130" s="51"/>
      <c r="U130" s="36"/>
      <c r="V130" s="51"/>
    </row>
    <row r="131" spans="1:22" s="2" customFormat="1" ht="12.75">
      <c r="A131" s="52"/>
      <c r="B131" s="35" t="s">
        <v>56</v>
      </c>
      <c r="C131" s="22">
        <v>581</v>
      </c>
      <c r="D131" s="51"/>
      <c r="E131" s="22">
        <v>361</v>
      </c>
      <c r="F131" s="51"/>
      <c r="G131" s="22">
        <v>282</v>
      </c>
      <c r="H131" s="51"/>
      <c r="I131" s="36">
        <v>290</v>
      </c>
      <c r="J131" s="51"/>
      <c r="K131" s="36">
        <v>792</v>
      </c>
      <c r="L131" s="51"/>
      <c r="M131" s="36">
        <v>304</v>
      </c>
      <c r="N131" s="51"/>
      <c r="O131" s="36">
        <v>311</v>
      </c>
      <c r="P131" s="51"/>
      <c r="Q131" s="36">
        <v>317</v>
      </c>
      <c r="R131" s="51"/>
      <c r="S131" s="36">
        <v>323</v>
      </c>
      <c r="T131" s="51"/>
      <c r="U131" s="36">
        <v>328</v>
      </c>
      <c r="V131" s="51"/>
    </row>
    <row r="132" spans="1:22" s="2" customFormat="1" ht="12.75">
      <c r="A132" s="52"/>
      <c r="B132" s="10" t="s">
        <v>33</v>
      </c>
      <c r="C132" s="22">
        <v>739</v>
      </c>
      <c r="D132" s="51"/>
      <c r="E132" s="22">
        <v>430</v>
      </c>
      <c r="F132" s="51"/>
      <c r="G132" s="22">
        <v>272</v>
      </c>
      <c r="H132" s="51"/>
      <c r="I132" s="36">
        <v>374</v>
      </c>
      <c r="J132" s="51"/>
      <c r="K132" s="36">
        <f>219+3</f>
        <v>222</v>
      </c>
      <c r="L132" s="51">
        <v>3</v>
      </c>
      <c r="M132" s="36">
        <f>212+1</f>
        <v>213</v>
      </c>
      <c r="N132" s="51">
        <v>1</v>
      </c>
      <c r="O132" s="36">
        <f>284+7</f>
        <v>291</v>
      </c>
      <c r="P132" s="51">
        <v>7</v>
      </c>
      <c r="Q132" s="36">
        <f>198+2</f>
        <v>200</v>
      </c>
      <c r="R132" s="51">
        <v>2</v>
      </c>
      <c r="S132" s="36">
        <f>171+1</f>
        <v>172</v>
      </c>
      <c r="T132" s="51">
        <v>1</v>
      </c>
      <c r="U132" s="36">
        <v>271</v>
      </c>
      <c r="V132" s="51">
        <v>1</v>
      </c>
    </row>
    <row r="133" spans="1:22" s="2" customFormat="1" ht="12.75">
      <c r="A133" s="52"/>
      <c r="B133" s="34" t="s">
        <v>112</v>
      </c>
      <c r="C133" s="22"/>
      <c r="D133" s="51"/>
      <c r="E133" s="22"/>
      <c r="F133" s="51"/>
      <c r="G133" s="22"/>
      <c r="H133" s="51"/>
      <c r="I133" s="36"/>
      <c r="J133" s="51"/>
      <c r="K133" s="36"/>
      <c r="L133" s="51"/>
      <c r="M133" s="36"/>
      <c r="N133" s="51"/>
      <c r="O133" s="36"/>
      <c r="P133" s="51"/>
      <c r="Q133" s="36">
        <v>10</v>
      </c>
      <c r="R133" s="51">
        <v>10</v>
      </c>
      <c r="S133" s="36"/>
      <c r="T133" s="51"/>
      <c r="U133" s="36"/>
      <c r="V133" s="51"/>
    </row>
    <row r="134" spans="1:22" s="2" customFormat="1" ht="12.75">
      <c r="A134" s="52"/>
      <c r="B134" s="35" t="s">
        <v>59</v>
      </c>
      <c r="C134" s="22"/>
      <c r="D134" s="51"/>
      <c r="E134" s="22"/>
      <c r="F134" s="51"/>
      <c r="G134" s="22"/>
      <c r="H134" s="51"/>
      <c r="I134" s="36"/>
      <c r="J134" s="51"/>
      <c r="K134" s="36">
        <v>162</v>
      </c>
      <c r="L134" s="51"/>
      <c r="M134" s="36">
        <v>114</v>
      </c>
      <c r="N134" s="51"/>
      <c r="O134" s="36">
        <v>145</v>
      </c>
      <c r="P134" s="51"/>
      <c r="Q134" s="36">
        <v>145</v>
      </c>
      <c r="R134" s="51"/>
      <c r="S134" s="36">
        <v>87</v>
      </c>
      <c r="T134" s="51"/>
      <c r="U134" s="36">
        <v>136</v>
      </c>
      <c r="V134" s="51"/>
    </row>
    <row r="135" spans="1:22" s="2" customFormat="1" ht="12.75">
      <c r="A135" s="52"/>
      <c r="B135" s="35" t="s">
        <v>58</v>
      </c>
      <c r="C135" s="22"/>
      <c r="D135" s="51"/>
      <c r="E135" s="22"/>
      <c r="F135" s="51"/>
      <c r="G135" s="22"/>
      <c r="H135" s="51"/>
      <c r="I135" s="36"/>
      <c r="J135" s="51"/>
      <c r="K135" s="36">
        <v>2346</v>
      </c>
      <c r="L135" s="68">
        <v>2346</v>
      </c>
      <c r="M135" s="36">
        <v>507</v>
      </c>
      <c r="N135" s="68">
        <v>507</v>
      </c>
      <c r="O135" s="36">
        <v>155</v>
      </c>
      <c r="P135" s="68">
        <v>155</v>
      </c>
      <c r="Q135" s="36">
        <v>633</v>
      </c>
      <c r="R135" s="68">
        <v>633</v>
      </c>
      <c r="S135" s="36">
        <v>548</v>
      </c>
      <c r="T135" s="68">
        <v>548</v>
      </c>
      <c r="U135" s="36">
        <v>635</v>
      </c>
      <c r="V135" s="68">
        <v>635</v>
      </c>
    </row>
    <row r="136" spans="1:22" s="2" customFormat="1" ht="12.75">
      <c r="A136" s="56"/>
      <c r="B136" s="57" t="s">
        <v>107</v>
      </c>
      <c r="C136" s="23"/>
      <c r="D136" s="58"/>
      <c r="E136" s="23"/>
      <c r="F136" s="58"/>
      <c r="G136" s="23">
        <v>2272</v>
      </c>
      <c r="H136" s="58"/>
      <c r="I136" s="62">
        <v>5242</v>
      </c>
      <c r="J136" s="58"/>
      <c r="K136" s="62">
        <v>5238</v>
      </c>
      <c r="L136" s="58"/>
      <c r="M136" s="62">
        <v>5314</v>
      </c>
      <c r="N136" s="58"/>
      <c r="O136" s="62">
        <v>5383</v>
      </c>
      <c r="P136" s="58"/>
      <c r="Q136" s="62">
        <v>5447</v>
      </c>
      <c r="R136" s="58"/>
      <c r="S136" s="62">
        <v>5508</v>
      </c>
      <c r="T136" s="58"/>
      <c r="U136" s="62">
        <f>5568+110</f>
        <v>5678</v>
      </c>
      <c r="V136" s="58"/>
    </row>
    <row r="137" spans="1:22" s="2" customFormat="1" ht="12.75">
      <c r="A137" s="77" t="s">
        <v>132</v>
      </c>
      <c r="B137" s="86"/>
      <c r="C137" s="33">
        <f>SUM(C138:C153)</f>
        <v>12903</v>
      </c>
      <c r="D137" s="33">
        <f aca="true" t="shared" si="18" ref="D137:T137">SUM(D138:D153)</f>
        <v>3011</v>
      </c>
      <c r="E137" s="33">
        <f t="shared" si="18"/>
        <v>12124</v>
      </c>
      <c r="F137" s="33">
        <f t="shared" si="18"/>
        <v>1495</v>
      </c>
      <c r="G137" s="33">
        <f t="shared" si="18"/>
        <v>18732</v>
      </c>
      <c r="H137" s="33">
        <f t="shared" si="18"/>
        <v>7547</v>
      </c>
      <c r="I137" s="33">
        <f t="shared" si="18"/>
        <v>19320</v>
      </c>
      <c r="J137" s="33">
        <f t="shared" si="18"/>
        <v>6024</v>
      </c>
      <c r="K137" s="33">
        <f t="shared" si="18"/>
        <v>16821</v>
      </c>
      <c r="L137" s="33">
        <f t="shared" si="18"/>
        <v>4191</v>
      </c>
      <c r="M137" s="33">
        <f t="shared" si="18"/>
        <v>11621</v>
      </c>
      <c r="N137" s="33">
        <f t="shared" si="18"/>
        <v>5397</v>
      </c>
      <c r="O137" s="33">
        <f t="shared" si="18"/>
        <v>15351</v>
      </c>
      <c r="P137" s="33">
        <f t="shared" si="18"/>
        <v>8843</v>
      </c>
      <c r="Q137" s="33">
        <f t="shared" si="18"/>
        <v>13783</v>
      </c>
      <c r="R137" s="33">
        <f t="shared" si="18"/>
        <v>7747</v>
      </c>
      <c r="S137" s="33">
        <f t="shared" si="18"/>
        <v>11714</v>
      </c>
      <c r="T137" s="33">
        <f t="shared" si="18"/>
        <v>5030</v>
      </c>
      <c r="U137" s="33">
        <f>SUM(U138:U153)</f>
        <v>13620</v>
      </c>
      <c r="V137" s="33">
        <f>SUM(V138:V153)</f>
        <v>6882</v>
      </c>
    </row>
    <row r="138" spans="1:22" s="2" customFormat="1" ht="12.75">
      <c r="A138" s="52"/>
      <c r="B138" s="34" t="s">
        <v>67</v>
      </c>
      <c r="C138" s="37">
        <v>17</v>
      </c>
      <c r="D138" s="47">
        <v>17</v>
      </c>
      <c r="E138" s="37">
        <f>31+46</f>
        <v>77</v>
      </c>
      <c r="F138" s="47">
        <f>31+46</f>
        <v>77</v>
      </c>
      <c r="G138" s="37">
        <v>2</v>
      </c>
      <c r="H138" s="47">
        <v>2</v>
      </c>
      <c r="I138" s="36">
        <f>5+155</f>
        <v>160</v>
      </c>
      <c r="J138" s="37">
        <f>5+155</f>
        <v>160</v>
      </c>
      <c r="K138" s="36">
        <f>5+1013</f>
        <v>1018</v>
      </c>
      <c r="L138" s="36">
        <f>5+1013</f>
        <v>1018</v>
      </c>
      <c r="M138" s="36">
        <f>12+1000</f>
        <v>1012</v>
      </c>
      <c r="N138" s="36">
        <f>12+1000</f>
        <v>1012</v>
      </c>
      <c r="O138" s="36">
        <f>54+1400</f>
        <v>1454</v>
      </c>
      <c r="P138" s="36">
        <f>54+1400</f>
        <v>1454</v>
      </c>
      <c r="Q138" s="36">
        <f>53+3260</f>
        <v>3313</v>
      </c>
      <c r="R138" s="36">
        <f>53+3260</f>
        <v>3313</v>
      </c>
      <c r="S138" s="36">
        <f>33+1340</f>
        <v>1373</v>
      </c>
      <c r="T138" s="36">
        <f>33+1340</f>
        <v>1373</v>
      </c>
      <c r="U138" s="36">
        <f>1+875</f>
        <v>876</v>
      </c>
      <c r="V138" s="36">
        <f>1+875</f>
        <v>876</v>
      </c>
    </row>
    <row r="139" spans="1:22" s="2" customFormat="1" ht="12.75">
      <c r="A139" s="52"/>
      <c r="B139" s="35" t="s">
        <v>23</v>
      </c>
      <c r="C139" s="22">
        <f>517+128</f>
        <v>645</v>
      </c>
      <c r="D139" s="47"/>
      <c r="E139" s="22">
        <f>460+148</f>
        <v>608</v>
      </c>
      <c r="F139" s="47"/>
      <c r="G139" s="22">
        <v>507</v>
      </c>
      <c r="H139" s="47"/>
      <c r="I139" s="36">
        <v>2083</v>
      </c>
      <c r="J139" s="47"/>
      <c r="K139" s="36">
        <v>2066</v>
      </c>
      <c r="L139" s="47"/>
      <c r="M139" s="36">
        <v>2212</v>
      </c>
      <c r="N139" s="47"/>
      <c r="O139" s="36">
        <v>2521</v>
      </c>
      <c r="P139" s="47"/>
      <c r="Q139" s="36">
        <v>1685</v>
      </c>
      <c r="R139" s="47"/>
      <c r="S139" s="36">
        <v>2525</v>
      </c>
      <c r="T139" s="47"/>
      <c r="U139" s="36">
        <v>2326</v>
      </c>
      <c r="V139" s="47"/>
    </row>
    <row r="140" spans="1:22" s="2" customFormat="1" ht="12.75">
      <c r="A140" s="52"/>
      <c r="B140" s="35" t="s">
        <v>111</v>
      </c>
      <c r="C140" s="37">
        <f>123+62+461</f>
        <v>646</v>
      </c>
      <c r="D140" s="47">
        <f>123+62+461</f>
        <v>646</v>
      </c>
      <c r="E140" s="37">
        <f>15+247+271</f>
        <v>533</v>
      </c>
      <c r="F140" s="47">
        <f>15+247+271</f>
        <v>533</v>
      </c>
      <c r="G140" s="37">
        <f>23+295+712+5268</f>
        <v>6298</v>
      </c>
      <c r="H140" s="47">
        <f>23+295+712+5268</f>
        <v>6298</v>
      </c>
      <c r="I140" s="36">
        <v>4903</v>
      </c>
      <c r="J140" s="37">
        <v>4903</v>
      </c>
      <c r="K140" s="36">
        <v>2382</v>
      </c>
      <c r="L140" s="37">
        <v>2382</v>
      </c>
      <c r="M140" s="36">
        <v>3490</v>
      </c>
      <c r="N140" s="37">
        <v>3490</v>
      </c>
      <c r="O140" s="36">
        <v>2737</v>
      </c>
      <c r="P140" s="37">
        <v>2737</v>
      </c>
      <c r="Q140" s="36">
        <v>3411</v>
      </c>
      <c r="R140" s="37">
        <v>3411</v>
      </c>
      <c r="S140" s="36">
        <v>1957</v>
      </c>
      <c r="T140" s="37">
        <v>1957</v>
      </c>
      <c r="U140" s="36">
        <v>3289</v>
      </c>
      <c r="V140" s="37">
        <v>3289</v>
      </c>
    </row>
    <row r="141" spans="1:22" s="2" customFormat="1" ht="12.75">
      <c r="A141" s="52"/>
      <c r="B141" s="35" t="s">
        <v>66</v>
      </c>
      <c r="C141" s="37">
        <f>310+968+356</f>
        <v>1634</v>
      </c>
      <c r="D141" s="47">
        <f>310+968+356</f>
        <v>1634</v>
      </c>
      <c r="E141" s="37">
        <v>65</v>
      </c>
      <c r="F141" s="47">
        <v>65</v>
      </c>
      <c r="G141" s="37">
        <v>389</v>
      </c>
      <c r="H141" s="47">
        <v>389</v>
      </c>
      <c r="I141" s="36">
        <v>258</v>
      </c>
      <c r="J141" s="37">
        <v>258</v>
      </c>
      <c r="K141" s="36"/>
      <c r="L141" s="37"/>
      <c r="M141" s="36">
        <f>207+21</f>
        <v>228</v>
      </c>
      <c r="N141" s="37">
        <v>207</v>
      </c>
      <c r="O141" s="36">
        <f>516+29</f>
        <v>545</v>
      </c>
      <c r="P141" s="37">
        <v>516</v>
      </c>
      <c r="Q141" s="36">
        <f>239+29</f>
        <v>268</v>
      </c>
      <c r="R141" s="37">
        <v>239</v>
      </c>
      <c r="S141" s="36">
        <v>568</v>
      </c>
      <c r="T141" s="37">
        <v>568</v>
      </c>
      <c r="U141" s="36">
        <v>1000</v>
      </c>
      <c r="V141" s="37">
        <v>1000</v>
      </c>
    </row>
    <row r="142" spans="1:22" s="2" customFormat="1" ht="12.75">
      <c r="A142" s="52"/>
      <c r="B142" s="34" t="s">
        <v>108</v>
      </c>
      <c r="C142" s="36">
        <v>1241</v>
      </c>
      <c r="D142" s="36">
        <v>0</v>
      </c>
      <c r="E142" s="36">
        <v>1437</v>
      </c>
      <c r="F142" s="36">
        <v>0</v>
      </c>
      <c r="G142" s="36">
        <v>1862</v>
      </c>
      <c r="H142" s="36">
        <v>0</v>
      </c>
      <c r="I142" s="36">
        <v>1773</v>
      </c>
      <c r="J142" s="36">
        <v>0</v>
      </c>
      <c r="K142" s="36">
        <v>2155</v>
      </c>
      <c r="L142" s="36"/>
      <c r="M142" s="36">
        <v>2327</v>
      </c>
      <c r="N142" s="36"/>
      <c r="O142" s="36">
        <v>2302</v>
      </c>
      <c r="P142" s="36"/>
      <c r="Q142" s="36">
        <v>2746</v>
      </c>
      <c r="R142" s="36"/>
      <c r="S142" s="36">
        <v>2485</v>
      </c>
      <c r="T142" s="36"/>
      <c r="U142" s="36">
        <v>2723</v>
      </c>
      <c r="V142" s="36"/>
    </row>
    <row r="143" spans="1:22" s="2" customFormat="1" ht="12.75">
      <c r="A143" s="52"/>
      <c r="B143" s="34" t="s">
        <v>94</v>
      </c>
      <c r="C143" s="22"/>
      <c r="D143" s="47"/>
      <c r="E143" s="22"/>
      <c r="F143" s="47"/>
      <c r="G143" s="22"/>
      <c r="H143" s="47"/>
      <c r="I143" s="36"/>
      <c r="J143" s="47"/>
      <c r="K143" s="36"/>
      <c r="L143" s="47"/>
      <c r="M143" s="36">
        <v>380</v>
      </c>
      <c r="N143" s="47"/>
      <c r="O143" s="36">
        <v>361</v>
      </c>
      <c r="P143" s="47"/>
      <c r="Q143" s="36">
        <v>300</v>
      </c>
      <c r="R143" s="47"/>
      <c r="S143" s="36">
        <v>317</v>
      </c>
      <c r="T143" s="47"/>
      <c r="U143" s="36">
        <v>330</v>
      </c>
      <c r="V143" s="47"/>
    </row>
    <row r="144" spans="1:22" s="2" customFormat="1" ht="12.75">
      <c r="A144" s="52"/>
      <c r="B144" s="35" t="s">
        <v>46</v>
      </c>
      <c r="C144" s="22"/>
      <c r="D144" s="47"/>
      <c r="E144" s="22"/>
      <c r="F144" s="47"/>
      <c r="G144" s="22"/>
      <c r="H144" s="47"/>
      <c r="I144" s="36"/>
      <c r="J144" s="47"/>
      <c r="K144" s="36">
        <v>5</v>
      </c>
      <c r="L144" s="47">
        <v>5</v>
      </c>
      <c r="M144" s="36">
        <v>5</v>
      </c>
      <c r="N144" s="47">
        <v>5</v>
      </c>
      <c r="O144" s="36">
        <v>6</v>
      </c>
      <c r="P144" s="47">
        <v>6</v>
      </c>
      <c r="Q144" s="36">
        <v>6</v>
      </c>
      <c r="R144" s="47">
        <v>6</v>
      </c>
      <c r="S144" s="47">
        <v>6</v>
      </c>
      <c r="T144" s="47">
        <v>6</v>
      </c>
      <c r="U144" s="47">
        <v>6</v>
      </c>
      <c r="V144" s="47">
        <v>6</v>
      </c>
    </row>
    <row r="145" spans="1:22" s="2" customFormat="1" ht="12.75">
      <c r="A145" s="52"/>
      <c r="B145" s="35" t="s">
        <v>16</v>
      </c>
      <c r="C145" s="37">
        <f>516+664</f>
        <v>1180</v>
      </c>
      <c r="D145" s="47">
        <v>664</v>
      </c>
      <c r="E145" s="37">
        <f>638+820</f>
        <v>1458</v>
      </c>
      <c r="F145" s="47">
        <v>820</v>
      </c>
      <c r="G145" s="37">
        <f>516+668</f>
        <v>1184</v>
      </c>
      <c r="H145" s="47">
        <v>668</v>
      </c>
      <c r="I145" s="36">
        <f>697+665+38</f>
        <v>1400</v>
      </c>
      <c r="J145" s="47">
        <f>665+38</f>
        <v>703</v>
      </c>
      <c r="K145" s="36">
        <f>616+697</f>
        <v>1313</v>
      </c>
      <c r="L145" s="47">
        <v>616</v>
      </c>
      <c r="M145" s="36">
        <f>683+490</f>
        <v>1173</v>
      </c>
      <c r="N145" s="47">
        <v>683</v>
      </c>
      <c r="O145" s="36">
        <f>4127+550</f>
        <v>4677</v>
      </c>
      <c r="P145" s="47">
        <v>4127</v>
      </c>
      <c r="Q145" s="36">
        <f>753+425</f>
        <v>1178</v>
      </c>
      <c r="R145" s="47">
        <v>753</v>
      </c>
      <c r="S145" s="36">
        <f>809+480</f>
        <v>1289</v>
      </c>
      <c r="T145" s="47">
        <v>809</v>
      </c>
      <c r="U145" s="36">
        <f>1255+430</f>
        <v>1685</v>
      </c>
      <c r="V145" s="47">
        <v>1255</v>
      </c>
    </row>
    <row r="146" spans="1:22" s="2" customFormat="1" ht="12.75">
      <c r="A146" s="52"/>
      <c r="B146" s="34" t="s">
        <v>17</v>
      </c>
      <c r="C146" s="22">
        <v>50</v>
      </c>
      <c r="D146" s="47">
        <v>50</v>
      </c>
      <c r="E146" s="22"/>
      <c r="F146" s="47"/>
      <c r="G146" s="22">
        <f>78+112</f>
        <v>190</v>
      </c>
      <c r="H146" s="47">
        <f>78+112</f>
        <v>190</v>
      </c>
      <c r="I146" s="36"/>
      <c r="J146" s="47"/>
      <c r="K146" s="36">
        <v>170</v>
      </c>
      <c r="L146" s="47">
        <v>170</v>
      </c>
      <c r="M146" s="36"/>
      <c r="N146" s="47"/>
      <c r="O146" s="36">
        <v>3</v>
      </c>
      <c r="P146" s="47">
        <v>3</v>
      </c>
      <c r="Q146" s="36">
        <v>25</v>
      </c>
      <c r="R146" s="47">
        <v>25</v>
      </c>
      <c r="S146" s="36"/>
      <c r="T146" s="47"/>
      <c r="U146" s="36">
        <v>35</v>
      </c>
      <c r="V146" s="47">
        <v>35</v>
      </c>
    </row>
    <row r="147" spans="1:22" s="2" customFormat="1" ht="12.75">
      <c r="A147" s="52"/>
      <c r="B147" s="35" t="s">
        <v>14</v>
      </c>
      <c r="C147" s="22"/>
      <c r="D147" s="47"/>
      <c r="E147" s="22"/>
      <c r="F147" s="47"/>
      <c r="G147" s="22"/>
      <c r="H147" s="47"/>
      <c r="I147" s="36"/>
      <c r="J147" s="47"/>
      <c r="K147" s="36"/>
      <c r="L147" s="47"/>
      <c r="M147" s="36"/>
      <c r="N147" s="47"/>
      <c r="O147" s="36"/>
      <c r="P147" s="47"/>
      <c r="Q147" s="36"/>
      <c r="R147" s="47"/>
      <c r="S147" s="36">
        <v>245</v>
      </c>
      <c r="T147" s="47">
        <v>245</v>
      </c>
      <c r="U147" s="36">
        <v>255</v>
      </c>
      <c r="V147" s="47">
        <v>255</v>
      </c>
    </row>
    <row r="148" spans="1:22" s="2" customFormat="1" ht="12.75">
      <c r="A148" s="52"/>
      <c r="B148" s="10" t="s">
        <v>65</v>
      </c>
      <c r="C148" s="22">
        <v>104</v>
      </c>
      <c r="D148" s="47"/>
      <c r="E148" s="22">
        <v>181</v>
      </c>
      <c r="F148" s="47"/>
      <c r="G148" s="22">
        <v>88</v>
      </c>
      <c r="H148" s="47"/>
      <c r="I148" s="36">
        <v>467</v>
      </c>
      <c r="J148" s="47"/>
      <c r="K148" s="36">
        <v>470</v>
      </c>
      <c r="L148" s="47"/>
      <c r="M148" s="36">
        <v>794</v>
      </c>
      <c r="N148" s="47"/>
      <c r="O148" s="36">
        <v>745</v>
      </c>
      <c r="P148" s="47"/>
      <c r="Q148" s="36">
        <v>851</v>
      </c>
      <c r="R148" s="47"/>
      <c r="S148" s="36">
        <f>877+72</f>
        <v>949</v>
      </c>
      <c r="T148" s="47">
        <v>72</v>
      </c>
      <c r="U148" s="36">
        <f>929+166</f>
        <v>1095</v>
      </c>
      <c r="V148" s="47">
        <v>166</v>
      </c>
    </row>
    <row r="149" spans="1:22" s="2" customFormat="1" ht="12.75">
      <c r="A149" s="52"/>
      <c r="B149" s="6" t="s">
        <v>60</v>
      </c>
      <c r="C149" s="22">
        <v>3258</v>
      </c>
      <c r="D149" s="47"/>
      <c r="E149" s="22">
        <v>3206</v>
      </c>
      <c r="F149" s="47"/>
      <c r="G149" s="22">
        <v>2763</v>
      </c>
      <c r="H149" s="47"/>
      <c r="I149" s="24">
        <v>2868</v>
      </c>
      <c r="J149" s="47"/>
      <c r="K149" s="24">
        <v>3326</v>
      </c>
      <c r="L149" s="47"/>
      <c r="M149" s="24"/>
      <c r="N149" s="47"/>
      <c r="O149" s="24"/>
      <c r="P149" s="47"/>
      <c r="Q149" s="24"/>
      <c r="R149" s="47"/>
      <c r="S149" s="24"/>
      <c r="T149" s="47"/>
      <c r="U149" s="24"/>
      <c r="V149" s="47"/>
    </row>
    <row r="150" spans="1:22" s="2" customFormat="1" ht="12.75">
      <c r="A150" s="52"/>
      <c r="B150" s="6" t="s">
        <v>61</v>
      </c>
      <c r="C150" s="22">
        <v>1644</v>
      </c>
      <c r="D150" s="47"/>
      <c r="E150" s="22">
        <v>1647</v>
      </c>
      <c r="F150" s="47"/>
      <c r="G150" s="22">
        <v>1455</v>
      </c>
      <c r="H150" s="47"/>
      <c r="I150" s="24">
        <v>1241</v>
      </c>
      <c r="J150" s="47"/>
      <c r="K150" s="24">
        <v>974</v>
      </c>
      <c r="L150" s="47"/>
      <c r="M150" s="24"/>
      <c r="N150" s="47"/>
      <c r="O150" s="24"/>
      <c r="P150" s="47"/>
      <c r="Q150" s="24"/>
      <c r="R150" s="47"/>
      <c r="S150" s="24"/>
      <c r="T150" s="47"/>
      <c r="U150" s="24"/>
      <c r="V150" s="47"/>
    </row>
    <row r="151" spans="1:22" s="2" customFormat="1" ht="12.75">
      <c r="A151" s="52"/>
      <c r="B151" s="6" t="s">
        <v>62</v>
      </c>
      <c r="C151" s="22">
        <v>573</v>
      </c>
      <c r="D151" s="47"/>
      <c r="E151" s="22">
        <v>573</v>
      </c>
      <c r="F151" s="47"/>
      <c r="G151" s="22">
        <v>688</v>
      </c>
      <c r="H151" s="47"/>
      <c r="I151" s="24">
        <v>989</v>
      </c>
      <c r="J151" s="47"/>
      <c r="K151" s="24"/>
      <c r="L151" s="47"/>
      <c r="M151" s="24"/>
      <c r="N151" s="47"/>
      <c r="O151" s="24"/>
      <c r="P151" s="47"/>
      <c r="Q151" s="24"/>
      <c r="R151" s="47"/>
      <c r="S151" s="24"/>
      <c r="T151" s="47"/>
      <c r="U151" s="24"/>
      <c r="V151" s="47"/>
    </row>
    <row r="152" spans="1:22" s="2" customFormat="1" ht="12.75">
      <c r="A152" s="52"/>
      <c r="B152" s="34" t="s">
        <v>63</v>
      </c>
      <c r="C152" s="22">
        <v>1911</v>
      </c>
      <c r="D152" s="47"/>
      <c r="E152" s="22">
        <v>2339</v>
      </c>
      <c r="F152" s="47"/>
      <c r="G152" s="22">
        <v>3306</v>
      </c>
      <c r="H152" s="47"/>
      <c r="I152" s="36">
        <v>3149</v>
      </c>
      <c r="J152" s="47"/>
      <c r="K152" s="36">
        <v>2942</v>
      </c>
      <c r="L152" s="47"/>
      <c r="M152" s="36"/>
      <c r="N152" s="47"/>
      <c r="O152" s="36"/>
      <c r="P152" s="47"/>
      <c r="Q152" s="36"/>
      <c r="R152" s="47"/>
      <c r="S152" s="36"/>
      <c r="T152" s="47"/>
      <c r="U152" s="36"/>
      <c r="V152" s="47"/>
    </row>
    <row r="153" spans="1:22" s="97" customFormat="1" ht="12.75">
      <c r="A153" s="56"/>
      <c r="B153" s="57" t="s">
        <v>64</v>
      </c>
      <c r="C153" s="23"/>
      <c r="D153" s="55"/>
      <c r="E153" s="23"/>
      <c r="F153" s="55"/>
      <c r="G153" s="23"/>
      <c r="H153" s="55"/>
      <c r="I153" s="62">
        <v>29</v>
      </c>
      <c r="J153" s="55"/>
      <c r="K153" s="62"/>
      <c r="L153" s="55"/>
      <c r="M153" s="62"/>
      <c r="N153" s="55"/>
      <c r="O153" s="62"/>
      <c r="P153" s="55"/>
      <c r="Q153" s="62"/>
      <c r="R153" s="55"/>
      <c r="S153" s="62"/>
      <c r="T153" s="55"/>
      <c r="U153" s="62"/>
      <c r="V153" s="55"/>
    </row>
    <row r="154" spans="1:22" s="2" customFormat="1" ht="12.75">
      <c r="A154" s="77" t="s">
        <v>133</v>
      </c>
      <c r="B154" s="86"/>
      <c r="C154" s="33">
        <f>SUM(C155:C166)</f>
        <v>15201</v>
      </c>
      <c r="D154" s="33">
        <f aca="true" t="shared" si="19" ref="D154:R154">SUM(D155:D166)</f>
        <v>1551</v>
      </c>
      <c r="E154" s="33">
        <f t="shared" si="19"/>
        <v>14226</v>
      </c>
      <c r="F154" s="33">
        <f t="shared" si="19"/>
        <v>716</v>
      </c>
      <c r="G154" s="33">
        <f t="shared" si="19"/>
        <v>14071</v>
      </c>
      <c r="H154" s="33">
        <f t="shared" si="19"/>
        <v>1131</v>
      </c>
      <c r="I154" s="33">
        <f t="shared" si="19"/>
        <v>17693</v>
      </c>
      <c r="J154" s="33">
        <f t="shared" si="19"/>
        <v>1217</v>
      </c>
      <c r="K154" s="33">
        <f t="shared" si="19"/>
        <v>17886</v>
      </c>
      <c r="L154" s="33">
        <f t="shared" si="19"/>
        <v>1362</v>
      </c>
      <c r="M154" s="33">
        <f t="shared" si="19"/>
        <v>19255</v>
      </c>
      <c r="N154" s="33">
        <f t="shared" si="19"/>
        <v>1291</v>
      </c>
      <c r="O154" s="33">
        <f t="shared" si="19"/>
        <v>21746</v>
      </c>
      <c r="P154" s="33">
        <f t="shared" si="19"/>
        <v>1588</v>
      </c>
      <c r="Q154" s="33">
        <f t="shared" si="19"/>
        <v>21647</v>
      </c>
      <c r="R154" s="33">
        <f t="shared" si="19"/>
        <v>1530</v>
      </c>
      <c r="S154" s="33">
        <f>SUM(S155:S166)</f>
        <v>9568</v>
      </c>
      <c r="T154" s="33">
        <f>SUM(T155:T166)</f>
        <v>1631</v>
      </c>
      <c r="U154" s="33">
        <f>SUM(U155:U166)</f>
        <v>10934</v>
      </c>
      <c r="V154" s="33">
        <f>SUM(V155:V166)</f>
        <v>2886</v>
      </c>
    </row>
    <row r="155" spans="1:22" s="54" customFormat="1" ht="12.75">
      <c r="A155" s="52"/>
      <c r="B155" s="6" t="s">
        <v>67</v>
      </c>
      <c r="C155" s="22">
        <v>85</v>
      </c>
      <c r="D155" s="37">
        <v>85</v>
      </c>
      <c r="E155" s="22">
        <v>38</v>
      </c>
      <c r="F155" s="37">
        <v>38</v>
      </c>
      <c r="G155" s="22">
        <v>187</v>
      </c>
      <c r="H155" s="37">
        <v>187</v>
      </c>
      <c r="I155" s="60">
        <v>33</v>
      </c>
      <c r="J155" s="37">
        <v>33</v>
      </c>
      <c r="K155" s="60">
        <v>6</v>
      </c>
      <c r="L155" s="37">
        <v>6</v>
      </c>
      <c r="M155" s="60">
        <v>25</v>
      </c>
      <c r="N155" s="37">
        <v>25</v>
      </c>
      <c r="O155" s="60">
        <v>18</v>
      </c>
      <c r="P155" s="37">
        <v>18</v>
      </c>
      <c r="Q155" s="60">
        <v>29</v>
      </c>
      <c r="R155" s="37">
        <v>29</v>
      </c>
      <c r="S155" s="60">
        <v>20</v>
      </c>
      <c r="T155" s="37">
        <v>20</v>
      </c>
      <c r="U155" s="60">
        <f>53+742</f>
        <v>795</v>
      </c>
      <c r="V155" s="37">
        <f>53+742</f>
        <v>795</v>
      </c>
    </row>
    <row r="156" spans="1:22" s="54" customFormat="1" ht="12.75">
      <c r="A156" s="52"/>
      <c r="B156" s="34" t="s">
        <v>17</v>
      </c>
      <c r="C156" s="22"/>
      <c r="D156" s="37"/>
      <c r="E156" s="22"/>
      <c r="F156" s="37"/>
      <c r="G156" s="22"/>
      <c r="H156" s="37"/>
      <c r="I156" s="60"/>
      <c r="J156" s="37"/>
      <c r="K156" s="60">
        <v>17</v>
      </c>
      <c r="L156" s="37">
        <v>17</v>
      </c>
      <c r="M156" s="60">
        <v>13</v>
      </c>
      <c r="N156" s="37">
        <v>13</v>
      </c>
      <c r="O156" s="60">
        <v>10</v>
      </c>
      <c r="P156" s="37">
        <v>10</v>
      </c>
      <c r="Q156" s="60">
        <v>20</v>
      </c>
      <c r="R156" s="37">
        <v>20</v>
      </c>
      <c r="S156" s="60"/>
      <c r="T156" s="37"/>
      <c r="U156" s="60">
        <v>402</v>
      </c>
      <c r="V156" s="37">
        <v>402</v>
      </c>
    </row>
    <row r="157" spans="1:22" s="2" customFormat="1" ht="12.75">
      <c r="A157" s="52"/>
      <c r="B157" s="35" t="s">
        <v>111</v>
      </c>
      <c r="C157" s="22">
        <f>182+67</f>
        <v>249</v>
      </c>
      <c r="D157" s="37">
        <f>182+67</f>
        <v>249</v>
      </c>
      <c r="E157" s="22">
        <f>117+45</f>
        <v>162</v>
      </c>
      <c r="F157" s="37">
        <f>117+45</f>
        <v>162</v>
      </c>
      <c r="G157" s="22">
        <f>151+345</f>
        <v>496</v>
      </c>
      <c r="H157" s="37">
        <f>151+345</f>
        <v>496</v>
      </c>
      <c r="I157" s="60">
        <v>645</v>
      </c>
      <c r="J157" s="37">
        <v>645</v>
      </c>
      <c r="K157" s="60">
        <v>854</v>
      </c>
      <c r="L157" s="37">
        <v>854</v>
      </c>
      <c r="M157" s="60">
        <f>775+35</f>
        <v>810</v>
      </c>
      <c r="N157" s="37">
        <f>775+35</f>
        <v>810</v>
      </c>
      <c r="O157" s="73">
        <f>1542+18</f>
        <v>1560</v>
      </c>
      <c r="P157" s="37">
        <f>1542+18</f>
        <v>1560</v>
      </c>
      <c r="Q157" s="73">
        <f>1426+55</f>
        <v>1481</v>
      </c>
      <c r="R157" s="37">
        <f>1426+55</f>
        <v>1481</v>
      </c>
      <c r="S157" s="73">
        <f>1573+30</f>
        <v>1603</v>
      </c>
      <c r="T157" s="37">
        <f>1573+30</f>
        <v>1603</v>
      </c>
      <c r="U157" s="73">
        <v>1677</v>
      </c>
      <c r="V157" s="37">
        <v>1677</v>
      </c>
    </row>
    <row r="158" spans="1:22" s="2" customFormat="1" ht="12.75">
      <c r="A158" s="52"/>
      <c r="B158" s="34" t="s">
        <v>22</v>
      </c>
      <c r="C158" s="22">
        <f>3770+82</f>
        <v>3852</v>
      </c>
      <c r="D158" s="37"/>
      <c r="E158" s="22">
        <f>3564+118</f>
        <v>3682</v>
      </c>
      <c r="F158" s="37"/>
      <c r="G158" s="22">
        <f>2934+53</f>
        <v>2987</v>
      </c>
      <c r="H158" s="37"/>
      <c r="I158" s="73">
        <f>2841+8</f>
        <v>2849</v>
      </c>
      <c r="J158" s="37"/>
      <c r="K158" s="73">
        <v>2993</v>
      </c>
      <c r="L158" s="37"/>
      <c r="M158" s="73">
        <v>2900</v>
      </c>
      <c r="N158" s="37"/>
      <c r="O158" s="73">
        <v>3100</v>
      </c>
      <c r="P158" s="37"/>
      <c r="Q158" s="73">
        <v>3450</v>
      </c>
      <c r="R158" s="37"/>
      <c r="S158" s="73">
        <v>3600</v>
      </c>
      <c r="T158" s="37"/>
      <c r="U158" s="73">
        <v>3650</v>
      </c>
      <c r="V158" s="37"/>
    </row>
    <row r="159" spans="1:22" s="2" customFormat="1" ht="12.75">
      <c r="A159" s="52"/>
      <c r="B159" s="35" t="s">
        <v>66</v>
      </c>
      <c r="C159" s="22">
        <v>168</v>
      </c>
      <c r="D159" s="37"/>
      <c r="E159" s="22">
        <v>156</v>
      </c>
      <c r="F159" s="37"/>
      <c r="G159" s="22">
        <f>168+448</f>
        <v>616</v>
      </c>
      <c r="H159" s="37">
        <v>448</v>
      </c>
      <c r="I159" s="73">
        <v>2276</v>
      </c>
      <c r="J159" s="37"/>
      <c r="K159" s="73">
        <f>2320+54</f>
        <v>2374</v>
      </c>
      <c r="L159" s="37"/>
      <c r="M159" s="73">
        <v>3104</v>
      </c>
      <c r="N159" s="37"/>
      <c r="O159" s="73">
        <v>5115</v>
      </c>
      <c r="P159" s="37"/>
      <c r="Q159" s="73">
        <v>3409</v>
      </c>
      <c r="R159" s="37"/>
      <c r="S159" s="73">
        <v>2692</v>
      </c>
      <c r="T159" s="37"/>
      <c r="U159" s="73">
        <v>2700</v>
      </c>
      <c r="V159" s="37"/>
    </row>
    <row r="160" spans="1:22" s="2" customFormat="1" ht="12.75">
      <c r="A160" s="52"/>
      <c r="B160" s="35" t="s">
        <v>23</v>
      </c>
      <c r="C160" s="22">
        <v>362</v>
      </c>
      <c r="D160" s="37"/>
      <c r="E160" s="22"/>
      <c r="F160" s="37"/>
      <c r="G160" s="22"/>
      <c r="H160" s="37"/>
      <c r="I160" s="73"/>
      <c r="J160" s="37"/>
      <c r="K160" s="73"/>
      <c r="L160" s="37"/>
      <c r="M160" s="73"/>
      <c r="N160" s="37"/>
      <c r="O160" s="73"/>
      <c r="P160" s="37"/>
      <c r="Q160" s="73">
        <v>350</v>
      </c>
      <c r="R160" s="37"/>
      <c r="S160" s="73"/>
      <c r="T160" s="37"/>
      <c r="U160" s="73"/>
      <c r="V160" s="37"/>
    </row>
    <row r="161" spans="1:22" s="2" customFormat="1" ht="12.75">
      <c r="A161" s="52"/>
      <c r="B161" s="34" t="s">
        <v>68</v>
      </c>
      <c r="C161" s="22">
        <f>5+825</f>
        <v>830</v>
      </c>
      <c r="D161" s="37"/>
      <c r="E161" s="22">
        <f>10+982</f>
        <v>992</v>
      </c>
      <c r="F161" s="37"/>
      <c r="G161" s="22">
        <f>5+899</f>
        <v>904</v>
      </c>
      <c r="H161" s="37"/>
      <c r="I161" s="73">
        <v>864</v>
      </c>
      <c r="J161" s="37"/>
      <c r="K161" s="73">
        <v>897</v>
      </c>
      <c r="L161" s="37"/>
      <c r="M161" s="73">
        <v>949</v>
      </c>
      <c r="N161" s="37"/>
      <c r="O161" s="73">
        <v>885</v>
      </c>
      <c r="P161" s="37"/>
      <c r="Q161" s="73">
        <v>960</v>
      </c>
      <c r="R161" s="37"/>
      <c r="S161" s="73">
        <v>863</v>
      </c>
      <c r="T161" s="37"/>
      <c r="U161" s="73">
        <v>894</v>
      </c>
      <c r="V161" s="37"/>
    </row>
    <row r="162" spans="1:22" s="2" customFormat="1" ht="12.75">
      <c r="A162" s="52"/>
      <c r="B162" s="35" t="s">
        <v>16</v>
      </c>
      <c r="C162" s="22">
        <v>306</v>
      </c>
      <c r="D162" s="37"/>
      <c r="E162" s="22">
        <v>310</v>
      </c>
      <c r="F162" s="37"/>
      <c r="G162" s="22"/>
      <c r="H162" s="37"/>
      <c r="I162" s="73">
        <f>310+539</f>
        <v>849</v>
      </c>
      <c r="J162" s="37">
        <v>539</v>
      </c>
      <c r="K162" s="73">
        <f>310+485</f>
        <v>795</v>
      </c>
      <c r="L162" s="37">
        <v>485</v>
      </c>
      <c r="M162" s="73">
        <f>436+443</f>
        <v>879</v>
      </c>
      <c r="N162" s="37">
        <v>443</v>
      </c>
      <c r="O162" s="73">
        <v>444</v>
      </c>
      <c r="P162" s="37"/>
      <c r="Q162" s="73">
        <v>423</v>
      </c>
      <c r="R162" s="37"/>
      <c r="S162" s="73">
        <f>8+432</f>
        <v>440</v>
      </c>
      <c r="T162" s="37">
        <v>8</v>
      </c>
      <c r="U162" s="73">
        <f>12+474</f>
        <v>486</v>
      </c>
      <c r="V162" s="37">
        <v>12</v>
      </c>
    </row>
    <row r="163" spans="1:22" s="2" customFormat="1" ht="12.75">
      <c r="A163" s="52"/>
      <c r="B163" s="35" t="s">
        <v>69</v>
      </c>
      <c r="C163" s="22">
        <v>1114</v>
      </c>
      <c r="D163" s="37">
        <v>1114</v>
      </c>
      <c r="E163" s="22">
        <v>516</v>
      </c>
      <c r="F163" s="37">
        <v>516</v>
      </c>
      <c r="G163" s="22"/>
      <c r="H163" s="37"/>
      <c r="I163" s="73"/>
      <c r="J163" s="37"/>
      <c r="K163" s="73"/>
      <c r="L163" s="37"/>
      <c r="M163" s="73"/>
      <c r="N163" s="37"/>
      <c r="O163" s="73"/>
      <c r="P163" s="37"/>
      <c r="Q163" s="73"/>
      <c r="R163" s="37"/>
      <c r="S163" s="73"/>
      <c r="T163" s="37"/>
      <c r="U163" s="73"/>
      <c r="V163" s="37"/>
    </row>
    <row r="164" spans="1:22" s="2" customFormat="1" ht="12.75">
      <c r="A164" s="52"/>
      <c r="B164" s="34" t="s">
        <v>70</v>
      </c>
      <c r="C164" s="22">
        <v>8031</v>
      </c>
      <c r="D164" s="37"/>
      <c r="E164" s="22">
        <v>8326</v>
      </c>
      <c r="F164" s="37"/>
      <c r="G164" s="22">
        <v>8881</v>
      </c>
      <c r="H164" s="37"/>
      <c r="I164" s="73">
        <v>9296</v>
      </c>
      <c r="J164" s="37"/>
      <c r="K164" s="73">
        <v>9640</v>
      </c>
      <c r="L164" s="37"/>
      <c r="M164" s="73">
        <v>10270</v>
      </c>
      <c r="N164" s="37"/>
      <c r="O164" s="73">
        <v>10270</v>
      </c>
      <c r="P164" s="37"/>
      <c r="Q164" s="73">
        <v>11150</v>
      </c>
      <c r="R164" s="37"/>
      <c r="S164" s="73"/>
      <c r="T164" s="37"/>
      <c r="U164" s="73"/>
      <c r="V164" s="37"/>
    </row>
    <row r="165" spans="1:22" s="2" customFormat="1" ht="12.75">
      <c r="A165" s="52"/>
      <c r="B165" s="35" t="s">
        <v>64</v>
      </c>
      <c r="C165" s="22">
        <f>101+103</f>
        <v>204</v>
      </c>
      <c r="D165" s="37">
        <v>103</v>
      </c>
      <c r="E165" s="22">
        <v>44</v>
      </c>
      <c r="F165" s="37"/>
      <c r="G165" s="22"/>
      <c r="H165" s="37"/>
      <c r="I165" s="73"/>
      <c r="J165" s="37"/>
      <c r="K165" s="73"/>
      <c r="L165" s="37"/>
      <c r="M165" s="73"/>
      <c r="N165" s="37"/>
      <c r="O165" s="73"/>
      <c r="P165" s="37"/>
      <c r="Q165" s="73"/>
      <c r="R165" s="37"/>
      <c r="S165" s="73"/>
      <c r="T165" s="37"/>
      <c r="U165" s="73"/>
      <c r="V165" s="37"/>
    </row>
    <row r="166" spans="1:22" s="97" customFormat="1" ht="12.75">
      <c r="A166" s="56"/>
      <c r="B166" s="57" t="s">
        <v>65</v>
      </c>
      <c r="C166" s="23"/>
      <c r="D166" s="55"/>
      <c r="E166" s="23"/>
      <c r="F166" s="55"/>
      <c r="G166" s="23"/>
      <c r="H166" s="55"/>
      <c r="I166" s="62">
        <v>881</v>
      </c>
      <c r="J166" s="55"/>
      <c r="K166" s="62">
        <v>310</v>
      </c>
      <c r="L166" s="55"/>
      <c r="M166" s="62">
        <v>305</v>
      </c>
      <c r="N166" s="55"/>
      <c r="O166" s="62">
        <v>344</v>
      </c>
      <c r="P166" s="55"/>
      <c r="Q166" s="62">
        <v>375</v>
      </c>
      <c r="R166" s="55"/>
      <c r="S166" s="62">
        <v>350</v>
      </c>
      <c r="T166" s="55"/>
      <c r="U166" s="62">
        <v>330</v>
      </c>
      <c r="V166" s="55"/>
    </row>
    <row r="167" spans="1:22" s="2" customFormat="1" ht="12.75">
      <c r="A167" s="77" t="s">
        <v>134</v>
      </c>
      <c r="B167" s="86"/>
      <c r="C167" s="33">
        <f>SUM(C168:C178)</f>
        <v>3320</v>
      </c>
      <c r="D167" s="33">
        <f aca="true" t="shared" si="20" ref="D167:T167">SUM(D168:D178)</f>
        <v>305</v>
      </c>
      <c r="E167" s="33">
        <f t="shared" si="20"/>
        <v>1028</v>
      </c>
      <c r="F167" s="33">
        <f t="shared" si="20"/>
        <v>690</v>
      </c>
      <c r="G167" s="33">
        <f t="shared" si="20"/>
        <v>810</v>
      </c>
      <c r="H167" s="33">
        <f t="shared" si="20"/>
        <v>326</v>
      </c>
      <c r="I167" s="33">
        <f t="shared" si="20"/>
        <v>1958</v>
      </c>
      <c r="J167" s="33">
        <f t="shared" si="20"/>
        <v>1629</v>
      </c>
      <c r="K167" s="33">
        <f t="shared" si="20"/>
        <v>2302</v>
      </c>
      <c r="L167" s="33">
        <f t="shared" si="20"/>
        <v>562</v>
      </c>
      <c r="M167" s="33">
        <f t="shared" si="20"/>
        <v>4867</v>
      </c>
      <c r="N167" s="33">
        <f t="shared" si="20"/>
        <v>2089</v>
      </c>
      <c r="O167" s="33">
        <f t="shared" si="20"/>
        <v>4803</v>
      </c>
      <c r="P167" s="33">
        <f t="shared" si="20"/>
        <v>1684</v>
      </c>
      <c r="Q167" s="33">
        <f t="shared" si="20"/>
        <v>5267</v>
      </c>
      <c r="R167" s="33">
        <f t="shared" si="20"/>
        <v>1969</v>
      </c>
      <c r="S167" s="33">
        <f t="shared" si="20"/>
        <v>2447</v>
      </c>
      <c r="T167" s="33">
        <f t="shared" si="20"/>
        <v>1213</v>
      </c>
      <c r="U167" s="33">
        <f>SUM(U168:U178)</f>
        <v>2492</v>
      </c>
      <c r="V167" s="33">
        <f>SUM(V168:V178)</f>
        <v>1364</v>
      </c>
    </row>
    <row r="168" spans="1:22" s="2" customFormat="1" ht="12.75">
      <c r="A168" s="52"/>
      <c r="B168" s="35" t="s">
        <v>66</v>
      </c>
      <c r="C168" s="22"/>
      <c r="D168" s="51"/>
      <c r="E168" s="22">
        <v>52</v>
      </c>
      <c r="F168" s="51">
        <v>52</v>
      </c>
      <c r="G168" s="22"/>
      <c r="H168" s="51"/>
      <c r="I168" s="66"/>
      <c r="J168" s="37"/>
      <c r="K168" s="66"/>
      <c r="L168" s="37"/>
      <c r="M168" s="66">
        <v>669</v>
      </c>
      <c r="N168" s="37">
        <v>669</v>
      </c>
      <c r="O168" s="66">
        <v>194</v>
      </c>
      <c r="P168" s="37">
        <v>194</v>
      </c>
      <c r="Q168" s="66"/>
      <c r="R168" s="37"/>
      <c r="S168" s="66">
        <v>35</v>
      </c>
      <c r="T168" s="37">
        <v>35</v>
      </c>
      <c r="U168" s="66">
        <v>43</v>
      </c>
      <c r="V168" s="37">
        <v>43</v>
      </c>
    </row>
    <row r="169" spans="1:22" s="2" customFormat="1" ht="12.75">
      <c r="A169" s="52"/>
      <c r="B169" s="35" t="s">
        <v>71</v>
      </c>
      <c r="C169" s="22">
        <f>34+9+95+83+5</f>
        <v>226</v>
      </c>
      <c r="D169" s="51"/>
      <c r="E169" s="22">
        <f>65+10+91+59+5</f>
        <v>230</v>
      </c>
      <c r="F169" s="51"/>
      <c r="G169" s="22">
        <v>236</v>
      </c>
      <c r="H169" s="51"/>
      <c r="I169" s="66">
        <v>314</v>
      </c>
      <c r="J169" s="37"/>
      <c r="K169" s="66">
        <v>157</v>
      </c>
      <c r="L169" s="37">
        <v>20</v>
      </c>
      <c r="M169" s="66">
        <v>185</v>
      </c>
      <c r="N169" s="37">
        <v>46</v>
      </c>
      <c r="O169" s="66">
        <v>205</v>
      </c>
      <c r="P169" s="37">
        <v>54</v>
      </c>
      <c r="Q169" s="66">
        <v>225</v>
      </c>
      <c r="R169" s="37">
        <v>58</v>
      </c>
      <c r="S169" s="66">
        <v>175</v>
      </c>
      <c r="T169" s="37">
        <v>59</v>
      </c>
      <c r="U169" s="66">
        <f>4+75</f>
        <v>79</v>
      </c>
      <c r="V169" s="37">
        <v>75</v>
      </c>
    </row>
    <row r="170" spans="1:22" s="2" customFormat="1" ht="12.75">
      <c r="A170" s="52"/>
      <c r="B170" s="35" t="s">
        <v>111</v>
      </c>
      <c r="C170" s="22">
        <v>134</v>
      </c>
      <c r="D170" s="68">
        <v>134</v>
      </c>
      <c r="E170" s="22"/>
      <c r="F170" s="68"/>
      <c r="G170" s="22"/>
      <c r="H170" s="68"/>
      <c r="I170" s="61">
        <v>57</v>
      </c>
      <c r="J170" s="37">
        <v>57</v>
      </c>
      <c r="K170" s="66">
        <v>125</v>
      </c>
      <c r="L170" s="73">
        <v>125</v>
      </c>
      <c r="M170" s="66">
        <v>146</v>
      </c>
      <c r="N170" s="73">
        <v>146</v>
      </c>
      <c r="O170" s="66">
        <v>44</v>
      </c>
      <c r="P170" s="73">
        <v>44</v>
      </c>
      <c r="Q170" s="66">
        <v>107</v>
      </c>
      <c r="R170" s="73">
        <v>107</v>
      </c>
      <c r="S170" s="66">
        <v>49</v>
      </c>
      <c r="T170" s="73">
        <v>49</v>
      </c>
      <c r="U170" s="66">
        <v>43</v>
      </c>
      <c r="V170" s="73">
        <v>43</v>
      </c>
    </row>
    <row r="171" spans="1:22" s="2" customFormat="1" ht="12.75">
      <c r="A171" s="52"/>
      <c r="B171" s="6" t="s">
        <v>67</v>
      </c>
      <c r="C171" s="22">
        <f>2789+95</f>
        <v>2884</v>
      </c>
      <c r="D171" s="68">
        <v>95</v>
      </c>
      <c r="E171" s="22">
        <f>108+627</f>
        <v>735</v>
      </c>
      <c r="F171" s="68">
        <v>627</v>
      </c>
      <c r="G171" s="22">
        <f>248+324</f>
        <v>572</v>
      </c>
      <c r="H171" s="68">
        <v>324</v>
      </c>
      <c r="I171" s="61">
        <f>15+332</f>
        <v>347</v>
      </c>
      <c r="J171" s="37">
        <v>332</v>
      </c>
      <c r="K171" s="66">
        <f>1032+126</f>
        <v>1158</v>
      </c>
      <c r="L171" s="37">
        <f>65+61</f>
        <v>126</v>
      </c>
      <c r="M171" s="66">
        <f>1432+944</f>
        <v>2376</v>
      </c>
      <c r="N171" s="37">
        <v>944</v>
      </c>
      <c r="O171" s="66">
        <f>1522+1153</f>
        <v>2675</v>
      </c>
      <c r="P171" s="37">
        <v>1153</v>
      </c>
      <c r="Q171" s="66">
        <f>1150+1781</f>
        <v>2931</v>
      </c>
      <c r="R171" s="37">
        <v>1781</v>
      </c>
      <c r="S171" s="66">
        <f>600+55+807+70</f>
        <v>1532</v>
      </c>
      <c r="T171" s="37">
        <f>55+807+70</f>
        <v>932</v>
      </c>
      <c r="U171" s="66">
        <f>600+58+980</f>
        <v>1638</v>
      </c>
      <c r="V171" s="37">
        <f>58+980</f>
        <v>1038</v>
      </c>
    </row>
    <row r="172" spans="1:22" s="2" customFormat="1" ht="12.75">
      <c r="A172" s="52"/>
      <c r="B172" s="34" t="s">
        <v>17</v>
      </c>
      <c r="C172" s="37">
        <v>70</v>
      </c>
      <c r="D172" s="51">
        <v>70</v>
      </c>
      <c r="E172" s="37">
        <v>8</v>
      </c>
      <c r="F172" s="51">
        <v>8</v>
      </c>
      <c r="G172" s="37"/>
      <c r="H172" s="51"/>
      <c r="I172" s="61"/>
      <c r="J172" s="37"/>
      <c r="K172" s="61"/>
      <c r="L172" s="37"/>
      <c r="M172" s="61">
        <v>203</v>
      </c>
      <c r="N172" s="37">
        <v>203</v>
      </c>
      <c r="O172" s="61">
        <v>61</v>
      </c>
      <c r="P172" s="37">
        <v>61</v>
      </c>
      <c r="Q172" s="61"/>
      <c r="R172" s="37"/>
      <c r="S172" s="61"/>
      <c r="T172" s="37"/>
      <c r="U172" s="61"/>
      <c r="V172" s="37"/>
    </row>
    <row r="173" spans="1:22" s="2" customFormat="1" ht="12.75">
      <c r="A173" s="52"/>
      <c r="B173" s="35" t="s">
        <v>64</v>
      </c>
      <c r="C173" s="37"/>
      <c r="D173" s="51"/>
      <c r="E173" s="37"/>
      <c r="F173" s="51"/>
      <c r="G173" s="37"/>
      <c r="H173" s="51"/>
      <c r="I173" s="61"/>
      <c r="J173" s="37"/>
      <c r="K173" s="61">
        <v>19</v>
      </c>
      <c r="L173" s="37">
        <v>19</v>
      </c>
      <c r="M173" s="61">
        <v>19</v>
      </c>
      <c r="N173" s="37">
        <v>19</v>
      </c>
      <c r="O173" s="61">
        <f>22+150</f>
        <v>172</v>
      </c>
      <c r="P173" s="37">
        <f>22+150</f>
        <v>172</v>
      </c>
      <c r="Q173" s="61">
        <v>11</v>
      </c>
      <c r="R173" s="37">
        <v>11</v>
      </c>
      <c r="S173" s="61">
        <f>29+99</f>
        <v>128</v>
      </c>
      <c r="T173" s="37">
        <f>29+99</f>
        <v>128</v>
      </c>
      <c r="U173" s="61">
        <v>69</v>
      </c>
      <c r="V173" s="37">
        <v>69</v>
      </c>
    </row>
    <row r="174" spans="1:22" s="2" customFormat="1" ht="12.75">
      <c r="A174" s="52"/>
      <c r="B174" s="35" t="s">
        <v>113</v>
      </c>
      <c r="C174" s="22"/>
      <c r="D174" s="51"/>
      <c r="E174" s="22"/>
      <c r="F174" s="51"/>
      <c r="G174" s="22"/>
      <c r="H174" s="51"/>
      <c r="I174" s="61"/>
      <c r="J174" s="37"/>
      <c r="K174" s="61">
        <v>270</v>
      </c>
      <c r="L174" s="37">
        <v>270</v>
      </c>
      <c r="M174" s="61">
        <v>59</v>
      </c>
      <c r="N174" s="37">
        <v>59</v>
      </c>
      <c r="O174" s="61"/>
      <c r="P174" s="37"/>
      <c r="Q174" s="61"/>
      <c r="R174" s="37"/>
      <c r="S174" s="61"/>
      <c r="T174" s="37"/>
      <c r="U174" s="61"/>
      <c r="V174" s="37"/>
    </row>
    <row r="175" spans="1:22" s="2" customFormat="1" ht="12.75">
      <c r="A175" s="52"/>
      <c r="B175" s="35" t="s">
        <v>72</v>
      </c>
      <c r="C175" s="22">
        <v>6</v>
      </c>
      <c r="D175" s="51">
        <v>6</v>
      </c>
      <c r="E175" s="22">
        <v>3</v>
      </c>
      <c r="F175" s="51">
        <v>3</v>
      </c>
      <c r="G175" s="22">
        <v>2</v>
      </c>
      <c r="H175" s="51">
        <v>2</v>
      </c>
      <c r="I175" s="66">
        <v>1</v>
      </c>
      <c r="J175" s="37">
        <v>1</v>
      </c>
      <c r="K175" s="61">
        <f>516+2</f>
        <v>518</v>
      </c>
      <c r="L175" s="37">
        <v>2</v>
      </c>
      <c r="M175" s="61">
        <f>517+3</f>
        <v>520</v>
      </c>
      <c r="N175" s="37">
        <v>3</v>
      </c>
      <c r="O175" s="61">
        <f>516+6</f>
        <v>522</v>
      </c>
      <c r="P175" s="37">
        <v>6</v>
      </c>
      <c r="Q175" s="61">
        <f>515+12</f>
        <v>527</v>
      </c>
      <c r="R175" s="37">
        <v>12</v>
      </c>
      <c r="S175" s="61">
        <f>10+516</f>
        <v>526</v>
      </c>
      <c r="T175" s="37">
        <v>10</v>
      </c>
      <c r="U175" s="61">
        <f>93+517</f>
        <v>610</v>
      </c>
      <c r="V175" s="37">
        <v>93</v>
      </c>
    </row>
    <row r="176" spans="1:22" s="2" customFormat="1" ht="12.75">
      <c r="A176" s="52"/>
      <c r="B176" s="10" t="s">
        <v>65</v>
      </c>
      <c r="C176" s="22"/>
      <c r="D176" s="51"/>
      <c r="E176" s="22"/>
      <c r="F176" s="51"/>
      <c r="G176" s="22"/>
      <c r="H176" s="51"/>
      <c r="I176" s="66"/>
      <c r="J176" s="37"/>
      <c r="K176" s="66">
        <v>55</v>
      </c>
      <c r="L176" s="37"/>
      <c r="M176" s="66">
        <v>90</v>
      </c>
      <c r="N176" s="37"/>
      <c r="O176" s="66">
        <v>181</v>
      </c>
      <c r="P176" s="37"/>
      <c r="Q176" s="66"/>
      <c r="R176" s="37"/>
      <c r="S176" s="66">
        <v>2</v>
      </c>
      <c r="T176" s="37"/>
      <c r="U176" s="66">
        <f>7+3</f>
        <v>10</v>
      </c>
      <c r="V176" s="37">
        <v>3</v>
      </c>
    </row>
    <row r="177" spans="1:22" s="2" customFormat="1" ht="12.75">
      <c r="A177" s="52"/>
      <c r="B177" s="10" t="s">
        <v>95</v>
      </c>
      <c r="C177" s="22"/>
      <c r="D177" s="51"/>
      <c r="E177" s="22"/>
      <c r="F177" s="51"/>
      <c r="G177" s="22"/>
      <c r="H177" s="51"/>
      <c r="I177" s="66"/>
      <c r="J177" s="37"/>
      <c r="K177" s="66"/>
      <c r="L177" s="37"/>
      <c r="M177" s="66">
        <v>600</v>
      </c>
      <c r="N177" s="37"/>
      <c r="O177" s="66">
        <v>749</v>
      </c>
      <c r="P177" s="37"/>
      <c r="Q177" s="66">
        <v>1466</v>
      </c>
      <c r="R177" s="37"/>
      <c r="S177" s="66"/>
      <c r="T177" s="37"/>
      <c r="U177" s="66"/>
      <c r="V177" s="37"/>
    </row>
    <row r="178" spans="1:22" s="97" customFormat="1" ht="12.75">
      <c r="A178" s="56"/>
      <c r="B178" s="57" t="s">
        <v>73</v>
      </c>
      <c r="C178" s="23"/>
      <c r="D178" s="55"/>
      <c r="E178" s="23"/>
      <c r="F178" s="55"/>
      <c r="G178" s="23"/>
      <c r="H178" s="55"/>
      <c r="I178" s="62">
        <v>1239</v>
      </c>
      <c r="J178" s="55">
        <v>1239</v>
      </c>
      <c r="K178" s="62"/>
      <c r="L178" s="55"/>
      <c r="M178" s="62"/>
      <c r="N178" s="55"/>
      <c r="O178" s="62"/>
      <c r="P178" s="55"/>
      <c r="Q178" s="62"/>
      <c r="R178" s="55"/>
      <c r="S178" s="62"/>
      <c r="T178" s="55"/>
      <c r="U178" s="62"/>
      <c r="V178" s="55"/>
    </row>
    <row r="179" spans="1:22" s="2" customFormat="1" ht="12.75">
      <c r="A179" s="77" t="s">
        <v>135</v>
      </c>
      <c r="B179" s="86"/>
      <c r="C179" s="33">
        <f aca="true" t="shared" si="21" ref="C179:T179">SUM(C180:C187)</f>
        <v>1578</v>
      </c>
      <c r="D179" s="33">
        <f t="shared" si="21"/>
        <v>1577</v>
      </c>
      <c r="E179" s="33">
        <f t="shared" si="21"/>
        <v>3821</v>
      </c>
      <c r="F179" s="33">
        <f t="shared" si="21"/>
        <v>3821</v>
      </c>
      <c r="G179" s="33">
        <f t="shared" si="21"/>
        <v>2685</v>
      </c>
      <c r="H179" s="33">
        <f t="shared" si="21"/>
        <v>2685</v>
      </c>
      <c r="I179" s="33">
        <f t="shared" si="21"/>
        <v>3926</v>
      </c>
      <c r="J179" s="33">
        <f t="shared" si="21"/>
        <v>3926</v>
      </c>
      <c r="K179" s="33">
        <f t="shared" si="21"/>
        <v>2087</v>
      </c>
      <c r="L179" s="33">
        <f t="shared" si="21"/>
        <v>2087</v>
      </c>
      <c r="M179" s="33">
        <f t="shared" si="21"/>
        <v>2461</v>
      </c>
      <c r="N179" s="33">
        <f t="shared" si="21"/>
        <v>2461</v>
      </c>
      <c r="O179" s="33">
        <f t="shared" si="21"/>
        <v>130</v>
      </c>
      <c r="P179" s="33">
        <f t="shared" si="21"/>
        <v>86</v>
      </c>
      <c r="Q179" s="33">
        <f t="shared" si="21"/>
        <v>2756</v>
      </c>
      <c r="R179" s="33">
        <f t="shared" si="21"/>
        <v>2400</v>
      </c>
      <c r="S179" s="33">
        <f t="shared" si="21"/>
        <v>371</v>
      </c>
      <c r="T179" s="33">
        <f t="shared" si="21"/>
        <v>323</v>
      </c>
      <c r="U179" s="33">
        <f>SUM(U180:U187)</f>
        <v>40</v>
      </c>
      <c r="V179" s="33">
        <f>SUM(V180:V187)</f>
        <v>7</v>
      </c>
    </row>
    <row r="180" spans="1:22" s="2" customFormat="1" ht="12.75">
      <c r="A180" s="52"/>
      <c r="B180" s="35" t="s">
        <v>64</v>
      </c>
      <c r="C180" s="22">
        <v>34</v>
      </c>
      <c r="D180" s="18">
        <v>34</v>
      </c>
      <c r="E180" s="22">
        <f>15+31</f>
        <v>46</v>
      </c>
      <c r="F180" s="18">
        <f>15+31</f>
        <v>46</v>
      </c>
      <c r="G180" s="22">
        <f>49+41</f>
        <v>90</v>
      </c>
      <c r="H180" s="18">
        <f>49+41</f>
        <v>90</v>
      </c>
      <c r="I180" s="31">
        <v>40</v>
      </c>
      <c r="J180" s="22">
        <v>40</v>
      </c>
      <c r="K180" s="31"/>
      <c r="L180" s="22"/>
      <c r="M180" s="31"/>
      <c r="N180" s="22"/>
      <c r="O180" s="31"/>
      <c r="P180" s="22"/>
      <c r="Q180" s="31"/>
      <c r="R180" s="22"/>
      <c r="S180" s="31"/>
      <c r="T180" s="22"/>
      <c r="U180" s="31"/>
      <c r="V180" s="22"/>
    </row>
    <row r="181" spans="1:22" s="2" customFormat="1" ht="12.75">
      <c r="A181" s="52"/>
      <c r="B181" s="35" t="s">
        <v>66</v>
      </c>
      <c r="C181" s="22"/>
      <c r="D181" s="18"/>
      <c r="E181" s="22">
        <f>1349+27</f>
        <v>1376</v>
      </c>
      <c r="F181" s="18">
        <f>1349+27</f>
        <v>1376</v>
      </c>
      <c r="G181" s="22">
        <v>225</v>
      </c>
      <c r="H181" s="18">
        <v>225</v>
      </c>
      <c r="I181" s="31">
        <v>2453</v>
      </c>
      <c r="J181" s="22">
        <v>2453</v>
      </c>
      <c r="K181" s="31">
        <v>2084</v>
      </c>
      <c r="L181" s="22">
        <v>2084</v>
      </c>
      <c r="M181" s="31">
        <v>2438</v>
      </c>
      <c r="N181" s="22">
        <v>2438</v>
      </c>
      <c r="O181" s="31"/>
      <c r="P181" s="22"/>
      <c r="Q181" s="117">
        <v>2283</v>
      </c>
      <c r="R181" s="22">
        <v>2283</v>
      </c>
      <c r="S181" s="31">
        <v>152</v>
      </c>
      <c r="T181" s="22">
        <v>152</v>
      </c>
      <c r="U181" s="31"/>
      <c r="V181" s="22"/>
    </row>
    <row r="182" spans="1:22" s="2" customFormat="1" ht="12.75">
      <c r="A182" s="52"/>
      <c r="B182" s="35" t="s">
        <v>69</v>
      </c>
      <c r="C182" s="37">
        <f>218+17</f>
        <v>235</v>
      </c>
      <c r="D182" s="47">
        <f>218+17</f>
        <v>235</v>
      </c>
      <c r="E182" s="37">
        <f>221+10</f>
        <v>231</v>
      </c>
      <c r="F182" s="47">
        <f>221+10</f>
        <v>231</v>
      </c>
      <c r="G182" s="37">
        <v>34</v>
      </c>
      <c r="H182" s="47">
        <v>34</v>
      </c>
      <c r="I182" s="60">
        <v>18</v>
      </c>
      <c r="J182" s="37">
        <v>18</v>
      </c>
      <c r="K182" s="60"/>
      <c r="L182" s="37"/>
      <c r="M182" s="60"/>
      <c r="N182" s="37"/>
      <c r="O182" s="60"/>
      <c r="P182" s="37"/>
      <c r="Q182" s="60"/>
      <c r="R182" s="37"/>
      <c r="S182" s="60"/>
      <c r="T182" s="37"/>
      <c r="U182" s="60"/>
      <c r="V182" s="37"/>
    </row>
    <row r="183" spans="1:22" s="2" customFormat="1" ht="12.75">
      <c r="A183" s="52"/>
      <c r="B183" s="34" t="s">
        <v>17</v>
      </c>
      <c r="C183" s="22">
        <f>572+620</f>
        <v>1192</v>
      </c>
      <c r="D183" s="22">
        <f>572+620</f>
        <v>1192</v>
      </c>
      <c r="E183" s="22">
        <f>864+1299</f>
        <v>2163</v>
      </c>
      <c r="F183" s="22">
        <f>864+1299</f>
        <v>2163</v>
      </c>
      <c r="G183" s="22">
        <f>593+1697</f>
        <v>2290</v>
      </c>
      <c r="H183" s="22">
        <f>593+1697</f>
        <v>2290</v>
      </c>
      <c r="I183" s="73">
        <v>1411</v>
      </c>
      <c r="J183" s="37">
        <v>1411</v>
      </c>
      <c r="K183" s="73"/>
      <c r="L183" s="37"/>
      <c r="M183" s="73"/>
      <c r="N183" s="37"/>
      <c r="O183" s="73"/>
      <c r="P183" s="37"/>
      <c r="Q183" s="73"/>
      <c r="R183" s="37"/>
      <c r="S183" s="60">
        <v>153</v>
      </c>
      <c r="T183" s="37">
        <v>153</v>
      </c>
      <c r="U183" s="60"/>
      <c r="V183" s="37"/>
    </row>
    <row r="184" spans="1:22" s="2" customFormat="1" ht="12.75">
      <c r="A184" s="9"/>
      <c r="B184" s="35" t="s">
        <v>21</v>
      </c>
      <c r="C184" s="80"/>
      <c r="D184" s="76"/>
      <c r="E184" s="80"/>
      <c r="F184" s="76"/>
      <c r="G184" s="80"/>
      <c r="H184" s="76"/>
      <c r="I184" s="24"/>
      <c r="J184" s="20"/>
      <c r="K184" s="24"/>
      <c r="L184" s="20"/>
      <c r="M184" s="24"/>
      <c r="N184" s="20"/>
      <c r="O184" s="24">
        <v>44</v>
      </c>
      <c r="P184" s="20"/>
      <c r="Q184" s="24">
        <v>41</v>
      </c>
      <c r="R184" s="20"/>
      <c r="S184" s="24">
        <v>47</v>
      </c>
      <c r="T184" s="20"/>
      <c r="U184" s="24">
        <v>33</v>
      </c>
      <c r="V184" s="20"/>
    </row>
    <row r="185" spans="1:22" s="2" customFormat="1" ht="12.75">
      <c r="A185" s="52"/>
      <c r="B185" s="35" t="s">
        <v>65</v>
      </c>
      <c r="C185" s="37">
        <v>1</v>
      </c>
      <c r="D185" s="47"/>
      <c r="E185" s="37"/>
      <c r="F185" s="47"/>
      <c r="G185" s="37"/>
      <c r="H185" s="47"/>
      <c r="I185" s="60"/>
      <c r="J185" s="37"/>
      <c r="K185" s="60">
        <v>3</v>
      </c>
      <c r="L185" s="37">
        <v>3</v>
      </c>
      <c r="M185" s="60">
        <f>22+1</f>
        <v>23</v>
      </c>
      <c r="N185" s="37">
        <f>22+1</f>
        <v>23</v>
      </c>
      <c r="O185" s="60">
        <v>86</v>
      </c>
      <c r="P185" s="37">
        <v>86</v>
      </c>
      <c r="Q185" s="60">
        <f>315+107</f>
        <v>422</v>
      </c>
      <c r="R185" s="37">
        <v>107</v>
      </c>
      <c r="S185" s="60">
        <f>18+1</f>
        <v>19</v>
      </c>
      <c r="T185" s="37">
        <v>18</v>
      </c>
      <c r="U185" s="60">
        <v>7</v>
      </c>
      <c r="V185" s="37">
        <v>7</v>
      </c>
    </row>
    <row r="186" spans="1:22" s="97" customFormat="1" ht="12.75">
      <c r="A186" s="52"/>
      <c r="B186" s="35" t="s">
        <v>72</v>
      </c>
      <c r="C186" s="22">
        <v>116</v>
      </c>
      <c r="D186" s="47">
        <v>116</v>
      </c>
      <c r="E186" s="22"/>
      <c r="F186" s="47"/>
      <c r="G186" s="22"/>
      <c r="H186" s="47"/>
      <c r="I186" s="60"/>
      <c r="J186" s="37"/>
      <c r="K186" s="60"/>
      <c r="L186" s="37"/>
      <c r="M186" s="60"/>
      <c r="N186" s="37"/>
      <c r="O186" s="60"/>
      <c r="P186" s="37"/>
      <c r="Q186" s="60"/>
      <c r="R186" s="37"/>
      <c r="S186" s="60"/>
      <c r="T186" s="37"/>
      <c r="U186" s="60"/>
      <c r="V186" s="37"/>
    </row>
    <row r="187" spans="1:22" s="2" customFormat="1" ht="12.75">
      <c r="A187" s="56"/>
      <c r="B187" s="57" t="s">
        <v>67</v>
      </c>
      <c r="C187" s="23"/>
      <c r="D187" s="55"/>
      <c r="E187" s="23">
        <v>5</v>
      </c>
      <c r="F187" s="55">
        <v>5</v>
      </c>
      <c r="G187" s="23">
        <v>46</v>
      </c>
      <c r="H187" s="55">
        <v>46</v>
      </c>
      <c r="I187" s="62">
        <v>4</v>
      </c>
      <c r="J187" s="55">
        <v>4</v>
      </c>
      <c r="K187" s="62"/>
      <c r="L187" s="55"/>
      <c r="M187" s="62"/>
      <c r="N187" s="55"/>
      <c r="O187" s="62"/>
      <c r="P187" s="55"/>
      <c r="Q187" s="62">
        <v>10</v>
      </c>
      <c r="R187" s="55">
        <v>10</v>
      </c>
      <c r="S187" s="62"/>
      <c r="T187" s="55"/>
      <c r="U187" s="62"/>
      <c r="V187" s="55"/>
    </row>
    <row r="188" spans="1:22" s="2" customFormat="1" ht="12.75">
      <c r="A188" s="77" t="s">
        <v>136</v>
      </c>
      <c r="B188" s="86"/>
      <c r="C188" s="33">
        <f>SUM(C189:C196)</f>
        <v>1898</v>
      </c>
      <c r="D188" s="33">
        <f aca="true" t="shared" si="22" ref="D188:P188">SUM(D189:D196)</f>
        <v>13</v>
      </c>
      <c r="E188" s="33">
        <f t="shared" si="22"/>
        <v>2013</v>
      </c>
      <c r="F188" s="33">
        <f t="shared" si="22"/>
        <v>3</v>
      </c>
      <c r="G188" s="33">
        <f t="shared" si="22"/>
        <v>1898</v>
      </c>
      <c r="H188" s="33">
        <f t="shared" si="22"/>
        <v>5</v>
      </c>
      <c r="I188" s="33">
        <f t="shared" si="22"/>
        <v>1706</v>
      </c>
      <c r="J188" s="33">
        <f t="shared" si="22"/>
        <v>13</v>
      </c>
      <c r="K188" s="33">
        <f t="shared" si="22"/>
        <v>2358</v>
      </c>
      <c r="L188" s="33">
        <f t="shared" si="22"/>
        <v>497</v>
      </c>
      <c r="M188" s="33">
        <f t="shared" si="22"/>
        <v>1956</v>
      </c>
      <c r="N188" s="33">
        <f t="shared" si="22"/>
        <v>509</v>
      </c>
      <c r="O188" s="33">
        <f t="shared" si="22"/>
        <v>2125</v>
      </c>
      <c r="P188" s="33">
        <f t="shared" si="22"/>
        <v>992</v>
      </c>
      <c r="Q188" s="33">
        <f>SUM(Q189:Q196)</f>
        <v>2262</v>
      </c>
      <c r="R188" s="33">
        <f>SUM(R189:R196)</f>
        <v>1046</v>
      </c>
      <c r="S188" s="33">
        <f>SUM(S189:S196)</f>
        <v>1704</v>
      </c>
      <c r="T188" s="33">
        <f>SUM(T189:T196)</f>
        <v>803</v>
      </c>
      <c r="U188" s="33">
        <f>SUM(U189:U196)</f>
        <v>1726</v>
      </c>
      <c r="V188" s="33">
        <f>SUM(V189:V196)</f>
        <v>987</v>
      </c>
    </row>
    <row r="189" spans="1:22" s="2" customFormat="1" ht="12.75">
      <c r="A189" s="52"/>
      <c r="B189" s="35" t="s">
        <v>66</v>
      </c>
      <c r="C189" s="22">
        <v>3</v>
      </c>
      <c r="D189" s="51">
        <v>3</v>
      </c>
      <c r="E189" s="18">
        <v>3</v>
      </c>
      <c r="F189" s="51">
        <v>3</v>
      </c>
      <c r="G189" s="18">
        <v>5</v>
      </c>
      <c r="H189" s="51">
        <v>5</v>
      </c>
      <c r="I189" s="50">
        <v>5</v>
      </c>
      <c r="J189" s="68">
        <v>5</v>
      </c>
      <c r="K189" s="66">
        <v>5</v>
      </c>
      <c r="L189" s="68">
        <v>5</v>
      </c>
      <c r="M189" s="67">
        <v>5</v>
      </c>
      <c r="N189" s="68">
        <v>5</v>
      </c>
      <c r="O189" s="67">
        <v>5</v>
      </c>
      <c r="P189" s="68">
        <v>5</v>
      </c>
      <c r="Q189" s="66">
        <v>5</v>
      </c>
      <c r="R189" s="68">
        <v>5</v>
      </c>
      <c r="S189" s="67">
        <v>5</v>
      </c>
      <c r="T189" s="68">
        <v>5</v>
      </c>
      <c r="U189" s="67">
        <v>6</v>
      </c>
      <c r="V189" s="68">
        <v>6</v>
      </c>
    </row>
    <row r="190" spans="1:22" s="2" customFormat="1" ht="12.75">
      <c r="A190" s="52"/>
      <c r="B190" s="35" t="s">
        <v>111</v>
      </c>
      <c r="C190" s="22">
        <v>10</v>
      </c>
      <c r="D190" s="37">
        <v>10</v>
      </c>
      <c r="E190" s="22"/>
      <c r="F190" s="37"/>
      <c r="G190" s="22"/>
      <c r="H190" s="37"/>
      <c r="I190" s="60"/>
      <c r="J190" s="37"/>
      <c r="K190" s="73">
        <v>417</v>
      </c>
      <c r="L190" s="73">
        <v>417</v>
      </c>
      <c r="M190" s="73">
        <v>423</v>
      </c>
      <c r="N190" s="73">
        <v>423</v>
      </c>
      <c r="O190" s="73">
        <v>432</v>
      </c>
      <c r="P190" s="73">
        <v>432</v>
      </c>
      <c r="Q190" s="73">
        <v>448</v>
      </c>
      <c r="R190" s="73">
        <v>448</v>
      </c>
      <c r="S190" s="73">
        <v>224</v>
      </c>
      <c r="T190" s="73">
        <v>224</v>
      </c>
      <c r="U190" s="73">
        <v>194</v>
      </c>
      <c r="V190" s="73">
        <v>194</v>
      </c>
    </row>
    <row r="191" spans="1:22" s="2" customFormat="1" ht="12.75">
      <c r="A191" s="52"/>
      <c r="B191" s="35" t="s">
        <v>72</v>
      </c>
      <c r="C191" s="22"/>
      <c r="D191" s="37"/>
      <c r="E191" s="22"/>
      <c r="F191" s="37"/>
      <c r="G191" s="22"/>
      <c r="H191" s="37"/>
      <c r="I191" s="60"/>
      <c r="J191" s="37"/>
      <c r="K191" s="73"/>
      <c r="L191" s="73"/>
      <c r="M191" s="73"/>
      <c r="N191" s="73"/>
      <c r="O191" s="73">
        <v>11</v>
      </c>
      <c r="P191" s="73">
        <v>11</v>
      </c>
      <c r="Q191" s="73">
        <v>3</v>
      </c>
      <c r="R191" s="73">
        <v>3</v>
      </c>
      <c r="S191" s="73">
        <v>2</v>
      </c>
      <c r="T191" s="73">
        <v>2</v>
      </c>
      <c r="U191" s="73">
        <v>20</v>
      </c>
      <c r="V191" s="73">
        <v>20</v>
      </c>
    </row>
    <row r="192" spans="1:22" s="2" customFormat="1" ht="12.75">
      <c r="A192" s="52"/>
      <c r="B192" s="6" t="s">
        <v>67</v>
      </c>
      <c r="C192" s="22"/>
      <c r="D192" s="37"/>
      <c r="E192" s="22"/>
      <c r="F192" s="37"/>
      <c r="G192" s="22"/>
      <c r="H192" s="37"/>
      <c r="I192" s="60">
        <v>8</v>
      </c>
      <c r="J192" s="37">
        <v>8</v>
      </c>
      <c r="K192" s="73">
        <v>66</v>
      </c>
      <c r="L192" s="73">
        <v>66</v>
      </c>
      <c r="M192" s="73">
        <v>71</v>
      </c>
      <c r="N192" s="73">
        <v>71</v>
      </c>
      <c r="O192" s="73">
        <v>28</v>
      </c>
      <c r="P192" s="73">
        <v>28</v>
      </c>
      <c r="Q192" s="73">
        <f>23+35</f>
        <v>58</v>
      </c>
      <c r="R192" s="73">
        <f>23+35</f>
        <v>58</v>
      </c>
      <c r="S192" s="73"/>
      <c r="T192" s="73"/>
      <c r="U192" s="73">
        <v>160</v>
      </c>
      <c r="V192" s="73">
        <v>160</v>
      </c>
    </row>
    <row r="193" spans="1:22" s="2" customFormat="1" ht="12.75">
      <c r="A193" s="52"/>
      <c r="B193" s="35" t="s">
        <v>75</v>
      </c>
      <c r="C193" s="22">
        <v>868</v>
      </c>
      <c r="D193" s="37"/>
      <c r="E193" s="22">
        <v>853</v>
      </c>
      <c r="F193" s="37"/>
      <c r="G193" s="22">
        <v>803</v>
      </c>
      <c r="H193" s="37"/>
      <c r="I193" s="60">
        <v>880</v>
      </c>
      <c r="J193" s="37"/>
      <c r="K193" s="73">
        <v>1100</v>
      </c>
      <c r="L193" s="73"/>
      <c r="M193" s="73">
        <v>884</v>
      </c>
      <c r="N193" s="73"/>
      <c r="O193" s="73">
        <v>989</v>
      </c>
      <c r="P193" s="73">
        <v>501</v>
      </c>
      <c r="Q193" s="73">
        <v>962</v>
      </c>
      <c r="R193" s="73">
        <v>527</v>
      </c>
      <c r="S193" s="73">
        <v>723</v>
      </c>
      <c r="T193" s="73">
        <v>505</v>
      </c>
      <c r="U193" s="73">
        <f>145+601</f>
        <v>746</v>
      </c>
      <c r="V193" s="73">
        <v>601</v>
      </c>
    </row>
    <row r="194" spans="1:22" s="2" customFormat="1" ht="12.75">
      <c r="A194" s="52"/>
      <c r="B194" s="34" t="s">
        <v>74</v>
      </c>
      <c r="C194" s="22">
        <v>236</v>
      </c>
      <c r="D194" s="37"/>
      <c r="E194" s="22">
        <v>1045</v>
      </c>
      <c r="F194" s="37"/>
      <c r="G194" s="22">
        <v>991</v>
      </c>
      <c r="H194" s="37"/>
      <c r="I194" s="73">
        <v>742</v>
      </c>
      <c r="J194" s="37"/>
      <c r="K194" s="73">
        <v>689</v>
      </c>
      <c r="L194" s="73"/>
      <c r="M194" s="73">
        <v>501</v>
      </c>
      <c r="N194" s="73"/>
      <c r="O194" s="73">
        <v>571</v>
      </c>
      <c r="P194" s="73"/>
      <c r="Q194" s="73">
        <v>721</v>
      </c>
      <c r="R194" s="73"/>
      <c r="S194" s="73">
        <v>562</v>
      </c>
      <c r="T194" s="73"/>
      <c r="U194" s="73">
        <v>511</v>
      </c>
      <c r="V194" s="73"/>
    </row>
    <row r="195" spans="1:22" s="2" customFormat="1" ht="12.75">
      <c r="A195" s="52"/>
      <c r="B195" s="34" t="s">
        <v>17</v>
      </c>
      <c r="C195" s="22"/>
      <c r="D195" s="37"/>
      <c r="E195" s="22"/>
      <c r="F195" s="37"/>
      <c r="G195" s="22"/>
      <c r="H195" s="37"/>
      <c r="I195" s="73"/>
      <c r="J195" s="37"/>
      <c r="K195" s="73">
        <v>9</v>
      </c>
      <c r="L195" s="73">
        <v>9</v>
      </c>
      <c r="M195" s="73">
        <v>10</v>
      </c>
      <c r="N195" s="73">
        <v>10</v>
      </c>
      <c r="O195" s="73">
        <v>15</v>
      </c>
      <c r="P195" s="73">
        <v>15</v>
      </c>
      <c r="Q195" s="73">
        <v>5</v>
      </c>
      <c r="R195" s="73">
        <v>5</v>
      </c>
      <c r="S195" s="73">
        <v>67</v>
      </c>
      <c r="T195" s="73">
        <v>67</v>
      </c>
      <c r="U195" s="73">
        <v>6</v>
      </c>
      <c r="V195" s="73">
        <v>6</v>
      </c>
    </row>
    <row r="196" spans="1:22" s="2" customFormat="1" ht="12.75">
      <c r="A196" s="56"/>
      <c r="B196" s="16" t="s">
        <v>65</v>
      </c>
      <c r="C196" s="23">
        <v>781</v>
      </c>
      <c r="D196" s="38"/>
      <c r="E196" s="23">
        <v>112</v>
      </c>
      <c r="F196" s="38"/>
      <c r="G196" s="23">
        <v>99</v>
      </c>
      <c r="H196" s="38"/>
      <c r="I196" s="89">
        <v>71</v>
      </c>
      <c r="J196" s="38"/>
      <c r="K196" s="89">
        <v>72</v>
      </c>
      <c r="L196" s="89"/>
      <c r="M196" s="89">
        <v>62</v>
      </c>
      <c r="N196" s="89"/>
      <c r="O196" s="89">
        <v>74</v>
      </c>
      <c r="P196" s="89"/>
      <c r="Q196" s="89">
        <v>60</v>
      </c>
      <c r="R196" s="89"/>
      <c r="S196" s="89">
        <v>121</v>
      </c>
      <c r="T196" s="89"/>
      <c r="U196" s="89">
        <v>83</v>
      </c>
      <c r="V196" s="89"/>
    </row>
    <row r="197" spans="1:22" s="2" customFormat="1" ht="12.75">
      <c r="A197" s="77" t="s">
        <v>137</v>
      </c>
      <c r="B197" s="86"/>
      <c r="C197" s="33">
        <f>SUM(C198:C205)</f>
        <v>2471</v>
      </c>
      <c r="D197" s="33">
        <f aca="true" t="shared" si="23" ref="D197:P197">SUM(D198:D205)</f>
        <v>296</v>
      </c>
      <c r="E197" s="33">
        <f t="shared" si="23"/>
        <v>2142</v>
      </c>
      <c r="F197" s="33">
        <f t="shared" si="23"/>
        <v>444</v>
      </c>
      <c r="G197" s="33">
        <f t="shared" si="23"/>
        <v>2693</v>
      </c>
      <c r="H197" s="33">
        <f t="shared" si="23"/>
        <v>1963</v>
      </c>
      <c r="I197" s="33">
        <f t="shared" si="23"/>
        <v>872</v>
      </c>
      <c r="J197" s="33">
        <f t="shared" si="23"/>
        <v>145</v>
      </c>
      <c r="K197" s="33">
        <f t="shared" si="23"/>
        <v>756</v>
      </c>
      <c r="L197" s="33">
        <f t="shared" si="23"/>
        <v>12</v>
      </c>
      <c r="M197" s="33">
        <f t="shared" si="23"/>
        <v>772</v>
      </c>
      <c r="N197" s="33">
        <f t="shared" si="23"/>
        <v>1</v>
      </c>
      <c r="O197" s="33">
        <f t="shared" si="23"/>
        <v>1292</v>
      </c>
      <c r="P197" s="33">
        <f t="shared" si="23"/>
        <v>601</v>
      </c>
      <c r="Q197" s="33">
        <f>SUM(Q198:Q205)</f>
        <v>1059</v>
      </c>
      <c r="R197" s="33">
        <f>SUM(R198:R205)</f>
        <v>500</v>
      </c>
      <c r="S197" s="33">
        <f>SUM(S198:S205)</f>
        <v>3183</v>
      </c>
      <c r="T197" s="33">
        <f>SUM(T198:T205)</f>
        <v>1964</v>
      </c>
      <c r="U197" s="33">
        <f>SUM(U198:U205)</f>
        <v>2530</v>
      </c>
      <c r="V197" s="33">
        <f>SUM(V198:V205)</f>
        <v>1327</v>
      </c>
    </row>
    <row r="198" spans="1:22" s="2" customFormat="1" ht="12.75">
      <c r="A198" s="52"/>
      <c r="B198" s="34" t="s">
        <v>17</v>
      </c>
      <c r="C198" s="22"/>
      <c r="D198" s="47"/>
      <c r="E198" s="22"/>
      <c r="F198" s="47"/>
      <c r="G198" s="22">
        <v>31</v>
      </c>
      <c r="H198" s="47">
        <v>31</v>
      </c>
      <c r="I198" s="36">
        <v>31</v>
      </c>
      <c r="J198" s="47">
        <v>31</v>
      </c>
      <c r="K198" s="36"/>
      <c r="L198" s="47"/>
      <c r="M198" s="36"/>
      <c r="N198" s="47"/>
      <c r="O198" s="36"/>
      <c r="P198" s="47"/>
      <c r="Q198" s="36"/>
      <c r="R198" s="47"/>
      <c r="S198" s="36">
        <v>65</v>
      </c>
      <c r="T198" s="47">
        <v>65</v>
      </c>
      <c r="U198" s="36"/>
      <c r="V198" s="47"/>
    </row>
    <row r="199" spans="1:22" s="2" customFormat="1" ht="12.75">
      <c r="A199" s="52"/>
      <c r="B199" s="35" t="s">
        <v>64</v>
      </c>
      <c r="C199" s="37">
        <f>15+2</f>
        <v>17</v>
      </c>
      <c r="D199" s="47">
        <v>15</v>
      </c>
      <c r="E199" s="37">
        <f>50+11</f>
        <v>61</v>
      </c>
      <c r="F199" s="47">
        <v>50</v>
      </c>
      <c r="G199" s="37">
        <f>37+6</f>
        <v>43</v>
      </c>
      <c r="H199" s="47">
        <v>37</v>
      </c>
      <c r="I199" s="36">
        <f>8+10</f>
        <v>18</v>
      </c>
      <c r="J199" s="47">
        <v>8</v>
      </c>
      <c r="K199" s="36">
        <f>11+10</f>
        <v>21</v>
      </c>
      <c r="L199" s="47">
        <v>11</v>
      </c>
      <c r="M199" s="36">
        <v>12</v>
      </c>
      <c r="N199" s="47"/>
      <c r="O199" s="36">
        <v>10</v>
      </c>
      <c r="P199" s="47"/>
      <c r="Q199" s="36">
        <v>11</v>
      </c>
      <c r="R199" s="47"/>
      <c r="S199" s="36">
        <v>1446</v>
      </c>
      <c r="T199" s="47">
        <v>1446</v>
      </c>
      <c r="U199" s="36">
        <v>927</v>
      </c>
      <c r="V199" s="47">
        <v>927</v>
      </c>
    </row>
    <row r="200" spans="1:22" s="2" customFormat="1" ht="12.75">
      <c r="A200" s="52"/>
      <c r="B200" s="34" t="s">
        <v>67</v>
      </c>
      <c r="C200" s="37">
        <v>281</v>
      </c>
      <c r="D200" s="47">
        <v>281</v>
      </c>
      <c r="E200" s="37">
        <v>121</v>
      </c>
      <c r="F200" s="47">
        <v>121</v>
      </c>
      <c r="G200" s="37">
        <v>247</v>
      </c>
      <c r="H200" s="47">
        <v>247</v>
      </c>
      <c r="I200" s="36">
        <v>106</v>
      </c>
      <c r="J200" s="47">
        <v>106</v>
      </c>
      <c r="K200" s="36"/>
      <c r="L200" s="47"/>
      <c r="M200" s="36">
        <v>136</v>
      </c>
      <c r="N200" s="47"/>
      <c r="O200" s="36">
        <v>220</v>
      </c>
      <c r="P200" s="47">
        <v>220</v>
      </c>
      <c r="Q200" s="36">
        <v>500</v>
      </c>
      <c r="R200" s="47">
        <v>500</v>
      </c>
      <c r="S200" s="36">
        <v>250</v>
      </c>
      <c r="T200" s="47">
        <v>250</v>
      </c>
      <c r="U200" s="36">
        <v>400</v>
      </c>
      <c r="V200" s="47">
        <v>400</v>
      </c>
    </row>
    <row r="201" spans="1:22" s="2" customFormat="1" ht="12.75">
      <c r="A201" s="52"/>
      <c r="B201" s="35" t="s">
        <v>66</v>
      </c>
      <c r="C201" s="37"/>
      <c r="D201" s="47"/>
      <c r="E201" s="37">
        <v>232</v>
      </c>
      <c r="F201" s="47">
        <v>232</v>
      </c>
      <c r="G201" s="37">
        <v>1575</v>
      </c>
      <c r="H201" s="47">
        <v>1575</v>
      </c>
      <c r="I201" s="36"/>
      <c r="J201" s="47"/>
      <c r="K201" s="36"/>
      <c r="L201" s="47"/>
      <c r="M201" s="36"/>
      <c r="N201" s="47"/>
      <c r="O201" s="36"/>
      <c r="P201" s="47"/>
      <c r="Q201" s="36"/>
      <c r="R201" s="47"/>
      <c r="S201" s="36">
        <v>46</v>
      </c>
      <c r="T201" s="47">
        <v>46</v>
      </c>
      <c r="U201" s="36"/>
      <c r="V201" s="47"/>
    </row>
    <row r="202" spans="1:22" s="2" customFormat="1" ht="12.75">
      <c r="A202" s="52"/>
      <c r="B202" s="35" t="s">
        <v>111</v>
      </c>
      <c r="C202" s="37"/>
      <c r="D202" s="37"/>
      <c r="E202" s="37">
        <v>41</v>
      </c>
      <c r="F202" s="37">
        <v>41</v>
      </c>
      <c r="G202" s="37">
        <f>21+52</f>
        <v>73</v>
      </c>
      <c r="H202" s="37">
        <f>21+52</f>
        <v>73</v>
      </c>
      <c r="I202" s="36"/>
      <c r="J202" s="47"/>
      <c r="K202" s="36"/>
      <c r="L202" s="47"/>
      <c r="M202" s="36"/>
      <c r="N202" s="47"/>
      <c r="O202" s="36"/>
      <c r="P202" s="47"/>
      <c r="Q202" s="36"/>
      <c r="R202" s="47"/>
      <c r="S202" s="36">
        <f>131+19</f>
        <v>150</v>
      </c>
      <c r="T202" s="47">
        <f>131+19</f>
        <v>150</v>
      </c>
      <c r="U202" s="36"/>
      <c r="V202" s="47"/>
    </row>
    <row r="203" spans="1:22" s="2" customFormat="1" ht="12.75">
      <c r="A203" s="52"/>
      <c r="B203" s="10" t="s">
        <v>65</v>
      </c>
      <c r="C203" s="22"/>
      <c r="D203" s="18"/>
      <c r="E203" s="22"/>
      <c r="F203" s="18"/>
      <c r="G203" s="22"/>
      <c r="H203" s="18"/>
      <c r="I203" s="36"/>
      <c r="J203" s="47"/>
      <c r="K203" s="36">
        <v>1</v>
      </c>
      <c r="L203" s="47">
        <v>1</v>
      </c>
      <c r="M203" s="36">
        <v>1</v>
      </c>
      <c r="N203" s="47">
        <v>1</v>
      </c>
      <c r="O203" s="36">
        <v>103</v>
      </c>
      <c r="P203" s="47">
        <v>103</v>
      </c>
      <c r="Q203" s="36"/>
      <c r="R203" s="47"/>
      <c r="S203" s="36"/>
      <c r="T203" s="47"/>
      <c r="U203" s="36"/>
      <c r="V203" s="47"/>
    </row>
    <row r="204" spans="1:22" s="2" customFormat="1" ht="12.75">
      <c r="A204" s="52"/>
      <c r="B204" s="10" t="s">
        <v>109</v>
      </c>
      <c r="C204" s="22"/>
      <c r="D204" s="18"/>
      <c r="E204" s="22"/>
      <c r="F204" s="18"/>
      <c r="G204" s="22"/>
      <c r="H204" s="18"/>
      <c r="I204" s="36"/>
      <c r="J204" s="47"/>
      <c r="K204" s="36"/>
      <c r="L204" s="47"/>
      <c r="M204" s="36"/>
      <c r="N204" s="47"/>
      <c r="O204" s="36">
        <v>278</v>
      </c>
      <c r="P204" s="47">
        <v>278</v>
      </c>
      <c r="Q204" s="36"/>
      <c r="R204" s="47"/>
      <c r="S204" s="36">
        <v>7</v>
      </c>
      <c r="T204" s="47">
        <v>7</v>
      </c>
      <c r="U204" s="36"/>
      <c r="V204" s="47"/>
    </row>
    <row r="205" spans="1:22" s="2" customFormat="1" ht="12.75">
      <c r="A205" s="56"/>
      <c r="B205" s="16" t="s">
        <v>76</v>
      </c>
      <c r="C205" s="23">
        <v>2173</v>
      </c>
      <c r="D205" s="38"/>
      <c r="E205" s="23">
        <v>1687</v>
      </c>
      <c r="F205" s="38"/>
      <c r="G205" s="23">
        <v>724</v>
      </c>
      <c r="H205" s="38"/>
      <c r="I205" s="89">
        <f>7+710</f>
        <v>717</v>
      </c>
      <c r="J205" s="38"/>
      <c r="K205" s="89">
        <v>734</v>
      </c>
      <c r="L205" s="89"/>
      <c r="M205" s="89">
        <v>623</v>
      </c>
      <c r="N205" s="89"/>
      <c r="O205" s="89">
        <v>681</v>
      </c>
      <c r="P205" s="89"/>
      <c r="Q205" s="89">
        <v>548</v>
      </c>
      <c r="R205" s="89"/>
      <c r="S205" s="89">
        <v>1219</v>
      </c>
      <c r="T205" s="89"/>
      <c r="U205" s="89">
        <v>1203</v>
      </c>
      <c r="V205" s="89"/>
    </row>
    <row r="206" spans="1:22" s="2" customFormat="1" ht="12.75">
      <c r="A206" s="77" t="s">
        <v>85</v>
      </c>
      <c r="B206" s="86"/>
      <c r="C206" s="33">
        <f>SUM(C207:C215)</f>
        <v>1405</v>
      </c>
      <c r="D206" s="33">
        <f aca="true" t="shared" si="24" ref="D206:P206">SUM(D207:D215)</f>
        <v>0</v>
      </c>
      <c r="E206" s="33">
        <f t="shared" si="24"/>
        <v>3027</v>
      </c>
      <c r="F206" s="33">
        <f t="shared" si="24"/>
        <v>0</v>
      </c>
      <c r="G206" s="33">
        <f t="shared" si="24"/>
        <v>3809</v>
      </c>
      <c r="H206" s="33">
        <f t="shared" si="24"/>
        <v>580</v>
      </c>
      <c r="I206" s="33">
        <f t="shared" si="24"/>
        <v>3939</v>
      </c>
      <c r="J206" s="33">
        <f t="shared" si="24"/>
        <v>0</v>
      </c>
      <c r="K206" s="33">
        <f t="shared" si="24"/>
        <v>5042</v>
      </c>
      <c r="L206" s="33">
        <f t="shared" si="24"/>
        <v>137</v>
      </c>
      <c r="M206" s="33">
        <f t="shared" si="24"/>
        <v>5137</v>
      </c>
      <c r="N206" s="33">
        <f t="shared" si="24"/>
        <v>1274</v>
      </c>
      <c r="O206" s="33">
        <f t="shared" si="24"/>
        <v>4063</v>
      </c>
      <c r="P206" s="33">
        <f t="shared" si="24"/>
        <v>952</v>
      </c>
      <c r="Q206" s="33">
        <f>SUM(Q207:Q215)</f>
        <v>4265</v>
      </c>
      <c r="R206" s="33">
        <f>SUM(R207:R215)</f>
        <v>40</v>
      </c>
      <c r="S206" s="33">
        <f>SUM(S207:S215)</f>
        <v>3841</v>
      </c>
      <c r="T206" s="33">
        <f>SUM(T207:T215)</f>
        <v>139</v>
      </c>
      <c r="U206" s="33">
        <f>SUM(U207:U215)</f>
        <v>7273</v>
      </c>
      <c r="V206" s="33">
        <f>SUM(V207:V215)</f>
        <v>4361</v>
      </c>
    </row>
    <row r="207" spans="1:22" s="2" customFormat="1" ht="12.75">
      <c r="A207" s="52"/>
      <c r="B207" s="10" t="s">
        <v>65</v>
      </c>
      <c r="C207" s="22"/>
      <c r="D207" s="60"/>
      <c r="E207" s="22">
        <v>50</v>
      </c>
      <c r="F207" s="60"/>
      <c r="G207" s="22">
        <v>2</v>
      </c>
      <c r="H207" s="60"/>
      <c r="I207" s="37">
        <v>32</v>
      </c>
      <c r="J207" s="60"/>
      <c r="K207" s="37">
        <v>10</v>
      </c>
      <c r="L207" s="60"/>
      <c r="M207" s="37">
        <v>2</v>
      </c>
      <c r="N207" s="60"/>
      <c r="O207" s="37"/>
      <c r="P207" s="60"/>
      <c r="Q207" s="37"/>
      <c r="R207" s="60"/>
      <c r="S207" s="37"/>
      <c r="T207" s="60"/>
      <c r="U207" s="37">
        <v>21</v>
      </c>
      <c r="V207" s="60">
        <v>21</v>
      </c>
    </row>
    <row r="208" spans="1:22" s="2" customFormat="1" ht="12.75">
      <c r="A208" s="52"/>
      <c r="B208" s="35" t="s">
        <v>64</v>
      </c>
      <c r="C208" s="22"/>
      <c r="D208" s="60"/>
      <c r="E208" s="22"/>
      <c r="F208" s="60"/>
      <c r="G208" s="22"/>
      <c r="H208" s="60"/>
      <c r="I208" s="37">
        <v>1</v>
      </c>
      <c r="J208" s="60"/>
      <c r="K208" s="37">
        <v>1</v>
      </c>
      <c r="L208" s="60"/>
      <c r="M208" s="37">
        <v>1</v>
      </c>
      <c r="N208" s="60"/>
      <c r="O208" s="37">
        <v>1</v>
      </c>
      <c r="P208" s="60"/>
      <c r="Q208" s="37">
        <v>1</v>
      </c>
      <c r="R208" s="60"/>
      <c r="S208" s="37">
        <v>1</v>
      </c>
      <c r="T208" s="60"/>
      <c r="U208" s="37">
        <v>1</v>
      </c>
      <c r="V208" s="60"/>
    </row>
    <row r="209" spans="1:22" s="2" customFormat="1" ht="12.75">
      <c r="A209" s="52"/>
      <c r="B209" s="35" t="s">
        <v>109</v>
      </c>
      <c r="C209" s="22"/>
      <c r="D209" s="60"/>
      <c r="E209" s="22"/>
      <c r="F209" s="60"/>
      <c r="G209" s="22"/>
      <c r="H209" s="60"/>
      <c r="I209" s="37"/>
      <c r="J209" s="60"/>
      <c r="K209" s="37"/>
      <c r="L209" s="60"/>
      <c r="M209" s="37"/>
      <c r="N209" s="60"/>
      <c r="O209" s="37"/>
      <c r="P209" s="60"/>
      <c r="Q209" s="37">
        <v>7</v>
      </c>
      <c r="R209" s="60"/>
      <c r="S209" s="37">
        <v>31</v>
      </c>
      <c r="T209" s="60"/>
      <c r="U209" s="37">
        <v>22</v>
      </c>
      <c r="V209" s="60"/>
    </row>
    <row r="210" spans="1:22" s="2" customFormat="1" ht="12.75">
      <c r="A210" s="52"/>
      <c r="B210" s="35" t="s">
        <v>114</v>
      </c>
      <c r="C210" s="22"/>
      <c r="D210" s="37"/>
      <c r="E210" s="18"/>
      <c r="F210" s="37"/>
      <c r="G210" s="18">
        <v>580</v>
      </c>
      <c r="H210" s="37">
        <v>580</v>
      </c>
      <c r="I210" s="37">
        <f>3435-3434-1</f>
        <v>0</v>
      </c>
      <c r="J210" s="37">
        <f>3435-3434-1</f>
        <v>0</v>
      </c>
      <c r="K210" s="37">
        <v>137</v>
      </c>
      <c r="L210" s="37">
        <v>137</v>
      </c>
      <c r="M210" s="37">
        <f>401+10</f>
        <v>411</v>
      </c>
      <c r="N210" s="37">
        <f>88+313</f>
        <v>401</v>
      </c>
      <c r="O210" s="37">
        <v>172</v>
      </c>
      <c r="P210" s="37">
        <v>172</v>
      </c>
      <c r="Q210" s="37"/>
      <c r="R210" s="37"/>
      <c r="S210" s="37"/>
      <c r="T210" s="37"/>
      <c r="U210" s="37"/>
      <c r="V210" s="37"/>
    </row>
    <row r="211" spans="1:22" s="2" customFormat="1" ht="12.75">
      <c r="A211" s="52"/>
      <c r="B211" s="35" t="s">
        <v>115</v>
      </c>
      <c r="C211" s="112"/>
      <c r="D211" s="37"/>
      <c r="E211" s="11"/>
      <c r="F211" s="37"/>
      <c r="G211" s="11"/>
      <c r="H211" s="37"/>
      <c r="I211" s="37">
        <f>34206-34206</f>
        <v>0</v>
      </c>
      <c r="J211" s="37">
        <f>34206-34206</f>
        <v>0</v>
      </c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>
        <v>4200</v>
      </c>
      <c r="V211" s="37">
        <v>4200</v>
      </c>
    </row>
    <row r="212" spans="1:22" s="2" customFormat="1" ht="12.75">
      <c r="A212" s="52"/>
      <c r="B212" s="35" t="s">
        <v>72</v>
      </c>
      <c r="C212" s="112"/>
      <c r="D212" s="37"/>
      <c r="E212" s="11"/>
      <c r="F212" s="37"/>
      <c r="G212" s="11">
        <v>10</v>
      </c>
      <c r="H212" s="37"/>
      <c r="I212" s="37">
        <v>11</v>
      </c>
      <c r="J212" s="37"/>
      <c r="K212" s="37">
        <v>11</v>
      </c>
      <c r="L212" s="37"/>
      <c r="M212" s="37">
        <v>11</v>
      </c>
      <c r="N212" s="37"/>
      <c r="O212" s="37">
        <v>11</v>
      </c>
      <c r="P212" s="37"/>
      <c r="Q212" s="37">
        <v>11</v>
      </c>
      <c r="R212" s="37"/>
      <c r="S212" s="37">
        <v>12</v>
      </c>
      <c r="T212" s="37"/>
      <c r="U212" s="37">
        <v>12</v>
      </c>
      <c r="V212" s="37"/>
    </row>
    <row r="213" spans="1:22" s="2" customFormat="1" ht="12.75">
      <c r="A213" s="52"/>
      <c r="B213" s="6" t="s">
        <v>67</v>
      </c>
      <c r="C213" s="112"/>
      <c r="D213" s="37"/>
      <c r="E213" s="11"/>
      <c r="F213" s="37"/>
      <c r="G213" s="11"/>
      <c r="H213" s="37"/>
      <c r="I213" s="37"/>
      <c r="J213" s="37"/>
      <c r="K213" s="37">
        <v>1033</v>
      </c>
      <c r="L213" s="37"/>
      <c r="M213" s="37">
        <f>873+160</f>
        <v>1033</v>
      </c>
      <c r="N213" s="37">
        <v>873</v>
      </c>
      <c r="O213" s="37">
        <v>780</v>
      </c>
      <c r="P213" s="37">
        <v>780</v>
      </c>
      <c r="Q213" s="37">
        <v>40</v>
      </c>
      <c r="R213" s="37">
        <v>40</v>
      </c>
      <c r="S213" s="37">
        <v>139</v>
      </c>
      <c r="T213" s="37">
        <v>139</v>
      </c>
      <c r="U213" s="37">
        <v>140</v>
      </c>
      <c r="V213" s="37">
        <v>140</v>
      </c>
    </row>
    <row r="214" spans="1:22" s="2" customFormat="1" ht="12.75">
      <c r="A214" s="52"/>
      <c r="B214" s="6" t="s">
        <v>118</v>
      </c>
      <c r="C214" s="112"/>
      <c r="D214" s="37"/>
      <c r="E214" s="11"/>
      <c r="F214" s="37"/>
      <c r="G214" s="11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>
        <v>108</v>
      </c>
      <c r="T214" s="37"/>
      <c r="U214" s="37">
        <v>108</v>
      </c>
      <c r="V214" s="37"/>
    </row>
    <row r="215" spans="1:22" s="2" customFormat="1" ht="12.75">
      <c r="A215" s="56"/>
      <c r="B215" s="16" t="s">
        <v>77</v>
      </c>
      <c r="C215" s="23">
        <v>1405</v>
      </c>
      <c r="D215" s="38"/>
      <c r="E215" s="23">
        <v>2977</v>
      </c>
      <c r="F215" s="38"/>
      <c r="G215" s="23">
        <v>3217</v>
      </c>
      <c r="H215" s="38"/>
      <c r="I215" s="89">
        <v>3895</v>
      </c>
      <c r="J215" s="38"/>
      <c r="K215" s="89">
        <v>3850</v>
      </c>
      <c r="L215" s="89"/>
      <c r="M215" s="89">
        <v>3679</v>
      </c>
      <c r="N215" s="89"/>
      <c r="O215" s="89">
        <v>3099</v>
      </c>
      <c r="P215" s="89"/>
      <c r="Q215" s="89">
        <v>4206</v>
      </c>
      <c r="R215" s="89"/>
      <c r="S215" s="89">
        <v>3550</v>
      </c>
      <c r="T215" s="89"/>
      <c r="U215" s="89">
        <v>2769</v>
      </c>
      <c r="V215" s="89"/>
    </row>
    <row r="216" spans="1:22" s="2" customFormat="1" ht="12.75">
      <c r="A216" s="77" t="s">
        <v>138</v>
      </c>
      <c r="B216" s="86"/>
      <c r="C216" s="33">
        <f>SUM(C217:C220)</f>
        <v>7646</v>
      </c>
      <c r="D216" s="33">
        <f aca="true" t="shared" si="25" ref="D216:R216">SUM(D217:D220)</f>
        <v>6</v>
      </c>
      <c r="E216" s="33">
        <f t="shared" si="25"/>
        <v>7136</v>
      </c>
      <c r="F216" s="33">
        <f t="shared" si="25"/>
        <v>6</v>
      </c>
      <c r="G216" s="33">
        <f t="shared" si="25"/>
        <v>6769</v>
      </c>
      <c r="H216" s="33">
        <f t="shared" si="25"/>
        <v>6</v>
      </c>
      <c r="I216" s="33">
        <f t="shared" si="25"/>
        <v>6664</v>
      </c>
      <c r="J216" s="33">
        <f t="shared" si="25"/>
        <v>6</v>
      </c>
      <c r="K216" s="33">
        <f t="shared" si="25"/>
        <v>11607</v>
      </c>
      <c r="L216" s="33">
        <f t="shared" si="25"/>
        <v>10950</v>
      </c>
      <c r="M216" s="33">
        <f t="shared" si="25"/>
        <v>10074</v>
      </c>
      <c r="N216" s="33">
        <f t="shared" si="25"/>
        <v>9380</v>
      </c>
      <c r="O216" s="33">
        <f t="shared" si="25"/>
        <v>13108</v>
      </c>
      <c r="P216" s="33">
        <f t="shared" si="25"/>
        <v>12339</v>
      </c>
      <c r="Q216" s="33">
        <f t="shared" si="25"/>
        <v>15856</v>
      </c>
      <c r="R216" s="33">
        <f t="shared" si="25"/>
        <v>14782</v>
      </c>
      <c r="S216" s="33">
        <f>SUM(S217:S220)</f>
        <v>5233</v>
      </c>
      <c r="T216" s="33">
        <f>SUM(T217:T220)</f>
        <v>4729</v>
      </c>
      <c r="U216" s="33">
        <f>SUM(U217:U220)</f>
        <v>6643</v>
      </c>
      <c r="V216" s="33">
        <f>SUM(V217:V220)</f>
        <v>6292</v>
      </c>
    </row>
    <row r="217" spans="1:22" s="2" customFormat="1" ht="12.75">
      <c r="A217" s="52"/>
      <c r="B217" s="35" t="s">
        <v>111</v>
      </c>
      <c r="C217" s="112"/>
      <c r="D217" s="37"/>
      <c r="E217" s="11"/>
      <c r="F217" s="37"/>
      <c r="G217" s="11"/>
      <c r="H217" s="37"/>
      <c r="I217" s="37"/>
      <c r="J217" s="37"/>
      <c r="K217" s="37">
        <v>4764</v>
      </c>
      <c r="L217" s="37">
        <v>4764</v>
      </c>
      <c r="M217" s="37">
        <v>3024</v>
      </c>
      <c r="N217" s="37">
        <v>3024</v>
      </c>
      <c r="O217" s="37">
        <v>5322</v>
      </c>
      <c r="P217" s="37">
        <v>5322</v>
      </c>
      <c r="Q217" s="37">
        <v>4892</v>
      </c>
      <c r="R217" s="37">
        <v>4892</v>
      </c>
      <c r="S217" s="37">
        <v>3073</v>
      </c>
      <c r="T217" s="37">
        <v>3073</v>
      </c>
      <c r="U217" s="37">
        <v>4497</v>
      </c>
      <c r="V217" s="37">
        <v>4497</v>
      </c>
    </row>
    <row r="218" spans="1:22" s="2" customFormat="1" ht="12.75">
      <c r="A218" s="52"/>
      <c r="B218" s="35" t="s">
        <v>90</v>
      </c>
      <c r="C218" s="22">
        <v>609</v>
      </c>
      <c r="D218" s="51"/>
      <c r="E218" s="22">
        <v>664</v>
      </c>
      <c r="F218" s="51"/>
      <c r="G218" s="22">
        <v>629</v>
      </c>
      <c r="H218" s="51"/>
      <c r="I218" s="36">
        <v>647</v>
      </c>
      <c r="J218" s="51"/>
      <c r="K218" s="36">
        <v>652</v>
      </c>
      <c r="L218" s="51"/>
      <c r="M218" s="36">
        <v>689</v>
      </c>
      <c r="N218" s="51"/>
      <c r="O218" s="36">
        <v>764</v>
      </c>
      <c r="P218" s="51"/>
      <c r="Q218" s="36">
        <v>1069</v>
      </c>
      <c r="R218" s="51"/>
      <c r="S218" s="36">
        <v>504</v>
      </c>
      <c r="T218" s="51"/>
      <c r="U218" s="36">
        <v>351</v>
      </c>
      <c r="V218" s="51"/>
    </row>
    <row r="219" spans="1:22" s="2" customFormat="1" ht="12.75">
      <c r="A219" s="52"/>
      <c r="B219" s="35" t="s">
        <v>57</v>
      </c>
      <c r="C219" s="22">
        <f>7031+6</f>
        <v>7037</v>
      </c>
      <c r="D219" s="51">
        <v>6</v>
      </c>
      <c r="E219" s="22">
        <f>6466+6</f>
        <v>6472</v>
      </c>
      <c r="F219" s="51">
        <v>6</v>
      </c>
      <c r="G219" s="22">
        <f>6134+6</f>
        <v>6140</v>
      </c>
      <c r="H219" s="51">
        <v>6</v>
      </c>
      <c r="I219" s="36">
        <f>6011+6</f>
        <v>6017</v>
      </c>
      <c r="J219" s="51">
        <v>6</v>
      </c>
      <c r="K219" s="36">
        <f>5+6</f>
        <v>11</v>
      </c>
      <c r="L219" s="51">
        <v>6</v>
      </c>
      <c r="M219" s="36">
        <f>5+6</f>
        <v>11</v>
      </c>
      <c r="N219" s="51">
        <v>6</v>
      </c>
      <c r="O219" s="36">
        <f>5+6</f>
        <v>11</v>
      </c>
      <c r="P219" s="51">
        <v>6</v>
      </c>
      <c r="Q219" s="36">
        <f>5+5</f>
        <v>10</v>
      </c>
      <c r="R219" s="51">
        <v>5</v>
      </c>
      <c r="S219" s="36">
        <v>5</v>
      </c>
      <c r="T219" s="51">
        <v>5</v>
      </c>
      <c r="U219" s="36">
        <v>5</v>
      </c>
      <c r="V219" s="51">
        <v>5</v>
      </c>
    </row>
    <row r="220" spans="1:22" s="2" customFormat="1" ht="12.75">
      <c r="A220" s="56"/>
      <c r="B220" s="16" t="s">
        <v>116</v>
      </c>
      <c r="C220" s="23"/>
      <c r="D220" s="38"/>
      <c r="E220" s="23"/>
      <c r="F220" s="38"/>
      <c r="G220" s="23"/>
      <c r="H220" s="38"/>
      <c r="I220" s="89"/>
      <c r="J220" s="38"/>
      <c r="K220" s="89">
        <v>6180</v>
      </c>
      <c r="L220" s="89">
        <v>6180</v>
      </c>
      <c r="M220" s="89">
        <v>6350</v>
      </c>
      <c r="N220" s="89">
        <v>6350</v>
      </c>
      <c r="O220" s="89">
        <v>7011</v>
      </c>
      <c r="P220" s="89">
        <v>7011</v>
      </c>
      <c r="Q220" s="89">
        <v>9885</v>
      </c>
      <c r="R220" s="89">
        <v>9885</v>
      </c>
      <c r="S220" s="89">
        <v>1651</v>
      </c>
      <c r="T220" s="89">
        <v>1651</v>
      </c>
      <c r="U220" s="89">
        <v>1790</v>
      </c>
      <c r="V220" s="89">
        <v>1790</v>
      </c>
    </row>
    <row r="221" spans="1:22" s="2" customFormat="1" ht="12.75">
      <c r="A221" s="77" t="s">
        <v>101</v>
      </c>
      <c r="B221" s="86"/>
      <c r="C221" s="33">
        <f>SUM(C222:C229)</f>
        <v>0</v>
      </c>
      <c r="D221" s="33">
        <f aca="true" t="shared" si="26" ref="D221:T221">SUM(D222:D229)</f>
        <v>0</v>
      </c>
      <c r="E221" s="33">
        <f t="shared" si="26"/>
        <v>0</v>
      </c>
      <c r="F221" s="33">
        <f t="shared" si="26"/>
        <v>0</v>
      </c>
      <c r="G221" s="33">
        <f t="shared" si="26"/>
        <v>0</v>
      </c>
      <c r="H221" s="33">
        <f t="shared" si="26"/>
        <v>0</v>
      </c>
      <c r="I221" s="33">
        <f t="shared" si="26"/>
        <v>0</v>
      </c>
      <c r="J221" s="33">
        <f t="shared" si="26"/>
        <v>0</v>
      </c>
      <c r="K221" s="33">
        <f t="shared" si="26"/>
        <v>151</v>
      </c>
      <c r="L221" s="33">
        <f t="shared" si="26"/>
        <v>151</v>
      </c>
      <c r="M221" s="33">
        <f t="shared" si="26"/>
        <v>478</v>
      </c>
      <c r="N221" s="33">
        <f t="shared" si="26"/>
        <v>478</v>
      </c>
      <c r="O221" s="33">
        <f t="shared" si="26"/>
        <v>346</v>
      </c>
      <c r="P221" s="33">
        <f t="shared" si="26"/>
        <v>307</v>
      </c>
      <c r="Q221" s="33">
        <f t="shared" si="26"/>
        <v>644</v>
      </c>
      <c r="R221" s="33">
        <f t="shared" si="26"/>
        <v>625</v>
      </c>
      <c r="S221" s="33">
        <f t="shared" si="26"/>
        <v>617</v>
      </c>
      <c r="T221" s="33">
        <f t="shared" si="26"/>
        <v>555</v>
      </c>
      <c r="U221" s="33">
        <f>SUM(U222:U229)</f>
        <v>664</v>
      </c>
      <c r="V221" s="33">
        <f>SUM(V222:V229)</f>
        <v>606</v>
      </c>
    </row>
    <row r="222" spans="1:22" s="2" customFormat="1" ht="12.75">
      <c r="A222" s="52"/>
      <c r="B222" s="35" t="s">
        <v>111</v>
      </c>
      <c r="C222" s="112"/>
      <c r="D222" s="37"/>
      <c r="E222" s="11"/>
      <c r="F222" s="37"/>
      <c r="G222" s="11"/>
      <c r="H222" s="37"/>
      <c r="I222" s="37"/>
      <c r="J222" s="37"/>
      <c r="K222" s="37"/>
      <c r="L222" s="37"/>
      <c r="M222" s="37">
        <v>259</v>
      </c>
      <c r="N222" s="37">
        <v>259</v>
      </c>
      <c r="O222" s="37"/>
      <c r="P222" s="37"/>
      <c r="Q222" s="37">
        <v>6</v>
      </c>
      <c r="R222" s="37">
        <v>6</v>
      </c>
      <c r="S222" s="37">
        <v>42</v>
      </c>
      <c r="T222" s="37"/>
      <c r="U222" s="37">
        <v>43</v>
      </c>
      <c r="V222" s="37">
        <v>43</v>
      </c>
    </row>
    <row r="223" spans="1:22" s="2" customFormat="1" ht="12.75">
      <c r="A223" s="52"/>
      <c r="B223" s="34" t="s">
        <v>17</v>
      </c>
      <c r="C223" s="112"/>
      <c r="D223" s="37"/>
      <c r="E223" s="11"/>
      <c r="F223" s="37"/>
      <c r="G223" s="11"/>
      <c r="H223" s="37"/>
      <c r="I223" s="37"/>
      <c r="J223" s="37"/>
      <c r="K223" s="37">
        <v>16</v>
      </c>
      <c r="L223" s="37">
        <v>16</v>
      </c>
      <c r="M223" s="37">
        <v>32</v>
      </c>
      <c r="N223" s="37">
        <v>32</v>
      </c>
      <c r="O223" s="37">
        <v>12</v>
      </c>
      <c r="P223" s="37">
        <v>12</v>
      </c>
      <c r="Q223" s="37">
        <v>19</v>
      </c>
      <c r="R223" s="37">
        <v>19</v>
      </c>
      <c r="S223" s="37">
        <v>20</v>
      </c>
      <c r="T223" s="37">
        <v>20</v>
      </c>
      <c r="U223" s="37">
        <v>15</v>
      </c>
      <c r="V223" s="37">
        <v>15</v>
      </c>
    </row>
    <row r="224" spans="1:22" s="2" customFormat="1" ht="12.75">
      <c r="A224" s="52"/>
      <c r="B224" s="35" t="s">
        <v>72</v>
      </c>
      <c r="C224" s="112"/>
      <c r="D224" s="37"/>
      <c r="E224" s="11"/>
      <c r="F224" s="37"/>
      <c r="G224" s="11"/>
      <c r="H224" s="37"/>
      <c r="I224" s="37"/>
      <c r="J224" s="37"/>
      <c r="K224" s="37"/>
      <c r="L224" s="37"/>
      <c r="M224" s="37">
        <v>14</v>
      </c>
      <c r="N224" s="37">
        <v>14</v>
      </c>
      <c r="O224" s="37"/>
      <c r="P224" s="37"/>
      <c r="Q224" s="37"/>
      <c r="R224" s="37"/>
      <c r="S224" s="37">
        <v>9</v>
      </c>
      <c r="T224" s="37">
        <v>9</v>
      </c>
      <c r="U224" s="37"/>
      <c r="V224" s="37"/>
    </row>
    <row r="225" spans="1:22" s="2" customFormat="1" ht="12.75">
      <c r="A225" s="52"/>
      <c r="B225" s="35" t="s">
        <v>18</v>
      </c>
      <c r="C225" s="112"/>
      <c r="D225" s="37"/>
      <c r="E225" s="11"/>
      <c r="F225" s="37"/>
      <c r="G225" s="11"/>
      <c r="H225" s="37"/>
      <c r="I225" s="37"/>
      <c r="J225" s="37"/>
      <c r="K225" s="37"/>
      <c r="L225" s="37"/>
      <c r="M225" s="37">
        <v>79</v>
      </c>
      <c r="N225" s="37">
        <v>79</v>
      </c>
      <c r="O225" s="37">
        <v>204</v>
      </c>
      <c r="P225" s="37">
        <v>204</v>
      </c>
      <c r="Q225" s="37">
        <v>300</v>
      </c>
      <c r="R225" s="37">
        <v>300</v>
      </c>
      <c r="S225" s="37">
        <v>145</v>
      </c>
      <c r="T225" s="37">
        <v>145</v>
      </c>
      <c r="U225" s="37">
        <v>117</v>
      </c>
      <c r="V225" s="37">
        <v>117</v>
      </c>
    </row>
    <row r="226" spans="1:22" s="2" customFormat="1" ht="12.75">
      <c r="A226" s="52"/>
      <c r="B226" s="35" t="s">
        <v>109</v>
      </c>
      <c r="C226" s="112"/>
      <c r="D226" s="37"/>
      <c r="E226" s="11"/>
      <c r="F226" s="37"/>
      <c r="G226" s="11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>
        <v>26</v>
      </c>
      <c r="V226" s="37">
        <v>26</v>
      </c>
    </row>
    <row r="227" spans="1:22" s="2" customFormat="1" ht="12.75">
      <c r="A227" s="52"/>
      <c r="B227" s="10" t="s">
        <v>65</v>
      </c>
      <c r="C227" s="112"/>
      <c r="D227" s="37"/>
      <c r="E227" s="11"/>
      <c r="F227" s="37"/>
      <c r="G227" s="11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>
        <v>10</v>
      </c>
      <c r="T227" s="37">
        <v>10</v>
      </c>
      <c r="U227" s="37">
        <f>21+6</f>
        <v>27</v>
      </c>
      <c r="V227" s="37">
        <v>6</v>
      </c>
    </row>
    <row r="228" spans="1:22" s="2" customFormat="1" ht="12.75">
      <c r="A228" s="52"/>
      <c r="B228" s="6" t="s">
        <v>67</v>
      </c>
      <c r="C228" s="112"/>
      <c r="D228" s="37"/>
      <c r="E228" s="11"/>
      <c r="F228" s="37"/>
      <c r="G228" s="11"/>
      <c r="H228" s="37"/>
      <c r="I228" s="37"/>
      <c r="J228" s="37"/>
      <c r="K228" s="37">
        <v>135</v>
      </c>
      <c r="L228" s="37">
        <v>135</v>
      </c>
      <c r="M228" s="37">
        <v>68</v>
      </c>
      <c r="N228" s="37">
        <v>68</v>
      </c>
      <c r="O228" s="37">
        <f>39+91</f>
        <v>130</v>
      </c>
      <c r="P228" s="37">
        <v>91</v>
      </c>
      <c r="Q228" s="37">
        <f>19+300</f>
        <v>319</v>
      </c>
      <c r="R228" s="37">
        <v>300</v>
      </c>
      <c r="S228" s="37">
        <f>15+271+100</f>
        <v>386</v>
      </c>
      <c r="T228" s="37">
        <f>271+100</f>
        <v>371</v>
      </c>
      <c r="U228" s="37">
        <f>37+299+100</f>
        <v>436</v>
      </c>
      <c r="V228" s="37">
        <f>299+100</f>
        <v>399</v>
      </c>
    </row>
    <row r="229" spans="1:22" s="2" customFormat="1" ht="12.75">
      <c r="A229" s="56"/>
      <c r="B229" s="57" t="s">
        <v>113</v>
      </c>
      <c r="C229" s="111"/>
      <c r="D229" s="38"/>
      <c r="E229" s="102"/>
      <c r="F229" s="38"/>
      <c r="G229" s="102"/>
      <c r="H229" s="38"/>
      <c r="I229" s="38"/>
      <c r="J229" s="38"/>
      <c r="K229" s="38"/>
      <c r="L229" s="38"/>
      <c r="M229" s="38">
        <v>26</v>
      </c>
      <c r="N229" s="38">
        <v>26</v>
      </c>
      <c r="O229" s="38"/>
      <c r="P229" s="38"/>
      <c r="Q229" s="38"/>
      <c r="R229" s="38"/>
      <c r="S229" s="38">
        <v>5</v>
      </c>
      <c r="T229" s="38"/>
      <c r="U229" s="38"/>
      <c r="V229" s="38"/>
    </row>
    <row r="230" spans="1:22" s="2" customFormat="1" ht="12.75">
      <c r="A230" s="77" t="s">
        <v>102</v>
      </c>
      <c r="B230" s="86"/>
      <c r="C230" s="33">
        <f>SUM(C231:C236)</f>
        <v>811</v>
      </c>
      <c r="D230" s="33">
        <f aca="true" t="shared" si="27" ref="D230:P230">SUM(D231:D236)</f>
        <v>0</v>
      </c>
      <c r="E230" s="33">
        <f t="shared" si="27"/>
        <v>796</v>
      </c>
      <c r="F230" s="33">
        <f t="shared" si="27"/>
        <v>0</v>
      </c>
      <c r="G230" s="33">
        <f t="shared" si="27"/>
        <v>648</v>
      </c>
      <c r="H230" s="33">
        <f t="shared" si="27"/>
        <v>0</v>
      </c>
      <c r="I230" s="33">
        <f t="shared" si="27"/>
        <v>583</v>
      </c>
      <c r="J230" s="33">
        <f t="shared" si="27"/>
        <v>0</v>
      </c>
      <c r="K230" s="33">
        <f t="shared" si="27"/>
        <v>1780</v>
      </c>
      <c r="L230" s="33">
        <f t="shared" si="27"/>
        <v>808</v>
      </c>
      <c r="M230" s="33">
        <f t="shared" si="27"/>
        <v>1576</v>
      </c>
      <c r="N230" s="33">
        <f t="shared" si="27"/>
        <v>775</v>
      </c>
      <c r="O230" s="33">
        <f t="shared" si="27"/>
        <v>1394</v>
      </c>
      <c r="P230" s="33">
        <f t="shared" si="27"/>
        <v>715</v>
      </c>
      <c r="Q230" s="33">
        <f>SUM(Q231:Q236)</f>
        <v>1269</v>
      </c>
      <c r="R230" s="33">
        <f>SUM(R231:R236)</f>
        <v>765</v>
      </c>
      <c r="S230" s="33">
        <f>SUM(S231:S236)</f>
        <v>1182</v>
      </c>
      <c r="T230" s="33">
        <f>SUM(T231:T236)</f>
        <v>755</v>
      </c>
      <c r="U230" s="33">
        <f>SUM(U231:U236)</f>
        <v>1214</v>
      </c>
      <c r="V230" s="33">
        <f>SUM(V231:V236)</f>
        <v>785</v>
      </c>
    </row>
    <row r="231" spans="1:22" s="2" customFormat="1" ht="12.75">
      <c r="A231" s="9"/>
      <c r="B231" s="35" t="s">
        <v>35</v>
      </c>
      <c r="C231" s="22">
        <v>77</v>
      </c>
      <c r="D231" s="51"/>
      <c r="E231" s="22">
        <v>207</v>
      </c>
      <c r="F231" s="51"/>
      <c r="G231" s="22">
        <v>176</v>
      </c>
      <c r="H231" s="51"/>
      <c r="I231" s="37">
        <v>148</v>
      </c>
      <c r="J231" s="51"/>
      <c r="K231" s="37">
        <v>120</v>
      </c>
      <c r="L231" s="51"/>
      <c r="M231" s="37">
        <v>91</v>
      </c>
      <c r="N231" s="51"/>
      <c r="O231" s="37">
        <v>83</v>
      </c>
      <c r="P231" s="51"/>
      <c r="Q231" s="37">
        <v>58</v>
      </c>
      <c r="R231" s="51"/>
      <c r="S231" s="37"/>
      <c r="T231" s="51"/>
      <c r="U231" s="37"/>
      <c r="V231" s="51"/>
    </row>
    <row r="232" spans="1:22" s="2" customFormat="1" ht="12.75">
      <c r="A232" s="9"/>
      <c r="B232" s="35" t="s">
        <v>60</v>
      </c>
      <c r="C232" s="22"/>
      <c r="D232" s="51"/>
      <c r="E232" s="22"/>
      <c r="F232" s="51"/>
      <c r="G232" s="22"/>
      <c r="H232" s="51"/>
      <c r="I232" s="37"/>
      <c r="J232" s="51"/>
      <c r="K232" s="37">
        <v>132</v>
      </c>
      <c r="L232" s="51"/>
      <c r="M232" s="37"/>
      <c r="N232" s="51"/>
      <c r="O232" s="37"/>
      <c r="P232" s="51"/>
      <c r="Q232" s="37"/>
      <c r="R232" s="51"/>
      <c r="S232" s="37"/>
      <c r="T232" s="51"/>
      <c r="U232" s="37"/>
      <c r="V232" s="51"/>
    </row>
    <row r="233" spans="1:22" s="2" customFormat="1" ht="12.75">
      <c r="A233" s="9"/>
      <c r="B233" s="35" t="s">
        <v>143</v>
      </c>
      <c r="C233" s="22"/>
      <c r="D233" s="51"/>
      <c r="E233" s="22"/>
      <c r="F233" s="51"/>
      <c r="G233" s="22"/>
      <c r="H233" s="51"/>
      <c r="I233" s="37"/>
      <c r="J233" s="51"/>
      <c r="K233" s="37">
        <f>296+808</f>
        <v>1104</v>
      </c>
      <c r="L233" s="51">
        <v>808</v>
      </c>
      <c r="M233" s="37">
        <f>252+775</f>
        <v>1027</v>
      </c>
      <c r="N233" s="51">
        <v>775</v>
      </c>
      <c r="O233" s="37">
        <f>107+715</f>
        <v>822</v>
      </c>
      <c r="P233" s="51">
        <v>715</v>
      </c>
      <c r="Q233" s="37">
        <v>765</v>
      </c>
      <c r="R233" s="51">
        <v>765</v>
      </c>
      <c r="S233" s="37">
        <v>755</v>
      </c>
      <c r="T233" s="51">
        <v>755</v>
      </c>
      <c r="U233" s="37">
        <v>785</v>
      </c>
      <c r="V233" s="51">
        <v>785</v>
      </c>
    </row>
    <row r="234" spans="1:22" s="2" customFormat="1" ht="12.75">
      <c r="A234" s="9"/>
      <c r="B234" s="6" t="s">
        <v>78</v>
      </c>
      <c r="C234" s="22">
        <f>15+629</f>
        <v>644</v>
      </c>
      <c r="D234" s="20"/>
      <c r="E234" s="22">
        <f>8+521</f>
        <v>529</v>
      </c>
      <c r="F234" s="20"/>
      <c r="G234" s="22">
        <f>12+443</f>
        <v>455</v>
      </c>
      <c r="H234" s="20"/>
      <c r="I234" s="24">
        <v>435</v>
      </c>
      <c r="J234" s="22"/>
      <c r="K234" s="24">
        <v>424</v>
      </c>
      <c r="L234" s="22"/>
      <c r="M234" s="24">
        <v>454</v>
      </c>
      <c r="N234" s="22"/>
      <c r="O234" s="24">
        <v>489</v>
      </c>
      <c r="P234" s="22"/>
      <c r="Q234" s="24">
        <v>446</v>
      </c>
      <c r="R234" s="22"/>
      <c r="S234" s="24">
        <v>427</v>
      </c>
      <c r="T234" s="22"/>
      <c r="U234" s="24">
        <v>429</v>
      </c>
      <c r="V234" s="22"/>
    </row>
    <row r="235" spans="1:22" s="2" customFormat="1" ht="12.75">
      <c r="A235" s="9"/>
      <c r="B235" s="10" t="s">
        <v>18</v>
      </c>
      <c r="C235" s="22">
        <v>90</v>
      </c>
      <c r="D235" s="20"/>
      <c r="E235" s="22">
        <v>60</v>
      </c>
      <c r="F235" s="20"/>
      <c r="G235" s="22">
        <v>17</v>
      </c>
      <c r="H235" s="20"/>
      <c r="I235" s="24"/>
      <c r="J235" s="20"/>
      <c r="K235" s="24"/>
      <c r="L235" s="20"/>
      <c r="M235" s="24"/>
      <c r="N235" s="20"/>
      <c r="O235" s="24"/>
      <c r="P235" s="20"/>
      <c r="Q235" s="24"/>
      <c r="R235" s="20"/>
      <c r="S235" s="24"/>
      <c r="T235" s="20"/>
      <c r="U235" s="24"/>
      <c r="V235" s="20"/>
    </row>
    <row r="236" spans="1:22" s="2" customFormat="1" ht="12.75">
      <c r="A236" s="56"/>
      <c r="B236" s="57" t="s">
        <v>67</v>
      </c>
      <c r="C236" s="111"/>
      <c r="D236" s="38"/>
      <c r="E236" s="102"/>
      <c r="F236" s="38"/>
      <c r="G236" s="102"/>
      <c r="H236" s="38"/>
      <c r="I236" s="38"/>
      <c r="J236" s="38"/>
      <c r="K236" s="38"/>
      <c r="L236" s="38"/>
      <c r="M236" s="38">
        <v>4</v>
      </c>
      <c r="N236" s="38"/>
      <c r="O236" s="38"/>
      <c r="P236" s="38"/>
      <c r="Q236" s="38"/>
      <c r="R236" s="38"/>
      <c r="S236" s="38"/>
      <c r="T236" s="38"/>
      <c r="U236" s="38"/>
      <c r="V236" s="38"/>
    </row>
    <row r="237" spans="1:22" s="2" customFormat="1" ht="12.75">
      <c r="A237" s="79" t="s">
        <v>13</v>
      </c>
      <c r="B237" s="96"/>
      <c r="C237" s="106">
        <f>+C244+C248+C251+C264+C258+C242+C256+C261+C238</f>
        <v>0</v>
      </c>
      <c r="D237" s="106">
        <f aca="true" t="shared" si="28" ref="D237:V237">+D244+D248+D251+D264+D258+D242+D256+D261+D238</f>
        <v>0</v>
      </c>
      <c r="E237" s="106">
        <f t="shared" si="28"/>
        <v>0</v>
      </c>
      <c r="F237" s="106">
        <f t="shared" si="28"/>
        <v>0</v>
      </c>
      <c r="G237" s="106">
        <f t="shared" si="28"/>
        <v>451</v>
      </c>
      <c r="H237" s="106">
        <f t="shared" si="28"/>
        <v>451</v>
      </c>
      <c r="I237" s="106">
        <f t="shared" si="28"/>
        <v>4</v>
      </c>
      <c r="J237" s="106">
        <f t="shared" si="28"/>
        <v>4</v>
      </c>
      <c r="K237" s="106">
        <f t="shared" si="28"/>
        <v>735</v>
      </c>
      <c r="L237" s="106">
        <f t="shared" si="28"/>
        <v>38</v>
      </c>
      <c r="M237" s="106">
        <f t="shared" si="28"/>
        <v>115</v>
      </c>
      <c r="N237" s="106">
        <f t="shared" si="28"/>
        <v>24</v>
      </c>
      <c r="O237" s="106">
        <f t="shared" si="28"/>
        <v>132</v>
      </c>
      <c r="P237" s="106">
        <f t="shared" si="28"/>
        <v>31</v>
      </c>
      <c r="Q237" s="106">
        <f t="shared" si="28"/>
        <v>174</v>
      </c>
      <c r="R237" s="106">
        <f t="shared" si="28"/>
        <v>98</v>
      </c>
      <c r="S237" s="106">
        <f t="shared" si="28"/>
        <v>383</v>
      </c>
      <c r="T237" s="106">
        <f t="shared" si="28"/>
        <v>295</v>
      </c>
      <c r="U237" s="106">
        <f t="shared" si="28"/>
        <v>122</v>
      </c>
      <c r="V237" s="106">
        <f t="shared" si="28"/>
        <v>9</v>
      </c>
    </row>
    <row r="238" spans="1:22" s="2" customFormat="1" ht="12.75">
      <c r="A238" s="77" t="s">
        <v>144</v>
      </c>
      <c r="B238" s="86"/>
      <c r="C238" s="33">
        <f>SUM(C239:C241)</f>
        <v>0</v>
      </c>
      <c r="D238" s="33">
        <f aca="true" t="shared" si="29" ref="D238:V238">SUM(D239:D241)</f>
        <v>0</v>
      </c>
      <c r="E238" s="33">
        <f t="shared" si="29"/>
        <v>0</v>
      </c>
      <c r="F238" s="33">
        <f t="shared" si="29"/>
        <v>0</v>
      </c>
      <c r="G238" s="33">
        <f t="shared" si="29"/>
        <v>0</v>
      </c>
      <c r="H238" s="33">
        <f t="shared" si="29"/>
        <v>0</v>
      </c>
      <c r="I238" s="33">
        <f t="shared" si="29"/>
        <v>0</v>
      </c>
      <c r="J238" s="33">
        <f t="shared" si="29"/>
        <v>0</v>
      </c>
      <c r="K238" s="33">
        <f t="shared" si="29"/>
        <v>704</v>
      </c>
      <c r="L238" s="33">
        <f t="shared" si="29"/>
        <v>7</v>
      </c>
      <c r="M238" s="33">
        <f t="shared" si="29"/>
        <v>97</v>
      </c>
      <c r="N238" s="33">
        <f t="shared" si="29"/>
        <v>7</v>
      </c>
      <c r="O238" s="33">
        <f t="shared" si="29"/>
        <v>110</v>
      </c>
      <c r="P238" s="33">
        <f t="shared" si="29"/>
        <v>9</v>
      </c>
      <c r="Q238" s="33">
        <f t="shared" si="29"/>
        <v>76</v>
      </c>
      <c r="R238" s="33">
        <f t="shared" si="29"/>
        <v>0</v>
      </c>
      <c r="S238" s="33">
        <f t="shared" si="29"/>
        <v>88</v>
      </c>
      <c r="T238" s="33">
        <f t="shared" si="29"/>
        <v>0</v>
      </c>
      <c r="U238" s="33">
        <f t="shared" si="29"/>
        <v>103</v>
      </c>
      <c r="V238" s="33">
        <f t="shared" si="29"/>
        <v>0</v>
      </c>
    </row>
    <row r="239" spans="1:22" ht="12.75">
      <c r="A239" s="14"/>
      <c r="B239" s="35" t="s">
        <v>145</v>
      </c>
      <c r="C239" s="26"/>
      <c r="D239" s="18"/>
      <c r="E239" s="26"/>
      <c r="F239" s="18"/>
      <c r="G239" s="26"/>
      <c r="H239" s="18"/>
      <c r="I239" s="26"/>
      <c r="J239" s="18"/>
      <c r="K239" s="26">
        <v>51</v>
      </c>
      <c r="L239" s="18"/>
      <c r="M239" s="26">
        <v>54</v>
      </c>
      <c r="N239" s="18"/>
      <c r="O239" s="26">
        <v>76</v>
      </c>
      <c r="P239" s="18"/>
      <c r="Q239" s="26">
        <v>56</v>
      </c>
      <c r="R239" s="18"/>
      <c r="S239" s="26">
        <v>59</v>
      </c>
      <c r="T239" s="18"/>
      <c r="U239" s="26">
        <v>73</v>
      </c>
      <c r="V239" s="18"/>
    </row>
    <row r="240" spans="1:22" ht="12.75">
      <c r="A240" s="14"/>
      <c r="B240" s="10" t="s">
        <v>65</v>
      </c>
      <c r="C240" s="26"/>
      <c r="D240" s="18"/>
      <c r="E240" s="26"/>
      <c r="F240" s="18"/>
      <c r="G240" s="26"/>
      <c r="H240" s="18"/>
      <c r="I240" s="26"/>
      <c r="J240" s="18"/>
      <c r="K240" s="26">
        <v>646</v>
      </c>
      <c r="L240" s="18"/>
      <c r="M240" s="26">
        <v>36</v>
      </c>
      <c r="N240" s="18"/>
      <c r="O240" s="26">
        <v>25</v>
      </c>
      <c r="P240" s="18"/>
      <c r="Q240" s="26">
        <v>20</v>
      </c>
      <c r="R240" s="18"/>
      <c r="S240" s="26">
        <v>29</v>
      </c>
      <c r="T240" s="18"/>
      <c r="U240" s="26">
        <v>30</v>
      </c>
      <c r="V240" s="18"/>
    </row>
    <row r="241" spans="1:22" s="2" customFormat="1" ht="12.75">
      <c r="A241" s="56"/>
      <c r="B241" s="57" t="s">
        <v>117</v>
      </c>
      <c r="C241" s="111"/>
      <c r="D241" s="38"/>
      <c r="E241" s="102"/>
      <c r="F241" s="38"/>
      <c r="G241" s="102"/>
      <c r="H241" s="38"/>
      <c r="I241" s="38"/>
      <c r="J241" s="38"/>
      <c r="K241" s="38">
        <v>7</v>
      </c>
      <c r="L241" s="38">
        <v>7</v>
      </c>
      <c r="M241" s="38">
        <v>7</v>
      </c>
      <c r="N241" s="38">
        <v>7</v>
      </c>
      <c r="O241" s="38">
        <v>9</v>
      </c>
      <c r="P241" s="38">
        <v>9</v>
      </c>
      <c r="Q241" s="38"/>
      <c r="R241" s="38"/>
      <c r="S241" s="38"/>
      <c r="T241" s="38"/>
      <c r="U241" s="38"/>
      <c r="V241" s="38"/>
    </row>
    <row r="242" spans="1:22" s="2" customFormat="1" ht="12.75">
      <c r="A242" s="77" t="s">
        <v>119</v>
      </c>
      <c r="B242" s="86"/>
      <c r="C242" s="33">
        <f aca="true" t="shared" si="30" ref="C242:R242">+C243</f>
        <v>0</v>
      </c>
      <c r="D242" s="33">
        <f t="shared" si="30"/>
        <v>0</v>
      </c>
      <c r="E242" s="33">
        <f t="shared" si="30"/>
        <v>0</v>
      </c>
      <c r="F242" s="33">
        <f t="shared" si="30"/>
        <v>0</v>
      </c>
      <c r="G242" s="33">
        <f t="shared" si="30"/>
        <v>0</v>
      </c>
      <c r="H242" s="33">
        <f t="shared" si="30"/>
        <v>0</v>
      </c>
      <c r="I242" s="33">
        <f t="shared" si="30"/>
        <v>0</v>
      </c>
      <c r="J242" s="33">
        <f t="shared" si="30"/>
        <v>0</v>
      </c>
      <c r="K242" s="33">
        <f t="shared" si="30"/>
        <v>0</v>
      </c>
      <c r="L242" s="33">
        <f t="shared" si="30"/>
        <v>0</v>
      </c>
      <c r="M242" s="33">
        <f t="shared" si="30"/>
        <v>0</v>
      </c>
      <c r="N242" s="33">
        <f t="shared" si="30"/>
        <v>0</v>
      </c>
      <c r="O242" s="33">
        <f t="shared" si="30"/>
        <v>0</v>
      </c>
      <c r="P242" s="33">
        <f t="shared" si="30"/>
        <v>0</v>
      </c>
      <c r="Q242" s="33">
        <f t="shared" si="30"/>
        <v>0</v>
      </c>
      <c r="R242" s="33">
        <f t="shared" si="30"/>
        <v>0</v>
      </c>
      <c r="S242" s="33">
        <f>+S243</f>
        <v>30</v>
      </c>
      <c r="T242" s="33">
        <f>+T243</f>
        <v>30</v>
      </c>
      <c r="U242" s="33">
        <f>+U243</f>
        <v>0</v>
      </c>
      <c r="V242" s="33">
        <f>+V243</f>
        <v>0</v>
      </c>
    </row>
    <row r="243" spans="1:22" s="2" customFormat="1" ht="12.75">
      <c r="A243" s="56"/>
      <c r="B243" s="57" t="s">
        <v>67</v>
      </c>
      <c r="C243" s="111"/>
      <c r="D243" s="38"/>
      <c r="E243" s="102"/>
      <c r="F243" s="38"/>
      <c r="G243" s="102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>
        <v>30</v>
      </c>
      <c r="T243" s="38">
        <v>30</v>
      </c>
      <c r="U243" s="38"/>
      <c r="V243" s="38"/>
    </row>
    <row r="244" spans="1:22" s="2" customFormat="1" ht="12.75">
      <c r="A244" s="77" t="s">
        <v>2</v>
      </c>
      <c r="B244" s="86"/>
      <c r="C244" s="33">
        <f>SUM(C245:C247)</f>
        <v>0</v>
      </c>
      <c r="D244" s="33">
        <f aca="true" t="shared" si="31" ref="D244:P244">SUM(D245:D247)</f>
        <v>0</v>
      </c>
      <c r="E244" s="33">
        <f t="shared" si="31"/>
        <v>0</v>
      </c>
      <c r="F244" s="33">
        <f t="shared" si="31"/>
        <v>0</v>
      </c>
      <c r="G244" s="33">
        <f t="shared" si="31"/>
        <v>0</v>
      </c>
      <c r="H244" s="33">
        <f t="shared" si="31"/>
        <v>0</v>
      </c>
      <c r="I244" s="33">
        <f t="shared" si="31"/>
        <v>4</v>
      </c>
      <c r="J244" s="33">
        <f t="shared" si="31"/>
        <v>4</v>
      </c>
      <c r="K244" s="33">
        <f t="shared" si="31"/>
        <v>0</v>
      </c>
      <c r="L244" s="33">
        <f t="shared" si="31"/>
        <v>0</v>
      </c>
      <c r="M244" s="33">
        <f t="shared" si="31"/>
        <v>4</v>
      </c>
      <c r="N244" s="33">
        <f t="shared" si="31"/>
        <v>4</v>
      </c>
      <c r="O244" s="33">
        <f t="shared" si="31"/>
        <v>2</v>
      </c>
      <c r="P244" s="33">
        <f t="shared" si="31"/>
        <v>2</v>
      </c>
      <c r="Q244" s="33">
        <f>SUM(Q245:Q247)</f>
        <v>4</v>
      </c>
      <c r="R244" s="33">
        <f>SUM(R245:R247)</f>
        <v>4</v>
      </c>
      <c r="S244" s="33">
        <f>SUM(S245:S247)</f>
        <v>100</v>
      </c>
      <c r="T244" s="33">
        <f>SUM(T245:T247)</f>
        <v>100</v>
      </c>
      <c r="U244" s="33">
        <f>SUM(U245:U247)</f>
        <v>8</v>
      </c>
      <c r="V244" s="33">
        <f>SUM(V245:V247)</f>
        <v>8</v>
      </c>
    </row>
    <row r="245" spans="1:22" ht="12.75">
      <c r="A245" s="14"/>
      <c r="B245" s="35" t="s">
        <v>111</v>
      </c>
      <c r="C245" s="26"/>
      <c r="D245" s="18"/>
      <c r="E245" s="26"/>
      <c r="F245" s="18"/>
      <c r="G245" s="26"/>
      <c r="H245" s="18"/>
      <c r="I245" s="26">
        <v>3</v>
      </c>
      <c r="J245" s="18">
        <v>3</v>
      </c>
      <c r="K245" s="26"/>
      <c r="L245" s="18"/>
      <c r="M245" s="26"/>
      <c r="N245" s="18"/>
      <c r="O245" s="26">
        <v>2</v>
      </c>
      <c r="P245" s="18">
        <v>2</v>
      </c>
      <c r="Q245" s="26">
        <v>2</v>
      </c>
      <c r="R245" s="18">
        <v>2</v>
      </c>
      <c r="S245" s="26"/>
      <c r="T245" s="18"/>
      <c r="U245" s="26">
        <v>6</v>
      </c>
      <c r="V245" s="18">
        <v>6</v>
      </c>
    </row>
    <row r="246" spans="1:22" ht="12.75">
      <c r="A246" s="14"/>
      <c r="B246" s="6" t="s">
        <v>67</v>
      </c>
      <c r="C246" s="26"/>
      <c r="D246" s="18"/>
      <c r="E246" s="26"/>
      <c r="F246" s="18"/>
      <c r="G246" s="26"/>
      <c r="H246" s="18"/>
      <c r="I246" s="26"/>
      <c r="J246" s="18"/>
      <c r="K246" s="26"/>
      <c r="L246" s="18"/>
      <c r="M246" s="26">
        <v>1</v>
      </c>
      <c r="N246" s="18">
        <v>1</v>
      </c>
      <c r="O246" s="26"/>
      <c r="P246" s="18"/>
      <c r="Q246" s="26">
        <v>1</v>
      </c>
      <c r="R246" s="18">
        <v>1</v>
      </c>
      <c r="S246" s="26">
        <v>100</v>
      </c>
      <c r="T246" s="18">
        <v>100</v>
      </c>
      <c r="U246" s="26">
        <v>1</v>
      </c>
      <c r="V246" s="18">
        <v>1</v>
      </c>
    </row>
    <row r="247" spans="1:22" s="2" customFormat="1" ht="12.75">
      <c r="A247" s="56"/>
      <c r="B247" s="57" t="s">
        <v>117</v>
      </c>
      <c r="C247" s="111"/>
      <c r="D247" s="38"/>
      <c r="E247" s="102"/>
      <c r="F247" s="38"/>
      <c r="G247" s="102"/>
      <c r="H247" s="38"/>
      <c r="I247" s="38">
        <v>1</v>
      </c>
      <c r="J247" s="38">
        <v>1</v>
      </c>
      <c r="K247" s="38"/>
      <c r="L247" s="38"/>
      <c r="M247" s="38">
        <v>3</v>
      </c>
      <c r="N247" s="38">
        <v>3</v>
      </c>
      <c r="O247" s="38"/>
      <c r="P247" s="38"/>
      <c r="Q247" s="38">
        <v>1</v>
      </c>
      <c r="R247" s="38">
        <v>1</v>
      </c>
      <c r="S247" s="38"/>
      <c r="T247" s="38"/>
      <c r="U247" s="38">
        <v>1</v>
      </c>
      <c r="V247" s="38">
        <v>1</v>
      </c>
    </row>
    <row r="248" spans="1:22" s="2" customFormat="1" ht="12.75">
      <c r="A248" s="77" t="s">
        <v>3</v>
      </c>
      <c r="B248" s="86"/>
      <c r="C248" s="33">
        <f>SUM(C249:C250)</f>
        <v>0</v>
      </c>
      <c r="D248" s="33">
        <f aca="true" t="shared" si="32" ref="D248:P248">SUM(D249:D250)</f>
        <v>0</v>
      </c>
      <c r="E248" s="33">
        <f t="shared" si="32"/>
        <v>0</v>
      </c>
      <c r="F248" s="33">
        <f t="shared" si="32"/>
        <v>0</v>
      </c>
      <c r="G248" s="33">
        <f t="shared" si="32"/>
        <v>15</v>
      </c>
      <c r="H248" s="33">
        <f t="shared" si="32"/>
        <v>15</v>
      </c>
      <c r="I248" s="33">
        <f t="shared" si="32"/>
        <v>0</v>
      </c>
      <c r="J248" s="33">
        <f t="shared" si="32"/>
        <v>0</v>
      </c>
      <c r="K248" s="33">
        <f t="shared" si="32"/>
        <v>26</v>
      </c>
      <c r="L248" s="33">
        <f t="shared" si="32"/>
        <v>26</v>
      </c>
      <c r="M248" s="33">
        <f t="shared" si="32"/>
        <v>10</v>
      </c>
      <c r="N248" s="33">
        <f t="shared" si="32"/>
        <v>10</v>
      </c>
      <c r="O248" s="33">
        <f t="shared" si="32"/>
        <v>0</v>
      </c>
      <c r="P248" s="33">
        <f t="shared" si="32"/>
        <v>0</v>
      </c>
      <c r="Q248" s="33">
        <f>SUM(Q249:Q250)</f>
        <v>90</v>
      </c>
      <c r="R248" s="33">
        <f>SUM(R249:R250)</f>
        <v>90</v>
      </c>
      <c r="S248" s="33">
        <f>SUM(S249:S250)</f>
        <v>80</v>
      </c>
      <c r="T248" s="33">
        <f>SUM(T249:T250)</f>
        <v>80</v>
      </c>
      <c r="U248" s="33">
        <f>SUM(U249:U250)</f>
        <v>0</v>
      </c>
      <c r="V248" s="33">
        <f>SUM(V249:V250)</f>
        <v>0</v>
      </c>
    </row>
    <row r="249" spans="1:22" s="19" customFormat="1" ht="12.75">
      <c r="A249" s="92"/>
      <c r="B249" s="6" t="s">
        <v>67</v>
      </c>
      <c r="C249" s="93"/>
      <c r="D249" s="93"/>
      <c r="E249" s="93"/>
      <c r="F249" s="93"/>
      <c r="G249" s="93"/>
      <c r="H249" s="93"/>
      <c r="I249" s="93"/>
      <c r="J249" s="93"/>
      <c r="K249" s="24">
        <v>26</v>
      </c>
      <c r="L249" s="24">
        <v>26</v>
      </c>
      <c r="M249" s="24">
        <v>10</v>
      </c>
      <c r="N249" s="24">
        <v>10</v>
      </c>
      <c r="O249" s="24"/>
      <c r="P249" s="24"/>
      <c r="Q249" s="24">
        <v>90</v>
      </c>
      <c r="R249" s="24">
        <v>90</v>
      </c>
      <c r="S249" s="24">
        <v>80</v>
      </c>
      <c r="T249" s="24">
        <v>80</v>
      </c>
      <c r="U249" s="24"/>
      <c r="V249" s="24"/>
    </row>
    <row r="250" spans="1:22" s="2" customFormat="1" ht="12.75">
      <c r="A250" s="56"/>
      <c r="B250" s="57" t="s">
        <v>111</v>
      </c>
      <c r="C250" s="111"/>
      <c r="D250" s="38"/>
      <c r="E250" s="102"/>
      <c r="F250" s="38"/>
      <c r="G250" s="102">
        <v>15</v>
      </c>
      <c r="H250" s="38">
        <v>15</v>
      </c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</row>
    <row r="251" spans="1:22" s="2" customFormat="1" ht="12.75">
      <c r="A251" s="77" t="s">
        <v>4</v>
      </c>
      <c r="B251" s="86"/>
      <c r="C251" s="33">
        <f>SUM(C252:C255)</f>
        <v>0</v>
      </c>
      <c r="D251" s="33">
        <f aca="true" t="shared" si="33" ref="D251:T251">SUM(D252:D255)</f>
        <v>0</v>
      </c>
      <c r="E251" s="33">
        <f t="shared" si="33"/>
        <v>0</v>
      </c>
      <c r="F251" s="33">
        <f t="shared" si="33"/>
        <v>0</v>
      </c>
      <c r="G251" s="33">
        <f t="shared" si="33"/>
        <v>436</v>
      </c>
      <c r="H251" s="33">
        <f t="shared" si="33"/>
        <v>436</v>
      </c>
      <c r="I251" s="33">
        <f t="shared" si="33"/>
        <v>0</v>
      </c>
      <c r="J251" s="33">
        <f t="shared" si="33"/>
        <v>0</v>
      </c>
      <c r="K251" s="33">
        <f t="shared" si="33"/>
        <v>0</v>
      </c>
      <c r="L251" s="33">
        <f t="shared" si="33"/>
        <v>0</v>
      </c>
      <c r="M251" s="33">
        <f t="shared" si="33"/>
        <v>3</v>
      </c>
      <c r="N251" s="33">
        <f t="shared" si="33"/>
        <v>3</v>
      </c>
      <c r="O251" s="33">
        <f t="shared" si="33"/>
        <v>5</v>
      </c>
      <c r="P251" s="33">
        <f t="shared" si="33"/>
        <v>5</v>
      </c>
      <c r="Q251" s="33">
        <f t="shared" si="33"/>
        <v>2</v>
      </c>
      <c r="R251" s="33">
        <f t="shared" si="33"/>
        <v>2</v>
      </c>
      <c r="S251" s="33">
        <f t="shared" si="33"/>
        <v>4</v>
      </c>
      <c r="T251" s="33">
        <f t="shared" si="33"/>
        <v>4</v>
      </c>
      <c r="U251" s="33">
        <f>SUM(U252:U255)</f>
        <v>10</v>
      </c>
      <c r="V251" s="33">
        <f>SUM(V252:V255)</f>
        <v>0</v>
      </c>
    </row>
    <row r="252" spans="1:22" s="19" customFormat="1" ht="12.75">
      <c r="A252" s="92"/>
      <c r="B252" s="34" t="s">
        <v>67</v>
      </c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24"/>
      <c r="N252" s="24"/>
      <c r="O252" s="24"/>
      <c r="P252" s="24"/>
      <c r="Q252" s="24"/>
      <c r="R252" s="24"/>
      <c r="S252" s="24">
        <v>2</v>
      </c>
      <c r="T252" s="24">
        <v>2</v>
      </c>
      <c r="U252" s="24">
        <v>10</v>
      </c>
      <c r="V252" s="24"/>
    </row>
    <row r="253" spans="1:22" s="19" customFormat="1" ht="12.75">
      <c r="A253" s="92"/>
      <c r="B253" s="35" t="s">
        <v>111</v>
      </c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24"/>
      <c r="N253" s="24"/>
      <c r="O253" s="24"/>
      <c r="P253" s="24"/>
      <c r="Q253" s="24"/>
      <c r="R253" s="24"/>
      <c r="S253" s="24"/>
      <c r="T253" s="24"/>
      <c r="U253" s="24"/>
      <c r="V253" s="24"/>
    </row>
    <row r="254" spans="1:22" s="19" customFormat="1" ht="12.75">
      <c r="A254" s="92"/>
      <c r="B254" s="34" t="s">
        <v>117</v>
      </c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24">
        <v>3</v>
      </c>
      <c r="N254" s="24">
        <v>3</v>
      </c>
      <c r="O254" s="24">
        <v>5</v>
      </c>
      <c r="P254" s="24">
        <v>5</v>
      </c>
      <c r="Q254" s="24">
        <v>2</v>
      </c>
      <c r="R254" s="24">
        <v>2</v>
      </c>
      <c r="S254" s="24">
        <v>2</v>
      </c>
      <c r="T254" s="24">
        <v>2</v>
      </c>
      <c r="U254" s="24"/>
      <c r="V254" s="24"/>
    </row>
    <row r="255" spans="1:22" s="2" customFormat="1" ht="12.75">
      <c r="A255" s="56"/>
      <c r="B255" s="57" t="s">
        <v>17</v>
      </c>
      <c r="C255" s="111"/>
      <c r="D255" s="38"/>
      <c r="E255" s="102"/>
      <c r="F255" s="38"/>
      <c r="G255" s="102">
        <v>436</v>
      </c>
      <c r="H255" s="38">
        <v>436</v>
      </c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</row>
    <row r="256" spans="1:22" s="2" customFormat="1" ht="12.75">
      <c r="A256" s="77" t="s">
        <v>120</v>
      </c>
      <c r="B256" s="86"/>
      <c r="C256" s="33">
        <f aca="true" t="shared" si="34" ref="C256:R256">+C257</f>
        <v>0</v>
      </c>
      <c r="D256" s="33">
        <f t="shared" si="34"/>
        <v>0</v>
      </c>
      <c r="E256" s="33">
        <f t="shared" si="34"/>
        <v>0</v>
      </c>
      <c r="F256" s="33">
        <f t="shared" si="34"/>
        <v>0</v>
      </c>
      <c r="G256" s="33">
        <f t="shared" si="34"/>
        <v>0</v>
      </c>
      <c r="H256" s="33">
        <f t="shared" si="34"/>
        <v>0</v>
      </c>
      <c r="I256" s="33">
        <f t="shared" si="34"/>
        <v>0</v>
      </c>
      <c r="J256" s="33">
        <f t="shared" si="34"/>
        <v>0</v>
      </c>
      <c r="K256" s="33">
        <f t="shared" si="34"/>
        <v>0</v>
      </c>
      <c r="L256" s="33">
        <f t="shared" si="34"/>
        <v>0</v>
      </c>
      <c r="M256" s="33">
        <f t="shared" si="34"/>
        <v>0</v>
      </c>
      <c r="N256" s="33">
        <f t="shared" si="34"/>
        <v>0</v>
      </c>
      <c r="O256" s="33">
        <f t="shared" si="34"/>
        <v>0</v>
      </c>
      <c r="P256" s="33">
        <f t="shared" si="34"/>
        <v>0</v>
      </c>
      <c r="Q256" s="33">
        <f t="shared" si="34"/>
        <v>0</v>
      </c>
      <c r="R256" s="33">
        <f t="shared" si="34"/>
        <v>0</v>
      </c>
      <c r="S256" s="33">
        <f>+S257</f>
        <v>12</v>
      </c>
      <c r="T256" s="33">
        <f>+T257</f>
        <v>12</v>
      </c>
      <c r="U256" s="33">
        <f>+U257</f>
        <v>0</v>
      </c>
      <c r="V256" s="33">
        <f>+V257</f>
        <v>0</v>
      </c>
    </row>
    <row r="257" spans="1:22" s="2" customFormat="1" ht="12.75">
      <c r="A257" s="56"/>
      <c r="B257" s="57" t="s">
        <v>67</v>
      </c>
      <c r="C257" s="111"/>
      <c r="D257" s="38"/>
      <c r="E257" s="102"/>
      <c r="F257" s="38"/>
      <c r="G257" s="102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>
        <v>12</v>
      </c>
      <c r="T257" s="38">
        <v>12</v>
      </c>
      <c r="U257" s="38"/>
      <c r="V257" s="38"/>
    </row>
    <row r="258" spans="1:22" s="2" customFormat="1" ht="12.75">
      <c r="A258" s="77" t="s">
        <v>110</v>
      </c>
      <c r="B258" s="86"/>
      <c r="C258" s="33">
        <f aca="true" t="shared" si="35" ref="C258:J258">+C260</f>
        <v>0</v>
      </c>
      <c r="D258" s="33">
        <f t="shared" si="35"/>
        <v>0</v>
      </c>
      <c r="E258" s="33">
        <f t="shared" si="35"/>
        <v>0</v>
      </c>
      <c r="F258" s="33">
        <f t="shared" si="35"/>
        <v>0</v>
      </c>
      <c r="G258" s="33">
        <f t="shared" si="35"/>
        <v>0</v>
      </c>
      <c r="H258" s="33">
        <f t="shared" si="35"/>
        <v>0</v>
      </c>
      <c r="I258" s="33">
        <f t="shared" si="35"/>
        <v>0</v>
      </c>
      <c r="J258" s="33">
        <f t="shared" si="35"/>
        <v>0</v>
      </c>
      <c r="K258" s="33">
        <f>SUM(K259:K260)</f>
        <v>0</v>
      </c>
      <c r="L258" s="33">
        <f aca="true" t="shared" si="36" ref="L258:T258">SUM(L259:L260)</f>
        <v>0</v>
      </c>
      <c r="M258" s="33">
        <f t="shared" si="36"/>
        <v>0</v>
      </c>
      <c r="N258" s="33">
        <f t="shared" si="36"/>
        <v>0</v>
      </c>
      <c r="O258" s="33">
        <f t="shared" si="36"/>
        <v>0</v>
      </c>
      <c r="P258" s="33">
        <f t="shared" si="36"/>
        <v>0</v>
      </c>
      <c r="Q258" s="33">
        <f t="shared" si="36"/>
        <v>2</v>
      </c>
      <c r="R258" s="33">
        <f t="shared" si="36"/>
        <v>2</v>
      </c>
      <c r="S258" s="33">
        <f t="shared" si="36"/>
        <v>45</v>
      </c>
      <c r="T258" s="33">
        <f t="shared" si="36"/>
        <v>45</v>
      </c>
      <c r="U258" s="33">
        <f>SUM(U259:U260)</f>
        <v>0</v>
      </c>
      <c r="V258" s="33">
        <f>SUM(V259:V260)</f>
        <v>0</v>
      </c>
    </row>
    <row r="259" spans="1:22" s="19" customFormat="1" ht="12.75">
      <c r="A259" s="92"/>
      <c r="B259" s="34" t="s">
        <v>117</v>
      </c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24"/>
      <c r="N259" s="24"/>
      <c r="O259" s="24"/>
      <c r="P259" s="24"/>
      <c r="Q259" s="24">
        <v>2</v>
      </c>
      <c r="R259" s="24">
        <v>2</v>
      </c>
      <c r="S259" s="24"/>
      <c r="T259" s="24"/>
      <c r="U259" s="24"/>
      <c r="V259" s="24"/>
    </row>
    <row r="260" spans="1:22" s="2" customFormat="1" ht="12.75">
      <c r="A260" s="56"/>
      <c r="B260" s="57" t="s">
        <v>67</v>
      </c>
      <c r="C260" s="111"/>
      <c r="D260" s="38"/>
      <c r="E260" s="102"/>
      <c r="F260" s="38"/>
      <c r="G260" s="102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>
        <v>45</v>
      </c>
      <c r="T260" s="38">
        <v>45</v>
      </c>
      <c r="U260" s="38"/>
      <c r="V260" s="38"/>
    </row>
    <row r="261" spans="1:22" s="2" customFormat="1" ht="12.75">
      <c r="A261" s="77" t="s">
        <v>121</v>
      </c>
      <c r="B261" s="86"/>
      <c r="C261" s="33">
        <f>SUM(C262:C263)</f>
        <v>0</v>
      </c>
      <c r="D261" s="33">
        <f aca="true" t="shared" si="37" ref="D261:V261">SUM(D262:D263)</f>
        <v>0</v>
      </c>
      <c r="E261" s="33">
        <f t="shared" si="37"/>
        <v>0</v>
      </c>
      <c r="F261" s="33">
        <f t="shared" si="37"/>
        <v>0</v>
      </c>
      <c r="G261" s="33">
        <f t="shared" si="37"/>
        <v>0</v>
      </c>
      <c r="H261" s="33">
        <f t="shared" si="37"/>
        <v>0</v>
      </c>
      <c r="I261" s="33">
        <f t="shared" si="37"/>
        <v>0</v>
      </c>
      <c r="J261" s="33">
        <f t="shared" si="37"/>
        <v>0</v>
      </c>
      <c r="K261" s="33">
        <f t="shared" si="37"/>
        <v>0</v>
      </c>
      <c r="L261" s="33">
        <f t="shared" si="37"/>
        <v>0</v>
      </c>
      <c r="M261" s="33">
        <f t="shared" si="37"/>
        <v>0</v>
      </c>
      <c r="N261" s="33">
        <f t="shared" si="37"/>
        <v>0</v>
      </c>
      <c r="O261" s="33">
        <f t="shared" si="37"/>
        <v>0</v>
      </c>
      <c r="P261" s="33">
        <f t="shared" si="37"/>
        <v>0</v>
      </c>
      <c r="Q261" s="33">
        <f t="shared" si="37"/>
        <v>0</v>
      </c>
      <c r="R261" s="33">
        <f t="shared" si="37"/>
        <v>0</v>
      </c>
      <c r="S261" s="33">
        <f t="shared" si="37"/>
        <v>18</v>
      </c>
      <c r="T261" s="33">
        <f t="shared" si="37"/>
        <v>18</v>
      </c>
      <c r="U261" s="33">
        <f t="shared" si="37"/>
        <v>1</v>
      </c>
      <c r="V261" s="33">
        <f t="shared" si="37"/>
        <v>1</v>
      </c>
    </row>
    <row r="262" spans="1:22" s="19" customFormat="1" ht="12.75">
      <c r="A262" s="92"/>
      <c r="B262" s="34" t="s">
        <v>117</v>
      </c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24"/>
      <c r="N262" s="24"/>
      <c r="O262" s="24"/>
      <c r="P262" s="24"/>
      <c r="Q262" s="24"/>
      <c r="R262" s="24"/>
      <c r="S262" s="24"/>
      <c r="T262" s="24"/>
      <c r="U262" s="24">
        <v>1</v>
      </c>
      <c r="V262" s="24">
        <v>1</v>
      </c>
    </row>
    <row r="263" spans="1:22" s="2" customFormat="1" ht="12.75">
      <c r="A263" s="56"/>
      <c r="B263" s="57" t="s">
        <v>67</v>
      </c>
      <c r="C263" s="111"/>
      <c r="D263" s="38"/>
      <c r="E263" s="102"/>
      <c r="F263" s="38"/>
      <c r="G263" s="102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>
        <v>18</v>
      </c>
      <c r="T263" s="38">
        <v>18</v>
      </c>
      <c r="U263" s="38"/>
      <c r="V263" s="38"/>
    </row>
    <row r="264" spans="1:22" s="2" customFormat="1" ht="12.75">
      <c r="A264" s="77" t="s">
        <v>5</v>
      </c>
      <c r="B264" s="86"/>
      <c r="C264" s="33">
        <f>SUM(C265:C266)</f>
        <v>0</v>
      </c>
      <c r="D264" s="33">
        <f aca="true" t="shared" si="38" ref="D264:R264">SUM(D265:D266)</f>
        <v>0</v>
      </c>
      <c r="E264" s="33">
        <f t="shared" si="38"/>
        <v>0</v>
      </c>
      <c r="F264" s="33">
        <f t="shared" si="38"/>
        <v>0</v>
      </c>
      <c r="G264" s="33">
        <f t="shared" si="38"/>
        <v>0</v>
      </c>
      <c r="H264" s="33">
        <f t="shared" si="38"/>
        <v>0</v>
      </c>
      <c r="I264" s="33">
        <f t="shared" si="38"/>
        <v>0</v>
      </c>
      <c r="J264" s="33">
        <f t="shared" si="38"/>
        <v>0</v>
      </c>
      <c r="K264" s="33">
        <f t="shared" si="38"/>
        <v>5</v>
      </c>
      <c r="L264" s="33">
        <f t="shared" si="38"/>
        <v>5</v>
      </c>
      <c r="M264" s="33">
        <f t="shared" si="38"/>
        <v>1</v>
      </c>
      <c r="N264" s="33">
        <f t="shared" si="38"/>
        <v>0</v>
      </c>
      <c r="O264" s="33">
        <f t="shared" si="38"/>
        <v>15</v>
      </c>
      <c r="P264" s="33">
        <f t="shared" si="38"/>
        <v>15</v>
      </c>
      <c r="Q264" s="33">
        <f t="shared" si="38"/>
        <v>0</v>
      </c>
      <c r="R264" s="33">
        <f t="shared" si="38"/>
        <v>0</v>
      </c>
      <c r="S264" s="33">
        <f>SUM(S265:S266)</f>
        <v>6</v>
      </c>
      <c r="T264" s="33">
        <f>SUM(T265:T266)</f>
        <v>6</v>
      </c>
      <c r="U264" s="33">
        <f>SUM(U265:U266)</f>
        <v>0</v>
      </c>
      <c r="V264" s="33">
        <f>SUM(V265:V266)</f>
        <v>0</v>
      </c>
    </row>
    <row r="265" spans="1:22" s="19" customFormat="1" ht="12.75">
      <c r="A265" s="92"/>
      <c r="B265" s="34" t="s">
        <v>36</v>
      </c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24">
        <v>1</v>
      </c>
      <c r="N265" s="24"/>
      <c r="O265" s="24">
        <v>15</v>
      </c>
      <c r="P265" s="24">
        <v>15</v>
      </c>
      <c r="Q265" s="24"/>
      <c r="R265" s="24"/>
      <c r="S265" s="24"/>
      <c r="T265" s="24"/>
      <c r="U265" s="24"/>
      <c r="V265" s="24"/>
    </row>
    <row r="266" spans="1:22" ht="12.75">
      <c r="A266" s="14"/>
      <c r="B266" s="6" t="s">
        <v>67</v>
      </c>
      <c r="C266" s="26"/>
      <c r="D266" s="26"/>
      <c r="E266" s="26"/>
      <c r="F266" s="26"/>
      <c r="G266" s="26"/>
      <c r="H266" s="26"/>
      <c r="I266" s="26"/>
      <c r="J266" s="26"/>
      <c r="K266" s="26">
        <v>5</v>
      </c>
      <c r="L266" s="26">
        <v>5</v>
      </c>
      <c r="M266" s="26"/>
      <c r="N266" s="26"/>
      <c r="O266" s="26"/>
      <c r="P266" s="26"/>
      <c r="Q266" s="26"/>
      <c r="R266" s="26"/>
      <c r="S266" s="26">
        <v>6</v>
      </c>
      <c r="T266" s="26">
        <v>6</v>
      </c>
      <c r="U266" s="26"/>
      <c r="V266" s="26"/>
    </row>
    <row r="267" spans="1:22" ht="15.75">
      <c r="A267" s="107" t="s">
        <v>7</v>
      </c>
      <c r="B267" s="108"/>
      <c r="C267" s="82">
        <f>+C237+C80+C26+C11+C9</f>
        <v>418793</v>
      </c>
      <c r="D267" s="82">
        <f>+D237+D80+D26+D11+D9</f>
        <v>8299</v>
      </c>
      <c r="E267" s="82">
        <f>+E237+E80+E26+E11+E9</f>
        <v>415885</v>
      </c>
      <c r="F267" s="82">
        <f>+F237+F80+F26+F11+F9</f>
        <v>7949</v>
      </c>
      <c r="G267" s="82">
        <f>+G237+G80+G26+G11+G9</f>
        <v>432897</v>
      </c>
      <c r="H267" s="82">
        <f>+H237+H80+H26+H11+H9</f>
        <v>15332</v>
      </c>
      <c r="I267" s="82">
        <f>+I237+I80+I26+I11+I9</f>
        <v>450899</v>
      </c>
      <c r="J267" s="82">
        <f>+J237+J80+J26+J11+J9</f>
        <v>15717</v>
      </c>
      <c r="K267" s="82">
        <f>+K237+K80+K26+K11+K9</f>
        <v>477312</v>
      </c>
      <c r="L267" s="82">
        <f>+L237+L80+L26+L11+L9</f>
        <v>27035</v>
      </c>
      <c r="M267" s="82">
        <f>+M237+M80+M26+M11+M9</f>
        <v>500424</v>
      </c>
      <c r="N267" s="82">
        <f>+N237+N80+N26+N11+N9</f>
        <v>28294</v>
      </c>
      <c r="O267" s="82">
        <f>+O237+O80+O26+O11+O9</f>
        <v>506836</v>
      </c>
      <c r="P267" s="82">
        <f>+P237+P80+P26+P11+P9</f>
        <v>31317</v>
      </c>
      <c r="Q267" s="82">
        <f>+Q237+Q80+Q26+Q11+Q9</f>
        <v>524452</v>
      </c>
      <c r="R267" s="82">
        <f>+R237+R80+R26+R11+R9</f>
        <v>37222</v>
      </c>
      <c r="S267" s="82">
        <f>+S237+S80+S26+S11+S9</f>
        <v>495987</v>
      </c>
      <c r="T267" s="82">
        <f>+T237+T80+T26+T11+T9</f>
        <v>19769</v>
      </c>
      <c r="U267" s="82">
        <f>+U237+U80+U26+U11+U9</f>
        <v>531533</v>
      </c>
      <c r="V267" s="82">
        <f>+V237+V80+V26+V11+V9</f>
        <v>28069</v>
      </c>
    </row>
    <row r="268" spans="2:22" s="2" customFormat="1" ht="20.25" customHeight="1">
      <c r="B268" s="64"/>
      <c r="C268" s="65"/>
      <c r="D268" s="65"/>
      <c r="E268" s="65"/>
      <c r="F268" s="65"/>
      <c r="G268" s="65"/>
      <c r="H268" s="65"/>
      <c r="I268" s="65"/>
      <c r="J268" s="65"/>
      <c r="K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</row>
    <row r="269" spans="1:24" ht="12.75">
      <c r="A269" s="90" t="s">
        <v>84</v>
      </c>
      <c r="B269" s="119"/>
      <c r="C269" s="120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</row>
    <row r="270" spans="2:22" ht="12.75">
      <c r="B270" s="119"/>
      <c r="C270" s="120"/>
      <c r="K270" s="4"/>
      <c r="L270" s="4"/>
      <c r="N270" s="4"/>
      <c r="P270" s="4"/>
      <c r="R270" s="4"/>
      <c r="T270" s="4"/>
      <c r="V270" s="4"/>
    </row>
    <row r="271" spans="2:3" ht="12.75">
      <c r="B271" s="119"/>
      <c r="C271" s="120"/>
    </row>
    <row r="272" spans="2:3" ht="12.75">
      <c r="B272" s="119"/>
      <c r="C272" s="120"/>
    </row>
    <row r="273" spans="2:3" ht="12.75">
      <c r="B273" s="119"/>
      <c r="C273" s="120"/>
    </row>
    <row r="274" spans="2:3" ht="12.75">
      <c r="B274" s="119"/>
      <c r="C274" s="120"/>
    </row>
    <row r="275" spans="2:3" ht="12.75">
      <c r="B275" s="119"/>
      <c r="C275" s="120"/>
    </row>
    <row r="276" spans="2:3" ht="12.75">
      <c r="B276" s="119"/>
      <c r="C276" s="120"/>
    </row>
    <row r="277" spans="2:3" ht="12.75">
      <c r="B277" s="119"/>
      <c r="C277" s="120"/>
    </row>
    <row r="278" spans="2:3" ht="12.75">
      <c r="B278" s="119"/>
      <c r="C278" s="120"/>
    </row>
    <row r="279" spans="2:3" ht="12.75">
      <c r="B279" s="119"/>
      <c r="C279" s="120"/>
    </row>
    <row r="280" spans="2:3" ht="12.75">
      <c r="B280" s="119"/>
      <c r="C280" s="120"/>
    </row>
    <row r="281" spans="2:3" ht="12.75">
      <c r="B281" s="119"/>
      <c r="C281" s="120"/>
    </row>
    <row r="282" spans="2:3" ht="12.75">
      <c r="B282" s="119"/>
      <c r="C282" s="120"/>
    </row>
    <row r="283" spans="2:3" ht="12.75">
      <c r="B283" s="119"/>
      <c r="C283" s="120"/>
    </row>
    <row r="284" spans="2:3" ht="12.75">
      <c r="B284" s="119"/>
      <c r="C284" s="120"/>
    </row>
    <row r="285" spans="2:3" ht="12.75">
      <c r="B285" s="119"/>
      <c r="C285" s="120"/>
    </row>
    <row r="286" spans="2:3" ht="12.75">
      <c r="B286" s="119"/>
      <c r="C286" s="120"/>
    </row>
    <row r="287" spans="2:3" ht="12.75">
      <c r="B287" s="119"/>
      <c r="C287" s="120"/>
    </row>
    <row r="288" spans="2:3" ht="12.75">
      <c r="B288" s="119"/>
      <c r="C288" s="120"/>
    </row>
    <row r="289" spans="2:3" ht="12.75">
      <c r="B289" s="119"/>
      <c r="C289" s="120"/>
    </row>
    <row r="290" spans="2:3" ht="12.75">
      <c r="B290" s="119"/>
      <c r="C290" s="120"/>
    </row>
    <row r="422" ht="12.75">
      <c r="D422" s="4">
        <f>133000</f>
        <v>133000</v>
      </c>
    </row>
    <row r="424" ht="12.75">
      <c r="D424" s="4">
        <v>1936.27</v>
      </c>
    </row>
    <row r="425" ht="12.75">
      <c r="D425" s="4">
        <f>+D422/D424</f>
        <v>68.6887675789017</v>
      </c>
    </row>
    <row r="455" ht="12.75">
      <c r="C455" s="118" t="s">
        <v>8</v>
      </c>
    </row>
  </sheetData>
  <mergeCells count="2">
    <mergeCell ref="S6:T6"/>
    <mergeCell ref="U6:V6"/>
  </mergeCells>
  <printOptions/>
  <pageMargins left="0.51" right="0.21" top="0.42" bottom="0.36" header="0.26" footer="0.19"/>
  <pageSetup horizontalDpi="600" verticalDpi="600" orientation="landscape" paperSize="9" scale="60" r:id="rId1"/>
  <rowBreaks count="1" manualBreakCount="1">
    <brk id="8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54"/>
  <sheetViews>
    <sheetView workbookViewId="0" topLeftCell="C247">
      <selection activeCell="F273" sqref="F273"/>
    </sheetView>
  </sheetViews>
  <sheetFormatPr defaultColWidth="9.140625" defaultRowHeight="12.75"/>
  <cols>
    <col min="1" max="1" width="2.7109375" style="3" customWidth="1"/>
    <col min="2" max="2" width="47.140625" style="3" bestFit="1" customWidth="1"/>
    <col min="3" max="6" width="9.57421875" style="4" customWidth="1"/>
    <col min="7" max="7" width="9.57421875" style="1" customWidth="1"/>
    <col min="8" max="12" width="9.57421875" style="4" customWidth="1"/>
    <col min="13" max="20" width="9.140625" style="39" customWidth="1"/>
  </cols>
  <sheetData>
    <row r="1" spans="1:20" s="2" customFormat="1" ht="24" customHeight="1">
      <c r="A1" s="69" t="s">
        <v>139</v>
      </c>
      <c r="B1" s="3"/>
      <c r="C1" s="4"/>
      <c r="E1" s="4"/>
      <c r="F1" s="4"/>
      <c r="G1" s="1"/>
      <c r="H1" s="4"/>
      <c r="I1" s="4"/>
      <c r="J1" s="4"/>
      <c r="K1" s="4"/>
      <c r="L1" s="4"/>
      <c r="M1" s="39"/>
      <c r="N1" s="39"/>
      <c r="O1" s="39"/>
      <c r="P1" s="39"/>
      <c r="Q1" s="39"/>
      <c r="R1" s="39"/>
      <c r="S1" s="39"/>
      <c r="T1" s="39"/>
    </row>
    <row r="2" spans="1:20" s="2" customFormat="1" ht="6.75" customHeight="1">
      <c r="A2" s="5"/>
      <c r="B2" s="5"/>
      <c r="C2" s="71"/>
      <c r="D2" s="59"/>
      <c r="E2" s="71"/>
      <c r="F2" s="71"/>
      <c r="G2" s="11"/>
      <c r="H2" s="91"/>
      <c r="I2" s="91"/>
      <c r="J2" s="91"/>
      <c r="K2" s="91"/>
      <c r="L2" s="91"/>
      <c r="M2" s="39"/>
      <c r="N2" s="39"/>
      <c r="O2" s="39"/>
      <c r="P2" s="39"/>
      <c r="Q2" s="39"/>
      <c r="R2" s="39"/>
      <c r="S2" s="39"/>
      <c r="T2" s="39"/>
    </row>
    <row r="3" spans="1:20" s="2" customFormat="1" ht="12.75">
      <c r="A3" s="72" t="s">
        <v>11</v>
      </c>
      <c r="B3" s="5"/>
      <c r="C3" s="4"/>
      <c r="D3" s="4"/>
      <c r="E3" s="4"/>
      <c r="F3" s="4"/>
      <c r="G3" s="1"/>
      <c r="H3" s="91"/>
      <c r="I3" s="91"/>
      <c r="J3" s="91"/>
      <c r="K3" s="91"/>
      <c r="L3" s="91"/>
      <c r="M3" s="39"/>
      <c r="N3" s="39"/>
      <c r="O3" s="39"/>
      <c r="P3" s="39"/>
      <c r="Q3" s="39"/>
      <c r="R3" s="39"/>
      <c r="S3" s="39"/>
      <c r="T3" s="39"/>
    </row>
    <row r="4" spans="1:20" s="2" customFormat="1" ht="8.25" customHeight="1">
      <c r="A4" s="7"/>
      <c r="B4" s="7"/>
      <c r="C4" s="4"/>
      <c r="D4" s="4"/>
      <c r="E4" s="4"/>
      <c r="F4" s="4"/>
      <c r="G4" s="1"/>
      <c r="H4" s="4"/>
      <c r="I4" s="4"/>
      <c r="J4" s="4"/>
      <c r="K4" s="4"/>
      <c r="L4" s="4"/>
      <c r="M4" s="39"/>
      <c r="N4" s="39"/>
      <c r="O4" s="39"/>
      <c r="P4" s="39"/>
      <c r="Q4" s="39"/>
      <c r="R4" s="39"/>
      <c r="S4" s="39"/>
      <c r="T4" s="39"/>
    </row>
    <row r="5" spans="1:20" s="2" customFormat="1" ht="12.75">
      <c r="A5" s="8"/>
      <c r="B5" s="12"/>
      <c r="C5" s="40">
        <v>1998</v>
      </c>
      <c r="D5" s="40">
        <v>1999</v>
      </c>
      <c r="E5" s="40">
        <v>2000</v>
      </c>
      <c r="F5" s="40">
        <v>2001</v>
      </c>
      <c r="G5" s="40">
        <v>2002</v>
      </c>
      <c r="H5" s="40">
        <v>2003</v>
      </c>
      <c r="I5" s="40">
        <v>2004</v>
      </c>
      <c r="J5" s="105">
        <v>2005</v>
      </c>
      <c r="K5" s="105">
        <v>2006</v>
      </c>
      <c r="L5" s="105">
        <v>2007</v>
      </c>
      <c r="M5" s="39"/>
      <c r="N5" s="39"/>
      <c r="O5" s="39"/>
      <c r="P5" s="39"/>
      <c r="Q5" s="39"/>
      <c r="R5" s="39"/>
      <c r="S5" s="39"/>
      <c r="T5" s="39"/>
    </row>
    <row r="6" spans="1:20" s="2" customFormat="1" ht="15.75">
      <c r="A6" s="8"/>
      <c r="B6" s="98" t="s">
        <v>6</v>
      </c>
      <c r="C6" s="42" t="s">
        <v>10</v>
      </c>
      <c r="D6" s="42" t="s">
        <v>10</v>
      </c>
      <c r="E6" s="42" t="s">
        <v>10</v>
      </c>
      <c r="F6" s="85" t="s">
        <v>10</v>
      </c>
      <c r="G6" s="85" t="s">
        <v>10</v>
      </c>
      <c r="H6" s="85" t="s">
        <v>10</v>
      </c>
      <c r="I6" s="85" t="s">
        <v>10</v>
      </c>
      <c r="J6" s="88" t="s">
        <v>10</v>
      </c>
      <c r="K6" s="88" t="s">
        <v>10</v>
      </c>
      <c r="L6" s="88" t="s">
        <v>10</v>
      </c>
      <c r="M6" s="39"/>
      <c r="N6" s="39"/>
      <c r="O6" s="39"/>
      <c r="P6" s="39"/>
      <c r="Q6" s="39"/>
      <c r="R6" s="39"/>
      <c r="S6" s="39"/>
      <c r="T6" s="39"/>
    </row>
    <row r="7" spans="1:20" s="2" customFormat="1" ht="12.75">
      <c r="A7" s="100"/>
      <c r="B7" s="100"/>
      <c r="C7" s="48" t="s">
        <v>9</v>
      </c>
      <c r="D7" s="48" t="s">
        <v>9</v>
      </c>
      <c r="E7" s="48" t="s">
        <v>9</v>
      </c>
      <c r="F7" s="48" t="s">
        <v>9</v>
      </c>
      <c r="G7" s="48" t="s">
        <v>9</v>
      </c>
      <c r="H7" s="48" t="s">
        <v>9</v>
      </c>
      <c r="I7" s="48" t="s">
        <v>9</v>
      </c>
      <c r="J7" s="48" t="s">
        <v>9</v>
      </c>
      <c r="K7" s="48" t="s">
        <v>9</v>
      </c>
      <c r="L7" s="48" t="s">
        <v>9</v>
      </c>
      <c r="M7" s="39"/>
      <c r="N7" s="39"/>
      <c r="O7" s="39"/>
      <c r="P7" s="39"/>
      <c r="Q7" s="39"/>
      <c r="R7" s="39"/>
      <c r="S7" s="39"/>
      <c r="T7" s="39"/>
    </row>
    <row r="8" spans="1:20" s="2" customFormat="1" ht="12.75">
      <c r="A8" s="79" t="s">
        <v>0</v>
      </c>
      <c r="B8" s="96"/>
      <c r="C8" s="106">
        <f>+'Entrate tot e finalizzati'!C8-'Entrate tot e finalizzati'!D8</f>
        <v>0</v>
      </c>
      <c r="D8" s="106">
        <f>+'Entrate tot e finalizzati'!E8-'Entrate tot e finalizzati'!F8</f>
        <v>0</v>
      </c>
      <c r="E8" s="106">
        <f>+'Entrate tot e finalizzati'!G8-'Entrate tot e finalizzati'!H8</f>
        <v>0</v>
      </c>
      <c r="F8" s="106">
        <f>+'Entrate tot e finalizzati'!I8-'Entrate tot e finalizzati'!J8</f>
        <v>552</v>
      </c>
      <c r="G8" s="106">
        <f>+'Entrate tot e finalizzati'!K8-'Entrate tot e finalizzati'!L8</f>
        <v>0</v>
      </c>
      <c r="H8" s="106">
        <f>+'Entrate tot e finalizzati'!M8-'Entrate tot e finalizzati'!N8</f>
        <v>0</v>
      </c>
      <c r="I8" s="106">
        <f>+'Entrate tot e finalizzati'!O8-'Entrate tot e finalizzati'!P8</f>
        <v>0</v>
      </c>
      <c r="J8" s="106">
        <f>+'Entrate tot e finalizzati'!Q8-'Entrate tot e finalizzati'!R8</f>
        <v>0</v>
      </c>
      <c r="K8" s="106">
        <f>+'Entrate tot e finalizzati'!S8-'Entrate tot e finalizzati'!T8</f>
        <v>0</v>
      </c>
      <c r="L8" s="106">
        <f>+'Entrate tot e finalizzati'!U8-'Entrate tot e finalizzati'!V8</f>
        <v>0</v>
      </c>
      <c r="M8" s="115"/>
      <c r="N8" s="115"/>
      <c r="O8" s="115"/>
      <c r="P8" s="115"/>
      <c r="Q8" s="115"/>
      <c r="R8" s="115"/>
      <c r="S8" s="115"/>
      <c r="T8" s="115"/>
    </row>
    <row r="9" spans="1:20" s="2" customFormat="1" ht="12.75">
      <c r="A9" s="77" t="s">
        <v>0</v>
      </c>
      <c r="B9" s="78"/>
      <c r="C9" s="33">
        <f>+'Entrate tot e finalizzati'!C9-'Entrate tot e finalizzati'!D9</f>
        <v>0</v>
      </c>
      <c r="D9" s="33">
        <f>+'Entrate tot e finalizzati'!E9-'Entrate tot e finalizzati'!F9</f>
        <v>0</v>
      </c>
      <c r="E9" s="33">
        <f>+'Entrate tot e finalizzati'!G9-'Entrate tot e finalizzati'!H9</f>
        <v>0</v>
      </c>
      <c r="F9" s="33">
        <f>+'Entrate tot e finalizzati'!I9-'Entrate tot e finalizzati'!J9</f>
        <v>552</v>
      </c>
      <c r="G9" s="33">
        <f>+'Entrate tot e finalizzati'!K9-'Entrate tot e finalizzati'!L9</f>
        <v>0</v>
      </c>
      <c r="H9" s="33">
        <f>+'Entrate tot e finalizzati'!M9-'Entrate tot e finalizzati'!N9</f>
        <v>0</v>
      </c>
      <c r="I9" s="33">
        <f>+'Entrate tot e finalizzati'!O9-'Entrate tot e finalizzati'!P9</f>
        <v>0</v>
      </c>
      <c r="J9" s="33">
        <f>+'Entrate tot e finalizzati'!Q9-'Entrate tot e finalizzati'!R9</f>
        <v>0</v>
      </c>
      <c r="K9" s="33">
        <f>+'Entrate tot e finalizzati'!S9-'Entrate tot e finalizzati'!T9</f>
        <v>0</v>
      </c>
      <c r="L9" s="33">
        <f>+'Entrate tot e finalizzati'!U9-'Entrate tot e finalizzati'!V9</f>
        <v>0</v>
      </c>
      <c r="M9" s="39"/>
      <c r="N9" s="39"/>
      <c r="O9" s="39"/>
      <c r="P9" s="39"/>
      <c r="Q9" s="39"/>
      <c r="R9" s="39"/>
      <c r="S9" s="39"/>
      <c r="T9" s="39"/>
    </row>
    <row r="10" spans="1:20" s="2" customFormat="1" ht="12.75">
      <c r="A10" s="17"/>
      <c r="B10" s="81" t="s">
        <v>14</v>
      </c>
      <c r="C10" s="23">
        <f>+'Entrate tot e finalizzati'!C10-'Entrate tot e finalizzati'!D10</f>
        <v>0</v>
      </c>
      <c r="D10" s="23">
        <f>+'Entrate tot e finalizzati'!E10-'Entrate tot e finalizzati'!F10</f>
        <v>0</v>
      </c>
      <c r="E10" s="23">
        <f>+'Entrate tot e finalizzati'!G10-'Entrate tot e finalizzati'!H10</f>
        <v>0</v>
      </c>
      <c r="F10" s="23">
        <f>+'Entrate tot e finalizzati'!I10-'Entrate tot e finalizzati'!J10</f>
        <v>552</v>
      </c>
      <c r="G10" s="23">
        <f>+'Entrate tot e finalizzati'!K10-'Entrate tot e finalizzati'!L10</f>
        <v>0</v>
      </c>
      <c r="H10" s="23">
        <f>+'Entrate tot e finalizzati'!M10-'Entrate tot e finalizzati'!N10</f>
        <v>0</v>
      </c>
      <c r="I10" s="23">
        <f>+'Entrate tot e finalizzati'!O10-'Entrate tot e finalizzati'!P10</f>
        <v>0</v>
      </c>
      <c r="J10" s="23">
        <f>+'Entrate tot e finalizzati'!Q10-'Entrate tot e finalizzati'!R10</f>
        <v>0</v>
      </c>
      <c r="K10" s="23">
        <f>+'Entrate tot e finalizzati'!S10-'Entrate tot e finalizzati'!T10</f>
        <v>0</v>
      </c>
      <c r="L10" s="23">
        <f>+'Entrate tot e finalizzati'!U10-'Entrate tot e finalizzati'!V10</f>
        <v>0</v>
      </c>
      <c r="M10" s="39"/>
      <c r="N10" s="39"/>
      <c r="O10" s="39"/>
      <c r="P10" s="39"/>
      <c r="Q10" s="39"/>
      <c r="R10" s="39"/>
      <c r="S10" s="39"/>
      <c r="T10" s="39"/>
    </row>
    <row r="11" spans="1:20" s="2" customFormat="1" ht="12.75">
      <c r="A11" s="79" t="s">
        <v>123</v>
      </c>
      <c r="B11" s="96"/>
      <c r="C11" s="106">
        <f>+'Entrate tot e finalizzati'!C11-'Entrate tot e finalizzati'!D11</f>
        <v>2271</v>
      </c>
      <c r="D11" s="106">
        <f>+'Entrate tot e finalizzati'!E11-'Entrate tot e finalizzati'!F11</f>
        <v>6115</v>
      </c>
      <c r="E11" s="106">
        <f>+'Entrate tot e finalizzati'!G11-'Entrate tot e finalizzati'!H11</f>
        <v>7092</v>
      </c>
      <c r="F11" s="106">
        <f>+'Entrate tot e finalizzati'!I11-'Entrate tot e finalizzati'!J11</f>
        <v>21250</v>
      </c>
      <c r="G11" s="106">
        <f>+'Entrate tot e finalizzati'!K11-'Entrate tot e finalizzati'!L11</f>
        <v>15354</v>
      </c>
      <c r="H11" s="106">
        <f>+'Entrate tot e finalizzati'!M11-'Entrate tot e finalizzati'!N11</f>
        <v>10949</v>
      </c>
      <c r="I11" s="106">
        <f>+'Entrate tot e finalizzati'!O11-'Entrate tot e finalizzati'!P11</f>
        <v>8738</v>
      </c>
      <c r="J11" s="106">
        <f>+'Entrate tot e finalizzati'!Q11-'Entrate tot e finalizzati'!R11</f>
        <v>9819</v>
      </c>
      <c r="K11" s="106">
        <f>+'Entrate tot e finalizzati'!S11-'Entrate tot e finalizzati'!T11</f>
        <v>11083</v>
      </c>
      <c r="L11" s="106">
        <f>+'Entrate tot e finalizzati'!U11-'Entrate tot e finalizzati'!V11</f>
        <v>12608</v>
      </c>
      <c r="M11" s="115"/>
      <c r="N11" s="115"/>
      <c r="O11" s="115"/>
      <c r="P11" s="115"/>
      <c r="Q11" s="115"/>
      <c r="R11" s="115"/>
      <c r="S11" s="115"/>
      <c r="T11" s="115"/>
    </row>
    <row r="12" spans="1:20" s="2" customFormat="1" ht="12.75">
      <c r="A12" s="77" t="s">
        <v>124</v>
      </c>
      <c r="B12" s="78"/>
      <c r="C12" s="33">
        <f>+'Entrate tot e finalizzati'!C12-'Entrate tot e finalizzati'!D12</f>
        <v>73</v>
      </c>
      <c r="D12" s="33">
        <f>+'Entrate tot e finalizzati'!E12-'Entrate tot e finalizzati'!F12</f>
        <v>65</v>
      </c>
      <c r="E12" s="33">
        <f>+'Entrate tot e finalizzati'!G12-'Entrate tot e finalizzati'!H12</f>
        <v>1033</v>
      </c>
      <c r="F12" s="33">
        <f>+'Entrate tot e finalizzati'!I12-'Entrate tot e finalizzati'!J12</f>
        <v>1169</v>
      </c>
      <c r="G12" s="33">
        <f>+'Entrate tot e finalizzati'!K12-'Entrate tot e finalizzati'!L12</f>
        <v>66</v>
      </c>
      <c r="H12" s="33">
        <f>+'Entrate tot e finalizzati'!M12-'Entrate tot e finalizzati'!N12</f>
        <v>38</v>
      </c>
      <c r="I12" s="33">
        <f>+'Entrate tot e finalizzati'!O12-'Entrate tot e finalizzati'!P12</f>
        <v>13</v>
      </c>
      <c r="J12" s="33">
        <f>+'Entrate tot e finalizzati'!Q12-'Entrate tot e finalizzati'!R12</f>
        <v>6</v>
      </c>
      <c r="K12" s="33">
        <f>+'Entrate tot e finalizzati'!S12-'Entrate tot e finalizzati'!T12</f>
        <v>8</v>
      </c>
      <c r="L12" s="33">
        <f>+'Entrate tot e finalizzati'!U12-'Entrate tot e finalizzati'!V12</f>
        <v>13</v>
      </c>
      <c r="M12" s="116"/>
      <c r="N12" s="116"/>
      <c r="O12" s="116"/>
      <c r="P12" s="116"/>
      <c r="Q12" s="116"/>
      <c r="R12" s="116"/>
      <c r="S12" s="116"/>
      <c r="T12" s="116"/>
    </row>
    <row r="13" spans="1:20" s="2" customFormat="1" ht="12.75">
      <c r="A13" s="83"/>
      <c r="B13" s="35" t="s">
        <v>66</v>
      </c>
      <c r="C13" s="24">
        <f>+'Entrate tot e finalizzati'!C13-'Entrate tot e finalizzati'!D13</f>
        <v>0</v>
      </c>
      <c r="D13" s="45">
        <f>+'Entrate tot e finalizzati'!E13-'Entrate tot e finalizzati'!F13</f>
        <v>0</v>
      </c>
      <c r="E13" s="24">
        <f>+'Entrate tot e finalizzati'!G13-'Entrate tot e finalizzati'!H13</f>
        <v>0</v>
      </c>
      <c r="F13" s="45">
        <f>+'Entrate tot e finalizzati'!I13-'Entrate tot e finalizzati'!J13</f>
        <v>0</v>
      </c>
      <c r="G13" s="22">
        <f>+'Entrate tot e finalizzati'!K13-'Entrate tot e finalizzati'!L13</f>
        <v>0</v>
      </c>
      <c r="H13" s="51">
        <f>+'Entrate tot e finalizzati'!M13-'Entrate tot e finalizzati'!N13</f>
        <v>0</v>
      </c>
      <c r="I13" s="37">
        <f>+'Entrate tot e finalizzati'!O13-'Entrate tot e finalizzati'!P13</f>
        <v>0</v>
      </c>
      <c r="J13" s="51">
        <f>+'Entrate tot e finalizzati'!Q13-'Entrate tot e finalizzati'!R13</f>
        <v>0</v>
      </c>
      <c r="K13" s="37">
        <f>+'Entrate tot e finalizzati'!S13-'Entrate tot e finalizzati'!T13</f>
        <v>0</v>
      </c>
      <c r="L13" s="37">
        <f>+'Entrate tot e finalizzati'!U13-'Entrate tot e finalizzati'!V13</f>
        <v>0</v>
      </c>
      <c r="M13" s="113"/>
      <c r="N13" s="34"/>
      <c r="O13" s="113"/>
      <c r="P13" s="114"/>
      <c r="Q13" s="113"/>
      <c r="R13" s="114"/>
      <c r="S13" s="113"/>
      <c r="T13" s="114"/>
    </row>
    <row r="14" spans="1:20" s="2" customFormat="1" ht="12.75">
      <c r="A14" s="53"/>
      <c r="B14" s="35" t="s">
        <v>16</v>
      </c>
      <c r="C14" s="36">
        <f>+'Entrate tot e finalizzati'!C14-'Entrate tot e finalizzati'!D14</f>
        <v>0</v>
      </c>
      <c r="D14" s="37">
        <f>+'Entrate tot e finalizzati'!E14-'Entrate tot e finalizzati'!F14</f>
        <v>0</v>
      </c>
      <c r="E14" s="36">
        <f>+'Entrate tot e finalizzati'!G14-'Entrate tot e finalizzati'!H14</f>
        <v>1033</v>
      </c>
      <c r="F14" s="36">
        <f>+'Entrate tot e finalizzati'!I14-'Entrate tot e finalizzati'!J14</f>
        <v>1085</v>
      </c>
      <c r="G14" s="37">
        <f>+'Entrate tot e finalizzati'!K14-'Entrate tot e finalizzati'!L14</f>
        <v>0</v>
      </c>
      <c r="H14" s="37">
        <f>+'Entrate tot e finalizzati'!M14-'Entrate tot e finalizzati'!N14</f>
        <v>0</v>
      </c>
      <c r="I14" s="37">
        <f>+'Entrate tot e finalizzati'!O14-'Entrate tot e finalizzati'!P14</f>
        <v>0</v>
      </c>
      <c r="J14" s="37">
        <f>+'Entrate tot e finalizzati'!Q14-'Entrate tot e finalizzati'!R14</f>
        <v>0</v>
      </c>
      <c r="K14" s="37">
        <f>+'Entrate tot e finalizzati'!S14-'Entrate tot e finalizzati'!T14</f>
        <v>0</v>
      </c>
      <c r="L14" s="37">
        <f>+'Entrate tot e finalizzati'!U14-'Entrate tot e finalizzati'!V14</f>
        <v>0</v>
      </c>
      <c r="M14" s="39"/>
      <c r="N14" s="39"/>
      <c r="O14" s="39"/>
      <c r="P14" s="39"/>
      <c r="Q14" s="39"/>
      <c r="R14" s="39"/>
      <c r="S14" s="39"/>
      <c r="T14" s="39"/>
    </row>
    <row r="15" spans="1:20" s="2" customFormat="1" ht="12.75">
      <c r="A15" s="83"/>
      <c r="B15" s="34" t="s">
        <v>97</v>
      </c>
      <c r="C15" s="36">
        <f>+'Entrate tot e finalizzati'!C15-'Entrate tot e finalizzati'!D15</f>
        <v>0</v>
      </c>
      <c r="D15" s="37">
        <f>+'Entrate tot e finalizzati'!E15-'Entrate tot e finalizzati'!F15</f>
        <v>0</v>
      </c>
      <c r="E15" s="36">
        <f>+'Entrate tot e finalizzati'!G15-'Entrate tot e finalizzati'!H15</f>
        <v>0</v>
      </c>
      <c r="F15" s="36">
        <f>+'Entrate tot e finalizzati'!I15-'Entrate tot e finalizzati'!J15</f>
        <v>0</v>
      </c>
      <c r="G15" s="37">
        <f>+'Entrate tot e finalizzati'!K15-'Entrate tot e finalizzati'!L15</f>
        <v>0</v>
      </c>
      <c r="H15" s="37">
        <f>+'Entrate tot e finalizzati'!M15-'Entrate tot e finalizzati'!N15</f>
        <v>0</v>
      </c>
      <c r="I15" s="37">
        <f>+'Entrate tot e finalizzati'!O15-'Entrate tot e finalizzati'!P15</f>
        <v>0</v>
      </c>
      <c r="J15" s="37">
        <f>+'Entrate tot e finalizzati'!Q15-'Entrate tot e finalizzati'!R15</f>
        <v>0</v>
      </c>
      <c r="K15" s="37">
        <f>+'Entrate tot e finalizzati'!S15-'Entrate tot e finalizzati'!T15</f>
        <v>0</v>
      </c>
      <c r="L15" s="37">
        <f>+'Entrate tot e finalizzati'!U15-'Entrate tot e finalizzati'!V15</f>
        <v>0</v>
      </c>
      <c r="M15" s="39"/>
      <c r="N15" s="39"/>
      <c r="O15" s="39"/>
      <c r="P15" s="39"/>
      <c r="Q15" s="39"/>
      <c r="R15" s="39"/>
      <c r="S15" s="39"/>
      <c r="T15" s="39"/>
    </row>
    <row r="16" spans="1:20" s="54" customFormat="1" ht="12.75">
      <c r="A16" s="83"/>
      <c r="B16" s="34" t="s">
        <v>67</v>
      </c>
      <c r="C16" s="36">
        <f>+'Entrate tot e finalizzati'!C16-'Entrate tot e finalizzati'!D16</f>
        <v>0</v>
      </c>
      <c r="D16" s="36">
        <f>+'Entrate tot e finalizzati'!E16-'Entrate tot e finalizzati'!F16</f>
        <v>0</v>
      </c>
      <c r="E16" s="36">
        <f>+'Entrate tot e finalizzati'!G16-'Entrate tot e finalizzati'!H16</f>
        <v>0</v>
      </c>
      <c r="F16" s="36">
        <f>+'Entrate tot e finalizzati'!I16-'Entrate tot e finalizzati'!J16</f>
        <v>0</v>
      </c>
      <c r="G16" s="37">
        <f>+'Entrate tot e finalizzati'!K16-'Entrate tot e finalizzati'!L16</f>
        <v>0</v>
      </c>
      <c r="H16" s="37">
        <f>+'Entrate tot e finalizzati'!M16-'Entrate tot e finalizzati'!N16</f>
        <v>0</v>
      </c>
      <c r="I16" s="37">
        <f>+'Entrate tot e finalizzati'!O16-'Entrate tot e finalizzati'!P16</f>
        <v>0</v>
      </c>
      <c r="J16" s="37">
        <f>+'Entrate tot e finalizzati'!Q16-'Entrate tot e finalizzati'!R16</f>
        <v>0</v>
      </c>
      <c r="K16" s="37">
        <f>+'Entrate tot e finalizzati'!S16-'Entrate tot e finalizzati'!T16</f>
        <v>0</v>
      </c>
      <c r="L16" s="37">
        <f>+'Entrate tot e finalizzati'!U16-'Entrate tot e finalizzati'!V16</f>
        <v>0</v>
      </c>
      <c r="M16" s="90"/>
      <c r="N16" s="90"/>
      <c r="O16" s="90"/>
      <c r="P16" s="90"/>
      <c r="Q16" s="90"/>
      <c r="R16" s="90"/>
      <c r="S16" s="90"/>
      <c r="T16" s="90"/>
    </row>
    <row r="17" spans="1:20" s="54" customFormat="1" ht="12.75">
      <c r="A17" s="53"/>
      <c r="B17" s="35" t="s">
        <v>18</v>
      </c>
      <c r="C17" s="36">
        <f>+'Entrate tot e finalizzati'!C17-'Entrate tot e finalizzati'!D17</f>
        <v>73</v>
      </c>
      <c r="D17" s="36">
        <f>+'Entrate tot e finalizzati'!E17-'Entrate tot e finalizzati'!F17</f>
        <v>65</v>
      </c>
      <c r="E17" s="36">
        <f>+'Entrate tot e finalizzati'!G17-'Entrate tot e finalizzati'!H17</f>
        <v>0</v>
      </c>
      <c r="F17" s="36">
        <f>+'Entrate tot e finalizzati'!I17-'Entrate tot e finalizzati'!J17</f>
        <v>0</v>
      </c>
      <c r="G17" s="37">
        <f>+'Entrate tot e finalizzati'!K17-'Entrate tot e finalizzati'!L17</f>
        <v>0</v>
      </c>
      <c r="H17" s="37">
        <f>+'Entrate tot e finalizzati'!M17-'Entrate tot e finalizzati'!N17</f>
        <v>0</v>
      </c>
      <c r="I17" s="37">
        <f>+'Entrate tot e finalizzati'!O17-'Entrate tot e finalizzati'!P17</f>
        <v>0</v>
      </c>
      <c r="J17" s="37">
        <f>+'Entrate tot e finalizzati'!Q17-'Entrate tot e finalizzati'!R17</f>
        <v>0</v>
      </c>
      <c r="K17" s="37">
        <f>+'Entrate tot e finalizzati'!S17-'Entrate tot e finalizzati'!T17</f>
        <v>0</v>
      </c>
      <c r="L17" s="37">
        <f>+'Entrate tot e finalizzati'!U17-'Entrate tot e finalizzati'!V17</f>
        <v>0</v>
      </c>
      <c r="M17" s="90"/>
      <c r="N17" s="90"/>
      <c r="O17" s="90"/>
      <c r="P17" s="90"/>
      <c r="Q17" s="90"/>
      <c r="R17" s="90"/>
      <c r="S17" s="90"/>
      <c r="T17" s="90"/>
    </row>
    <row r="18" spans="1:20" s="2" customFormat="1" ht="12.75">
      <c r="A18" s="13"/>
      <c r="B18" s="10" t="s">
        <v>19</v>
      </c>
      <c r="C18" s="36">
        <f>+'Entrate tot e finalizzati'!C18-'Entrate tot e finalizzati'!D18</f>
        <v>0</v>
      </c>
      <c r="D18" s="36">
        <f>+'Entrate tot e finalizzati'!E18-'Entrate tot e finalizzati'!F18</f>
        <v>0</v>
      </c>
      <c r="E18" s="36">
        <f>+'Entrate tot e finalizzati'!G18-'Entrate tot e finalizzati'!H18</f>
        <v>0</v>
      </c>
      <c r="F18" s="36">
        <f>+'Entrate tot e finalizzati'!I18-'Entrate tot e finalizzati'!J18</f>
        <v>84</v>
      </c>
      <c r="G18" s="37">
        <f>+'Entrate tot e finalizzati'!K18-'Entrate tot e finalizzati'!L18</f>
        <v>66</v>
      </c>
      <c r="H18" s="37">
        <f>+'Entrate tot e finalizzati'!M18-'Entrate tot e finalizzati'!N18</f>
        <v>38</v>
      </c>
      <c r="I18" s="37">
        <f>+'Entrate tot e finalizzati'!O18-'Entrate tot e finalizzati'!P18</f>
        <v>13</v>
      </c>
      <c r="J18" s="37">
        <f>+'Entrate tot e finalizzati'!Q18-'Entrate tot e finalizzati'!R18</f>
        <v>6</v>
      </c>
      <c r="K18" s="37">
        <f>+'Entrate tot e finalizzati'!S18-'Entrate tot e finalizzati'!T18</f>
        <v>8</v>
      </c>
      <c r="L18" s="37">
        <f>+'Entrate tot e finalizzati'!U18-'Entrate tot e finalizzati'!V18</f>
        <v>13</v>
      </c>
      <c r="M18" s="39"/>
      <c r="N18" s="39"/>
      <c r="O18" s="39"/>
      <c r="P18" s="39"/>
      <c r="Q18" s="39"/>
      <c r="R18" s="39"/>
      <c r="S18" s="39"/>
      <c r="T18" s="39"/>
    </row>
    <row r="19" spans="1:12" s="39" customFormat="1" ht="12.75">
      <c r="A19" s="13"/>
      <c r="B19" s="10" t="s">
        <v>111</v>
      </c>
      <c r="C19" s="24">
        <f>+'Entrate tot e finalizzati'!C19-'Entrate tot e finalizzati'!D19</f>
        <v>0</v>
      </c>
      <c r="D19" s="24">
        <f>+'Entrate tot e finalizzati'!E19-'Entrate tot e finalizzati'!F19</f>
        <v>0</v>
      </c>
      <c r="E19" s="24">
        <f>+'Entrate tot e finalizzati'!G19-'Entrate tot e finalizzati'!H19</f>
        <v>0</v>
      </c>
      <c r="F19" s="24">
        <f>+'Entrate tot e finalizzati'!I19-'Entrate tot e finalizzati'!J19</f>
        <v>0</v>
      </c>
      <c r="G19" s="22">
        <f>+'Entrate tot e finalizzati'!K19-'Entrate tot e finalizzati'!L19</f>
        <v>0</v>
      </c>
      <c r="H19" s="22">
        <f>+'Entrate tot e finalizzati'!M19-'Entrate tot e finalizzati'!N19</f>
        <v>0</v>
      </c>
      <c r="I19" s="22">
        <f>+'Entrate tot e finalizzati'!O19-'Entrate tot e finalizzati'!P19</f>
        <v>0</v>
      </c>
      <c r="J19" s="22">
        <f>+'Entrate tot e finalizzati'!Q19-'Entrate tot e finalizzati'!R19</f>
        <v>0</v>
      </c>
      <c r="K19" s="22">
        <f>+'Entrate tot e finalizzati'!S19-'Entrate tot e finalizzati'!T19</f>
        <v>0</v>
      </c>
      <c r="L19" s="22">
        <f>+'Entrate tot e finalizzati'!U19-'Entrate tot e finalizzati'!V19</f>
        <v>0</v>
      </c>
    </row>
    <row r="20" spans="1:20" s="2" customFormat="1" ht="12.75">
      <c r="A20" s="27" t="s">
        <v>87</v>
      </c>
      <c r="B20" s="28"/>
      <c r="C20" s="29">
        <f>+'Entrate tot e finalizzati'!C20-'Entrate tot e finalizzati'!D20</f>
        <v>16</v>
      </c>
      <c r="D20" s="29">
        <f>+'Entrate tot e finalizzati'!E20-'Entrate tot e finalizzati'!F20</f>
        <v>38</v>
      </c>
      <c r="E20" s="29">
        <f>+'Entrate tot e finalizzati'!G20-'Entrate tot e finalizzati'!H20</f>
        <v>33</v>
      </c>
      <c r="F20" s="29">
        <f>+'Entrate tot e finalizzati'!I20-'Entrate tot e finalizzati'!J20</f>
        <v>60</v>
      </c>
      <c r="G20" s="29">
        <f>+'Entrate tot e finalizzati'!K20-'Entrate tot e finalizzati'!L20</f>
        <v>63</v>
      </c>
      <c r="H20" s="29">
        <f>+'Entrate tot e finalizzati'!M20-'Entrate tot e finalizzati'!N20</f>
        <v>36</v>
      </c>
      <c r="I20" s="29">
        <f>+'Entrate tot e finalizzati'!O20-'Entrate tot e finalizzati'!P20</f>
        <v>36</v>
      </c>
      <c r="J20" s="29">
        <f>+'Entrate tot e finalizzati'!Q20-'Entrate tot e finalizzati'!R20</f>
        <v>37</v>
      </c>
      <c r="K20" s="29">
        <f>+'Entrate tot e finalizzati'!S20-'Entrate tot e finalizzati'!T20</f>
        <v>38</v>
      </c>
      <c r="L20" s="29">
        <f>+'Entrate tot e finalizzati'!U20-'Entrate tot e finalizzati'!V20</f>
        <v>36</v>
      </c>
      <c r="M20" s="39"/>
      <c r="N20" s="39"/>
      <c r="O20" s="39"/>
      <c r="P20" s="39"/>
      <c r="Q20" s="39"/>
      <c r="R20" s="39"/>
      <c r="S20" s="39"/>
      <c r="T20" s="39"/>
    </row>
    <row r="21" spans="1:12" s="39" customFormat="1" ht="12.75">
      <c r="A21" s="83"/>
      <c r="B21" s="34" t="s">
        <v>21</v>
      </c>
      <c r="C21" s="24">
        <f>+'Entrate tot e finalizzati'!C21-'Entrate tot e finalizzati'!D21</f>
        <v>1</v>
      </c>
      <c r="D21" s="24">
        <f>+'Entrate tot e finalizzati'!E21-'Entrate tot e finalizzati'!F21</f>
        <v>0</v>
      </c>
      <c r="E21" s="24">
        <f>+'Entrate tot e finalizzati'!G21-'Entrate tot e finalizzati'!H21</f>
        <v>0</v>
      </c>
      <c r="F21" s="24">
        <f>+'Entrate tot e finalizzati'!I21-'Entrate tot e finalizzati'!J21</f>
        <v>0</v>
      </c>
      <c r="G21" s="24">
        <f>+'Entrate tot e finalizzati'!K21-'Entrate tot e finalizzati'!L21</f>
        <v>0</v>
      </c>
      <c r="H21" s="24">
        <f>+'Entrate tot e finalizzati'!M21-'Entrate tot e finalizzati'!N21</f>
        <v>0</v>
      </c>
      <c r="I21" s="24">
        <f>+'Entrate tot e finalizzati'!O21-'Entrate tot e finalizzati'!P21</f>
        <v>0</v>
      </c>
      <c r="J21" s="24">
        <f>+'Entrate tot e finalizzati'!Q21-'Entrate tot e finalizzati'!R21</f>
        <v>0</v>
      </c>
      <c r="K21" s="24">
        <f>+'Entrate tot e finalizzati'!S21-'Entrate tot e finalizzati'!T21</f>
        <v>0</v>
      </c>
      <c r="L21" s="24">
        <f>+'Entrate tot e finalizzati'!U21-'Entrate tot e finalizzati'!V21</f>
        <v>0</v>
      </c>
    </row>
    <row r="22" spans="1:12" s="39" customFormat="1" ht="12.75">
      <c r="A22" s="83"/>
      <c r="B22" s="6" t="s">
        <v>67</v>
      </c>
      <c r="C22" s="24">
        <f>+'Entrate tot e finalizzati'!C22-'Entrate tot e finalizzati'!D22</f>
        <v>0</v>
      </c>
      <c r="D22" s="24">
        <f>+'Entrate tot e finalizzati'!E22-'Entrate tot e finalizzati'!F22</f>
        <v>0</v>
      </c>
      <c r="E22" s="24">
        <f>+'Entrate tot e finalizzati'!G22-'Entrate tot e finalizzati'!H22</f>
        <v>0</v>
      </c>
      <c r="F22" s="24">
        <f>+'Entrate tot e finalizzati'!I22-'Entrate tot e finalizzati'!J22</f>
        <v>0</v>
      </c>
      <c r="G22" s="24">
        <f>+'Entrate tot e finalizzati'!K22-'Entrate tot e finalizzati'!L22</f>
        <v>0</v>
      </c>
      <c r="H22" s="24">
        <f>+'Entrate tot e finalizzati'!M22-'Entrate tot e finalizzati'!N22</f>
        <v>0</v>
      </c>
      <c r="I22" s="24">
        <f>+'Entrate tot e finalizzati'!O22-'Entrate tot e finalizzati'!P22</f>
        <v>0</v>
      </c>
      <c r="J22" s="24">
        <f>+'Entrate tot e finalizzati'!Q22-'Entrate tot e finalizzati'!R22</f>
        <v>0</v>
      </c>
      <c r="K22" s="24">
        <f>+'Entrate tot e finalizzati'!S22-'Entrate tot e finalizzati'!T22</f>
        <v>0</v>
      </c>
      <c r="L22" s="24">
        <f>+'Entrate tot e finalizzati'!U22-'Entrate tot e finalizzati'!V22</f>
        <v>0</v>
      </c>
    </row>
    <row r="23" spans="1:12" s="39" customFormat="1" ht="12.75">
      <c r="A23" s="13"/>
      <c r="B23" s="10" t="s">
        <v>20</v>
      </c>
      <c r="C23" s="24">
        <f>+'Entrate tot e finalizzati'!C23-'Entrate tot e finalizzati'!D23</f>
        <v>15</v>
      </c>
      <c r="D23" s="24">
        <f>+'Entrate tot e finalizzati'!E23-'Entrate tot e finalizzati'!F23</f>
        <v>38</v>
      </c>
      <c r="E23" s="24">
        <f>+'Entrate tot e finalizzati'!G23-'Entrate tot e finalizzati'!H23</f>
        <v>33</v>
      </c>
      <c r="F23" s="24">
        <f>+'Entrate tot e finalizzati'!I23-'Entrate tot e finalizzati'!J23</f>
        <v>60</v>
      </c>
      <c r="G23" s="22">
        <f>+'Entrate tot e finalizzati'!K23-'Entrate tot e finalizzati'!L23</f>
        <v>63</v>
      </c>
      <c r="H23" s="22">
        <f>+'Entrate tot e finalizzati'!M23-'Entrate tot e finalizzati'!N23</f>
        <v>36</v>
      </c>
      <c r="I23" s="22">
        <f>+'Entrate tot e finalizzati'!O23-'Entrate tot e finalizzati'!P23</f>
        <v>36</v>
      </c>
      <c r="J23" s="22">
        <f>+'Entrate tot e finalizzati'!Q23-'Entrate tot e finalizzati'!R23</f>
        <v>37</v>
      </c>
      <c r="K23" s="22">
        <f>+'Entrate tot e finalizzati'!S23-'Entrate tot e finalizzati'!T23</f>
        <v>38</v>
      </c>
      <c r="L23" s="22">
        <f>+'Entrate tot e finalizzati'!U23-'Entrate tot e finalizzati'!V23</f>
        <v>36</v>
      </c>
    </row>
    <row r="24" spans="1:20" s="2" customFormat="1" ht="12.75">
      <c r="A24" s="27" t="s">
        <v>98</v>
      </c>
      <c r="B24" s="28"/>
      <c r="C24" s="29">
        <f>+'Entrate tot e finalizzati'!C24-'Entrate tot e finalizzati'!D24</f>
        <v>2182</v>
      </c>
      <c r="D24" s="29">
        <f>+'Entrate tot e finalizzati'!E24-'Entrate tot e finalizzati'!F24</f>
        <v>6012</v>
      </c>
      <c r="E24" s="29">
        <f>+'Entrate tot e finalizzati'!G24-'Entrate tot e finalizzati'!H24</f>
        <v>6026</v>
      </c>
      <c r="F24" s="29">
        <f>+'Entrate tot e finalizzati'!I24-'Entrate tot e finalizzati'!J24</f>
        <v>20021</v>
      </c>
      <c r="G24" s="29">
        <f>+'Entrate tot e finalizzati'!K24-'Entrate tot e finalizzati'!L24</f>
        <v>15225</v>
      </c>
      <c r="H24" s="29">
        <f>+'Entrate tot e finalizzati'!M24-'Entrate tot e finalizzati'!N24</f>
        <v>10875</v>
      </c>
      <c r="I24" s="29">
        <f>+'Entrate tot e finalizzati'!O24-'Entrate tot e finalizzati'!P24</f>
        <v>8689</v>
      </c>
      <c r="J24" s="29">
        <f>+'Entrate tot e finalizzati'!Q24-'Entrate tot e finalizzati'!R24</f>
        <v>9776</v>
      </c>
      <c r="K24" s="29">
        <f>+'Entrate tot e finalizzati'!S24-'Entrate tot e finalizzati'!T24</f>
        <v>11037</v>
      </c>
      <c r="L24" s="29">
        <f>+'Entrate tot e finalizzati'!U24-'Entrate tot e finalizzati'!V24</f>
        <v>12559</v>
      </c>
      <c r="M24" s="39"/>
      <c r="N24" s="39"/>
      <c r="O24" s="39"/>
      <c r="P24" s="39"/>
      <c r="Q24" s="39"/>
      <c r="R24" s="39"/>
      <c r="S24" s="39"/>
      <c r="T24" s="39"/>
    </row>
    <row r="25" spans="1:12" s="39" customFormat="1" ht="12.75">
      <c r="A25" s="52"/>
      <c r="B25" s="35" t="s">
        <v>15</v>
      </c>
      <c r="C25" s="25">
        <f>+'Entrate tot e finalizzati'!C25-'Entrate tot e finalizzati'!D25</f>
        <v>2182</v>
      </c>
      <c r="D25" s="25">
        <f>+'Entrate tot e finalizzati'!E25-'Entrate tot e finalizzati'!F25</f>
        <v>6012</v>
      </c>
      <c r="E25" s="25">
        <f>+'Entrate tot e finalizzati'!G25-'Entrate tot e finalizzati'!H25</f>
        <v>6026</v>
      </c>
      <c r="F25" s="25">
        <f>+'Entrate tot e finalizzati'!I25-'Entrate tot e finalizzati'!J25</f>
        <v>20021</v>
      </c>
      <c r="G25" s="25">
        <f>+'Entrate tot e finalizzati'!K25-'Entrate tot e finalizzati'!L25</f>
        <v>15225</v>
      </c>
      <c r="H25" s="25">
        <f>+'Entrate tot e finalizzati'!M25-'Entrate tot e finalizzati'!N25</f>
        <v>10875</v>
      </c>
      <c r="I25" s="25">
        <f>+'Entrate tot e finalizzati'!O25-'Entrate tot e finalizzati'!P25</f>
        <v>8689</v>
      </c>
      <c r="J25" s="25">
        <f>+'Entrate tot e finalizzati'!Q25-'Entrate tot e finalizzati'!R25</f>
        <v>9776</v>
      </c>
      <c r="K25" s="25">
        <f>+'Entrate tot e finalizzati'!S25-'Entrate tot e finalizzati'!T25</f>
        <v>11037</v>
      </c>
      <c r="L25" s="25">
        <f>+'Entrate tot e finalizzati'!U25-'Entrate tot e finalizzati'!V25</f>
        <v>12559</v>
      </c>
    </row>
    <row r="26" spans="1:20" s="2" customFormat="1" ht="12.75">
      <c r="A26" s="79" t="s">
        <v>125</v>
      </c>
      <c r="B26" s="96"/>
      <c r="C26" s="106">
        <f>+'Entrate tot e finalizzati'!C26-'Entrate tot e finalizzati'!D26</f>
        <v>131516</v>
      </c>
      <c r="D26" s="106">
        <f>+'Entrate tot e finalizzati'!E26-'Entrate tot e finalizzati'!F26</f>
        <v>125407</v>
      </c>
      <c r="E26" s="106">
        <f>+'Entrate tot e finalizzati'!G26-'Entrate tot e finalizzati'!H26</f>
        <v>122517</v>
      </c>
      <c r="F26" s="106">
        <f>+'Entrate tot e finalizzati'!I26-'Entrate tot e finalizzati'!J26</f>
        <v>130885</v>
      </c>
      <c r="G26" s="106">
        <f>+'Entrate tot e finalizzati'!K26-'Entrate tot e finalizzati'!L26</f>
        <v>135646</v>
      </c>
      <c r="H26" s="106">
        <f>+'Entrate tot e finalizzati'!M26-'Entrate tot e finalizzati'!N26</f>
        <v>152546</v>
      </c>
      <c r="I26" s="106">
        <f>+'Entrate tot e finalizzati'!O26-'Entrate tot e finalizzati'!P26</f>
        <v>140569</v>
      </c>
      <c r="J26" s="106">
        <f>+'Entrate tot e finalizzati'!Q26-'Entrate tot e finalizzati'!R26</f>
        <v>143702</v>
      </c>
      <c r="K26" s="106">
        <f>+'Entrate tot e finalizzati'!S26-'Entrate tot e finalizzati'!T26</f>
        <v>132778</v>
      </c>
      <c r="L26" s="106">
        <f>+'Entrate tot e finalizzati'!U26-'Entrate tot e finalizzati'!V26</f>
        <v>128616</v>
      </c>
      <c r="M26" s="115"/>
      <c r="N26" s="115"/>
      <c r="O26" s="115"/>
      <c r="P26" s="115"/>
      <c r="Q26" s="115"/>
      <c r="R26" s="115"/>
      <c r="S26" s="115"/>
      <c r="T26" s="115"/>
    </row>
    <row r="27" spans="1:20" s="2" customFormat="1" ht="12.75">
      <c r="A27" s="77" t="s">
        <v>86</v>
      </c>
      <c r="B27" s="78"/>
      <c r="C27" s="33">
        <f>+'Entrate tot e finalizzati'!C27-'Entrate tot e finalizzati'!D27</f>
        <v>303</v>
      </c>
      <c r="D27" s="33">
        <f>+'Entrate tot e finalizzati'!E27-'Entrate tot e finalizzati'!F27</f>
        <v>39</v>
      </c>
      <c r="E27" s="33">
        <f>+'Entrate tot e finalizzati'!G27-'Entrate tot e finalizzati'!H27</f>
        <v>13</v>
      </c>
      <c r="F27" s="33">
        <f>+'Entrate tot e finalizzati'!I27-'Entrate tot e finalizzati'!J27</f>
        <v>21</v>
      </c>
      <c r="G27" s="33">
        <f>+'Entrate tot e finalizzati'!K27-'Entrate tot e finalizzati'!L27</f>
        <v>0</v>
      </c>
      <c r="H27" s="33">
        <f>+'Entrate tot e finalizzati'!M27-'Entrate tot e finalizzati'!N27</f>
        <v>0</v>
      </c>
      <c r="I27" s="33">
        <f>+'Entrate tot e finalizzati'!O27-'Entrate tot e finalizzati'!P27</f>
        <v>0</v>
      </c>
      <c r="J27" s="33">
        <f>+'Entrate tot e finalizzati'!Q27-'Entrate tot e finalizzati'!R27</f>
        <v>0</v>
      </c>
      <c r="K27" s="33">
        <f>+'Entrate tot e finalizzati'!S27-'Entrate tot e finalizzati'!T27</f>
        <v>10</v>
      </c>
      <c r="L27" s="33">
        <f>+'Entrate tot e finalizzati'!U27-'Entrate tot e finalizzati'!V27</f>
        <v>11</v>
      </c>
      <c r="M27" s="116"/>
      <c r="N27" s="116"/>
      <c r="O27" s="116"/>
      <c r="P27" s="116"/>
      <c r="Q27" s="116"/>
      <c r="R27" s="116"/>
      <c r="S27" s="116"/>
      <c r="T27" s="116"/>
    </row>
    <row r="28" spans="1:12" s="39" customFormat="1" ht="12.75">
      <c r="A28" s="13"/>
      <c r="B28" s="10" t="s">
        <v>24</v>
      </c>
      <c r="C28" s="24">
        <f>+'Entrate tot e finalizzati'!C28-'Entrate tot e finalizzati'!D28</f>
        <v>303</v>
      </c>
      <c r="D28" s="24">
        <f>+'Entrate tot e finalizzati'!E28-'Entrate tot e finalizzati'!F28</f>
        <v>39</v>
      </c>
      <c r="E28" s="24">
        <f>+'Entrate tot e finalizzati'!G28-'Entrate tot e finalizzati'!H28</f>
        <v>13</v>
      </c>
      <c r="F28" s="24">
        <f>+'Entrate tot e finalizzati'!I28-'Entrate tot e finalizzati'!J28</f>
        <v>21</v>
      </c>
      <c r="G28" s="22">
        <f>+'Entrate tot e finalizzati'!K28-'Entrate tot e finalizzati'!L28</f>
        <v>0</v>
      </c>
      <c r="H28" s="22">
        <f>+'Entrate tot e finalizzati'!M28-'Entrate tot e finalizzati'!N28</f>
        <v>0</v>
      </c>
      <c r="I28" s="22">
        <f>+'Entrate tot e finalizzati'!O28-'Entrate tot e finalizzati'!P28</f>
        <v>0</v>
      </c>
      <c r="J28" s="22">
        <f>+'Entrate tot e finalizzati'!Q28-'Entrate tot e finalizzati'!R28</f>
        <v>0</v>
      </c>
      <c r="K28" s="22">
        <f>+'Entrate tot e finalizzati'!S28-'Entrate tot e finalizzati'!T28</f>
        <v>10</v>
      </c>
      <c r="L28" s="22">
        <f>+'Entrate tot e finalizzati'!U28-'Entrate tot e finalizzati'!V28</f>
        <v>11</v>
      </c>
    </row>
    <row r="29" spans="1:20" s="2" customFormat="1" ht="12.75">
      <c r="A29" s="27" t="s">
        <v>126</v>
      </c>
      <c r="B29" s="28"/>
      <c r="C29" s="29">
        <f>+'Entrate tot e finalizzati'!C29-'Entrate tot e finalizzati'!D29</f>
        <v>841</v>
      </c>
      <c r="D29" s="29">
        <f>+'Entrate tot e finalizzati'!E29-'Entrate tot e finalizzati'!F29</f>
        <v>414</v>
      </c>
      <c r="E29" s="29">
        <f>+'Entrate tot e finalizzati'!G29-'Entrate tot e finalizzati'!H29</f>
        <v>526</v>
      </c>
      <c r="F29" s="29">
        <f>+'Entrate tot e finalizzati'!I29-'Entrate tot e finalizzati'!J29</f>
        <v>300</v>
      </c>
      <c r="G29" s="29">
        <f>+'Entrate tot e finalizzati'!K29-'Entrate tot e finalizzati'!L29</f>
        <v>0</v>
      </c>
      <c r="H29" s="29">
        <f>+'Entrate tot e finalizzati'!M29-'Entrate tot e finalizzati'!N29</f>
        <v>0</v>
      </c>
      <c r="I29" s="29">
        <f>+'Entrate tot e finalizzati'!O29-'Entrate tot e finalizzati'!P29</f>
        <v>0</v>
      </c>
      <c r="J29" s="29">
        <f>+'Entrate tot e finalizzati'!Q29-'Entrate tot e finalizzati'!R29</f>
        <v>0</v>
      </c>
      <c r="K29" s="29">
        <f>+'Entrate tot e finalizzati'!S29-'Entrate tot e finalizzati'!T29</f>
        <v>0</v>
      </c>
      <c r="L29" s="29">
        <f>+'Entrate tot e finalizzati'!U29-'Entrate tot e finalizzati'!V29</f>
        <v>0</v>
      </c>
      <c r="M29" s="39"/>
      <c r="N29" s="39"/>
      <c r="O29" s="39"/>
      <c r="P29" s="39"/>
      <c r="Q29" s="39"/>
      <c r="R29" s="39"/>
      <c r="S29" s="39"/>
      <c r="T29" s="39"/>
    </row>
    <row r="30" spans="1:12" s="39" customFormat="1" ht="12.75">
      <c r="A30" s="13"/>
      <c r="B30" s="10" t="s">
        <v>16</v>
      </c>
      <c r="C30" s="24">
        <f>+'Entrate tot e finalizzati'!C30-'Entrate tot e finalizzati'!D30</f>
        <v>841</v>
      </c>
      <c r="D30" s="24">
        <f>+'Entrate tot e finalizzati'!E30-'Entrate tot e finalizzati'!F30</f>
        <v>414</v>
      </c>
      <c r="E30" s="24">
        <f>+'Entrate tot e finalizzati'!G30-'Entrate tot e finalizzati'!H30</f>
        <v>526</v>
      </c>
      <c r="F30" s="24">
        <f>+'Entrate tot e finalizzati'!I30-'Entrate tot e finalizzati'!J30</f>
        <v>300</v>
      </c>
      <c r="G30" s="22">
        <f>+'Entrate tot e finalizzati'!K30-'Entrate tot e finalizzati'!L30</f>
        <v>0</v>
      </c>
      <c r="H30" s="22">
        <f>+'Entrate tot e finalizzati'!M30-'Entrate tot e finalizzati'!N30</f>
        <v>0</v>
      </c>
      <c r="I30" s="22">
        <f>+'Entrate tot e finalizzati'!O30-'Entrate tot e finalizzati'!P30</f>
        <v>0</v>
      </c>
      <c r="J30" s="22">
        <f>+'Entrate tot e finalizzati'!Q30-'Entrate tot e finalizzati'!R30</f>
        <v>0</v>
      </c>
      <c r="K30" s="22">
        <f>+'Entrate tot e finalizzati'!S30-'Entrate tot e finalizzati'!T30</f>
        <v>0</v>
      </c>
      <c r="L30" s="22">
        <f>+'Entrate tot e finalizzati'!U30-'Entrate tot e finalizzati'!V30</f>
        <v>0</v>
      </c>
    </row>
    <row r="31" spans="1:20" s="2" customFormat="1" ht="12.75">
      <c r="A31" s="27" t="s">
        <v>142</v>
      </c>
      <c r="B31" s="28"/>
      <c r="C31" s="29">
        <f>+'Entrate tot e finalizzati'!C31-'Entrate tot e finalizzati'!D31</f>
        <v>0</v>
      </c>
      <c r="D31" s="29">
        <f>+'Entrate tot e finalizzati'!E31-'Entrate tot e finalizzati'!F31</f>
        <v>0</v>
      </c>
      <c r="E31" s="29">
        <f>+'Entrate tot e finalizzati'!G31-'Entrate tot e finalizzati'!H31</f>
        <v>0</v>
      </c>
      <c r="F31" s="29">
        <f>+'Entrate tot e finalizzati'!I31-'Entrate tot e finalizzati'!J31</f>
        <v>0</v>
      </c>
      <c r="G31" s="29">
        <f>+'Entrate tot e finalizzati'!K31-'Entrate tot e finalizzati'!L31</f>
        <v>0</v>
      </c>
      <c r="H31" s="29">
        <f>+'Entrate tot e finalizzati'!M31-'Entrate tot e finalizzati'!N31</f>
        <v>0</v>
      </c>
      <c r="I31" s="29">
        <f>+'Entrate tot e finalizzati'!O31-'Entrate tot e finalizzati'!P31</f>
        <v>0</v>
      </c>
      <c r="J31" s="29">
        <f>+'Entrate tot e finalizzati'!Q31-'Entrate tot e finalizzati'!R31</f>
        <v>0</v>
      </c>
      <c r="K31" s="29">
        <f>+'Entrate tot e finalizzati'!S31-'Entrate tot e finalizzati'!T31</f>
        <v>0</v>
      </c>
      <c r="L31" s="29">
        <f>+'Entrate tot e finalizzati'!U31-'Entrate tot e finalizzati'!V31</f>
        <v>0</v>
      </c>
      <c r="M31" s="39"/>
      <c r="N31" s="39"/>
      <c r="O31" s="39"/>
      <c r="P31" s="39"/>
      <c r="Q31" s="39"/>
      <c r="R31" s="39"/>
      <c r="S31" s="39"/>
      <c r="T31" s="39"/>
    </row>
    <row r="32" spans="1:12" s="39" customFormat="1" ht="12.75">
      <c r="A32" s="13"/>
      <c r="B32" s="10" t="s">
        <v>16</v>
      </c>
      <c r="C32" s="24">
        <f>+'Entrate tot e finalizzati'!C32-'Entrate tot e finalizzati'!D32</f>
        <v>0</v>
      </c>
      <c r="D32" s="24">
        <f>+'Entrate tot e finalizzati'!E32-'Entrate tot e finalizzati'!F32</f>
        <v>0</v>
      </c>
      <c r="E32" s="24">
        <f>+'Entrate tot e finalizzati'!G32-'Entrate tot e finalizzati'!H32</f>
        <v>0</v>
      </c>
      <c r="F32" s="24">
        <f>+'Entrate tot e finalizzati'!I32-'Entrate tot e finalizzati'!J32</f>
        <v>0</v>
      </c>
      <c r="G32" s="22">
        <f>+'Entrate tot e finalizzati'!K32-'Entrate tot e finalizzati'!L32</f>
        <v>0</v>
      </c>
      <c r="H32" s="22">
        <f>+'Entrate tot e finalizzati'!M32-'Entrate tot e finalizzati'!N32</f>
        <v>0</v>
      </c>
      <c r="I32" s="22">
        <f>+'Entrate tot e finalizzati'!O32-'Entrate tot e finalizzati'!P32</f>
        <v>0</v>
      </c>
      <c r="J32" s="22">
        <f>+'Entrate tot e finalizzati'!Q32-'Entrate tot e finalizzati'!R32</f>
        <v>0</v>
      </c>
      <c r="K32" s="22">
        <f>+'Entrate tot e finalizzati'!S32-'Entrate tot e finalizzati'!T32</f>
        <v>0</v>
      </c>
      <c r="L32" s="22">
        <f>+'Entrate tot e finalizzati'!U32-'Entrate tot e finalizzati'!V32</f>
        <v>0</v>
      </c>
    </row>
    <row r="33" spans="1:20" s="2" customFormat="1" ht="12.75">
      <c r="A33" s="27" t="s">
        <v>127</v>
      </c>
      <c r="B33" s="28"/>
      <c r="C33" s="29">
        <f>+'Entrate tot e finalizzati'!C33-'Entrate tot e finalizzati'!D33</f>
        <v>3460</v>
      </c>
      <c r="D33" s="29">
        <f>+'Entrate tot e finalizzati'!E33-'Entrate tot e finalizzati'!F33</f>
        <v>6386</v>
      </c>
      <c r="E33" s="29">
        <f>+'Entrate tot e finalizzati'!G33-'Entrate tot e finalizzati'!H33</f>
        <v>6046</v>
      </c>
      <c r="F33" s="29">
        <f>+'Entrate tot e finalizzati'!I33-'Entrate tot e finalizzati'!J33</f>
        <v>6072</v>
      </c>
      <c r="G33" s="29">
        <f>+'Entrate tot e finalizzati'!K33-'Entrate tot e finalizzati'!L33</f>
        <v>3931</v>
      </c>
      <c r="H33" s="29">
        <f>+'Entrate tot e finalizzati'!M33-'Entrate tot e finalizzati'!N33</f>
        <v>7952</v>
      </c>
      <c r="I33" s="29">
        <f>+'Entrate tot e finalizzati'!O33-'Entrate tot e finalizzati'!P33</f>
        <v>7792</v>
      </c>
      <c r="J33" s="29">
        <f>+'Entrate tot e finalizzati'!Q33-'Entrate tot e finalizzati'!R33</f>
        <v>7492</v>
      </c>
      <c r="K33" s="29">
        <f>+'Entrate tot e finalizzati'!S33-'Entrate tot e finalizzati'!T33</f>
        <v>7265</v>
      </c>
      <c r="L33" s="29">
        <f>+'Entrate tot e finalizzati'!U33-'Entrate tot e finalizzati'!V33</f>
        <v>5201</v>
      </c>
      <c r="M33" s="39"/>
      <c r="N33" s="39"/>
      <c r="O33" s="39"/>
      <c r="P33" s="39"/>
      <c r="Q33" s="39"/>
      <c r="R33" s="39"/>
      <c r="S33" s="39"/>
      <c r="T33" s="39"/>
    </row>
    <row r="34" spans="1:20" s="2" customFormat="1" ht="12.75">
      <c r="A34" s="49"/>
      <c r="B34" s="35" t="s">
        <v>19</v>
      </c>
      <c r="C34" s="24">
        <f>+'Entrate tot e finalizzati'!C34-'Entrate tot e finalizzati'!D34</f>
        <v>100</v>
      </c>
      <c r="D34" s="24">
        <f>+'Entrate tot e finalizzati'!E34-'Entrate tot e finalizzati'!F34</f>
        <v>113</v>
      </c>
      <c r="E34" s="24">
        <f>+'Entrate tot e finalizzati'!G34-'Entrate tot e finalizzati'!H34</f>
        <v>40</v>
      </c>
      <c r="F34" s="24">
        <f>+'Entrate tot e finalizzati'!I34-'Entrate tot e finalizzati'!J34</f>
        <v>719</v>
      </c>
      <c r="G34" s="24">
        <f>+'Entrate tot e finalizzati'!K34-'Entrate tot e finalizzati'!L34</f>
        <v>23</v>
      </c>
      <c r="H34" s="24">
        <f>+'Entrate tot e finalizzati'!M34-'Entrate tot e finalizzati'!N34</f>
        <v>14</v>
      </c>
      <c r="I34" s="24">
        <f>+'Entrate tot e finalizzati'!O34-'Entrate tot e finalizzati'!P34</f>
        <v>14</v>
      </c>
      <c r="J34" s="24">
        <f>+'Entrate tot e finalizzati'!Q34-'Entrate tot e finalizzati'!R34</f>
        <v>23</v>
      </c>
      <c r="K34" s="24">
        <f>+'Entrate tot e finalizzati'!S34-'Entrate tot e finalizzati'!T34</f>
        <v>27</v>
      </c>
      <c r="L34" s="24">
        <f>+'Entrate tot e finalizzati'!U34-'Entrate tot e finalizzati'!V34</f>
        <v>24</v>
      </c>
      <c r="M34" s="39"/>
      <c r="N34" s="39"/>
      <c r="O34" s="39"/>
      <c r="P34" s="39"/>
      <c r="Q34" s="39"/>
      <c r="R34" s="39"/>
      <c r="S34" s="39"/>
      <c r="T34" s="39"/>
    </row>
    <row r="35" spans="1:20" s="2" customFormat="1" ht="12.75">
      <c r="A35" s="15"/>
      <c r="B35" s="10" t="s">
        <v>24</v>
      </c>
      <c r="C35" s="37">
        <f>+'Entrate tot e finalizzati'!C35-'Entrate tot e finalizzati'!D35</f>
        <v>123</v>
      </c>
      <c r="D35" s="37">
        <f>+'Entrate tot e finalizzati'!E35-'Entrate tot e finalizzati'!F35</f>
        <v>3046</v>
      </c>
      <c r="E35" s="37">
        <f>+'Entrate tot e finalizzati'!G35-'Entrate tot e finalizzati'!H35</f>
        <v>2690</v>
      </c>
      <c r="F35" s="37">
        <f>+'Entrate tot e finalizzati'!I35-'Entrate tot e finalizzati'!J35</f>
        <v>2031</v>
      </c>
      <c r="G35" s="37">
        <f>+'Entrate tot e finalizzati'!K35-'Entrate tot e finalizzati'!L35</f>
        <v>593</v>
      </c>
      <c r="H35" s="37">
        <f>+'Entrate tot e finalizzati'!M35-'Entrate tot e finalizzati'!N35</f>
        <v>749</v>
      </c>
      <c r="I35" s="37">
        <f>+'Entrate tot e finalizzati'!O35-'Entrate tot e finalizzati'!P35</f>
        <v>874</v>
      </c>
      <c r="J35" s="37">
        <f>+'Entrate tot e finalizzati'!Q35-'Entrate tot e finalizzati'!R35</f>
        <v>1332</v>
      </c>
      <c r="K35" s="37">
        <f>+'Entrate tot e finalizzati'!S35-'Entrate tot e finalizzati'!T35</f>
        <v>1168</v>
      </c>
      <c r="L35" s="37">
        <f>+'Entrate tot e finalizzati'!U35-'Entrate tot e finalizzati'!V35</f>
        <v>5177</v>
      </c>
      <c r="M35" s="39"/>
      <c r="N35" s="39"/>
      <c r="O35" s="39"/>
      <c r="P35" s="39"/>
      <c r="Q35" s="39"/>
      <c r="R35" s="39"/>
      <c r="S35" s="39"/>
      <c r="T35" s="39"/>
    </row>
    <row r="36" spans="1:20" s="2" customFormat="1" ht="12.75">
      <c r="A36" s="15"/>
      <c r="B36" s="10" t="s">
        <v>32</v>
      </c>
      <c r="C36" s="37">
        <f>+'Entrate tot e finalizzati'!C36-'Entrate tot e finalizzati'!D36</f>
        <v>129</v>
      </c>
      <c r="D36" s="37">
        <f>+'Entrate tot e finalizzati'!E36-'Entrate tot e finalizzati'!F36</f>
        <v>119</v>
      </c>
      <c r="E36" s="37">
        <f>+'Entrate tot e finalizzati'!G36-'Entrate tot e finalizzati'!H36</f>
        <v>144</v>
      </c>
      <c r="F36" s="37">
        <f>+'Entrate tot e finalizzati'!I36-'Entrate tot e finalizzati'!J36</f>
        <v>130</v>
      </c>
      <c r="G36" s="37">
        <f>+'Entrate tot e finalizzati'!K36-'Entrate tot e finalizzati'!L36</f>
        <v>123</v>
      </c>
      <c r="H36" s="37">
        <f>+'Entrate tot e finalizzati'!M36-'Entrate tot e finalizzati'!N36</f>
        <v>120</v>
      </c>
      <c r="I36" s="37">
        <f>+'Entrate tot e finalizzati'!O36-'Entrate tot e finalizzati'!P36</f>
        <v>0</v>
      </c>
      <c r="J36" s="37">
        <f>+'Entrate tot e finalizzati'!Q36-'Entrate tot e finalizzati'!R36</f>
        <v>0</v>
      </c>
      <c r="K36" s="37">
        <f>+'Entrate tot e finalizzati'!S36-'Entrate tot e finalizzati'!T36</f>
        <v>0</v>
      </c>
      <c r="L36" s="37">
        <f>+'Entrate tot e finalizzati'!U36-'Entrate tot e finalizzati'!V36</f>
        <v>0</v>
      </c>
      <c r="M36" s="39"/>
      <c r="N36" s="39"/>
      <c r="O36" s="39"/>
      <c r="P36" s="39"/>
      <c r="Q36" s="39"/>
      <c r="R36" s="39"/>
      <c r="S36" s="39"/>
      <c r="T36" s="39"/>
    </row>
    <row r="37" spans="1:20" s="2" customFormat="1" ht="12.75">
      <c r="A37" s="15"/>
      <c r="B37" s="35" t="s">
        <v>18</v>
      </c>
      <c r="C37" s="36">
        <f>+'Entrate tot e finalizzati'!C37-'Entrate tot e finalizzati'!D37</f>
        <v>0</v>
      </c>
      <c r="D37" s="37">
        <f>+'Entrate tot e finalizzati'!E37-'Entrate tot e finalizzati'!F37</f>
        <v>0</v>
      </c>
      <c r="E37" s="36">
        <f>+'Entrate tot e finalizzati'!G37-'Entrate tot e finalizzati'!H37</f>
        <v>0</v>
      </c>
      <c r="F37" s="36">
        <f>+'Entrate tot e finalizzati'!I37-'Entrate tot e finalizzati'!J37</f>
        <v>0</v>
      </c>
      <c r="G37" s="37">
        <f>+'Entrate tot e finalizzati'!K37-'Entrate tot e finalizzati'!L37</f>
        <v>0</v>
      </c>
      <c r="H37" s="37">
        <f>+'Entrate tot e finalizzati'!M37-'Entrate tot e finalizzati'!N37</f>
        <v>0</v>
      </c>
      <c r="I37" s="37">
        <f>+'Entrate tot e finalizzati'!O37-'Entrate tot e finalizzati'!P37</f>
        <v>0</v>
      </c>
      <c r="J37" s="37">
        <f>+'Entrate tot e finalizzati'!Q37-'Entrate tot e finalizzati'!R37</f>
        <v>0</v>
      </c>
      <c r="K37" s="37">
        <f>+'Entrate tot e finalizzati'!S37-'Entrate tot e finalizzati'!T37</f>
        <v>0</v>
      </c>
      <c r="L37" s="37">
        <f>+'Entrate tot e finalizzati'!U37-'Entrate tot e finalizzati'!V37</f>
        <v>0</v>
      </c>
      <c r="M37" s="39"/>
      <c r="N37" s="39"/>
      <c r="O37" s="39"/>
      <c r="P37" s="39"/>
      <c r="Q37" s="39"/>
      <c r="R37" s="39"/>
      <c r="S37" s="39"/>
      <c r="T37" s="39"/>
    </row>
    <row r="38" spans="1:20" s="2" customFormat="1" ht="12.75">
      <c r="A38" s="15"/>
      <c r="B38" s="35" t="s">
        <v>72</v>
      </c>
      <c r="C38" s="24">
        <f>+'Entrate tot e finalizzati'!C38-'Entrate tot e finalizzati'!D38</f>
        <v>0</v>
      </c>
      <c r="D38" s="24">
        <f>+'Entrate tot e finalizzati'!E38-'Entrate tot e finalizzati'!F38</f>
        <v>0</v>
      </c>
      <c r="E38" s="24">
        <f>+'Entrate tot e finalizzati'!G38-'Entrate tot e finalizzati'!H38</f>
        <v>0</v>
      </c>
      <c r="F38" s="24">
        <f>+'Entrate tot e finalizzati'!I38-'Entrate tot e finalizzati'!J38</f>
        <v>0</v>
      </c>
      <c r="G38" s="22">
        <f>+'Entrate tot e finalizzati'!K38-'Entrate tot e finalizzati'!L38</f>
        <v>0</v>
      </c>
      <c r="H38" s="22">
        <f>+'Entrate tot e finalizzati'!M38-'Entrate tot e finalizzati'!N38</f>
        <v>0</v>
      </c>
      <c r="I38" s="22">
        <f>+'Entrate tot e finalizzati'!O38-'Entrate tot e finalizzati'!P38</f>
        <v>382</v>
      </c>
      <c r="J38" s="22">
        <f>+'Entrate tot e finalizzati'!Q38-'Entrate tot e finalizzati'!R38</f>
        <v>0</v>
      </c>
      <c r="K38" s="22">
        <f>+'Entrate tot e finalizzati'!S38-'Entrate tot e finalizzati'!T38</f>
        <v>0</v>
      </c>
      <c r="L38" s="22">
        <f>+'Entrate tot e finalizzati'!U38-'Entrate tot e finalizzati'!V38</f>
        <v>0</v>
      </c>
      <c r="M38" s="39"/>
      <c r="N38" s="39"/>
      <c r="O38" s="39"/>
      <c r="P38" s="39"/>
      <c r="Q38" s="39"/>
      <c r="R38" s="39"/>
      <c r="S38" s="39"/>
      <c r="T38" s="39"/>
    </row>
    <row r="39" spans="1:20" s="2" customFormat="1" ht="12.75">
      <c r="A39" s="15"/>
      <c r="B39" s="10" t="s">
        <v>36</v>
      </c>
      <c r="C39" s="24">
        <f>+'Entrate tot e finalizzati'!C39-'Entrate tot e finalizzati'!D39</f>
        <v>0</v>
      </c>
      <c r="D39" s="24">
        <f>+'Entrate tot e finalizzati'!E39-'Entrate tot e finalizzati'!F39</f>
        <v>0</v>
      </c>
      <c r="E39" s="24">
        <f>+'Entrate tot e finalizzati'!G39-'Entrate tot e finalizzati'!H39</f>
        <v>0</v>
      </c>
      <c r="F39" s="24">
        <f>+'Entrate tot e finalizzati'!I39-'Entrate tot e finalizzati'!J39</f>
        <v>0</v>
      </c>
      <c r="G39" s="22">
        <f>+'Entrate tot e finalizzati'!K39-'Entrate tot e finalizzati'!L39</f>
        <v>0</v>
      </c>
      <c r="H39" s="22">
        <f>+'Entrate tot e finalizzati'!M39-'Entrate tot e finalizzati'!N39</f>
        <v>0</v>
      </c>
      <c r="I39" s="22">
        <f>+'Entrate tot e finalizzati'!O39-'Entrate tot e finalizzati'!P39</f>
        <v>0</v>
      </c>
      <c r="J39" s="22">
        <f>+'Entrate tot e finalizzati'!Q39-'Entrate tot e finalizzati'!R39</f>
        <v>1004</v>
      </c>
      <c r="K39" s="22">
        <f>+'Entrate tot e finalizzati'!S39-'Entrate tot e finalizzati'!T39</f>
        <v>0</v>
      </c>
      <c r="L39" s="22">
        <f>+'Entrate tot e finalizzati'!U39-'Entrate tot e finalizzati'!V39</f>
        <v>0</v>
      </c>
      <c r="M39" s="39"/>
      <c r="N39" s="39"/>
      <c r="O39" s="39"/>
      <c r="P39" s="39"/>
      <c r="Q39" s="39"/>
      <c r="R39" s="39"/>
      <c r="S39" s="39"/>
      <c r="T39" s="39"/>
    </row>
    <row r="40" spans="1:20" s="2" customFormat="1" ht="12.75">
      <c r="A40" s="15"/>
      <c r="B40" s="35" t="s">
        <v>66</v>
      </c>
      <c r="C40" s="24">
        <f>+'Entrate tot e finalizzati'!C40-'Entrate tot e finalizzati'!D40</f>
        <v>3108</v>
      </c>
      <c r="D40" s="24">
        <f>+'Entrate tot e finalizzati'!E40-'Entrate tot e finalizzati'!F40</f>
        <v>3108</v>
      </c>
      <c r="E40" s="24">
        <f>+'Entrate tot e finalizzati'!G40-'Entrate tot e finalizzati'!H40</f>
        <v>3172</v>
      </c>
      <c r="F40" s="24">
        <f>+'Entrate tot e finalizzati'!I40-'Entrate tot e finalizzati'!J40</f>
        <v>3192</v>
      </c>
      <c r="G40" s="22">
        <f>+'Entrate tot e finalizzati'!K40-'Entrate tot e finalizzati'!L40</f>
        <v>3192</v>
      </c>
      <c r="H40" s="22">
        <f>+'Entrate tot e finalizzati'!M40-'Entrate tot e finalizzati'!N40</f>
        <v>7069</v>
      </c>
      <c r="I40" s="22">
        <f>+'Entrate tot e finalizzati'!O40-'Entrate tot e finalizzati'!P40</f>
        <v>6522</v>
      </c>
      <c r="J40" s="22">
        <f>+'Entrate tot e finalizzati'!Q40-'Entrate tot e finalizzati'!R40</f>
        <v>5133</v>
      </c>
      <c r="K40" s="22">
        <f>+'Entrate tot e finalizzati'!S40-'Entrate tot e finalizzati'!T40</f>
        <v>6070</v>
      </c>
      <c r="L40" s="22">
        <f>+'Entrate tot e finalizzati'!U40-'Entrate tot e finalizzati'!V40</f>
        <v>0</v>
      </c>
      <c r="M40" s="39"/>
      <c r="N40" s="39"/>
      <c r="O40" s="39"/>
      <c r="P40" s="39"/>
      <c r="Q40" s="39"/>
      <c r="R40" s="39"/>
      <c r="S40" s="39"/>
      <c r="T40" s="39"/>
    </row>
    <row r="41" spans="1:20" s="2" customFormat="1" ht="12.75">
      <c r="A41" s="27" t="s">
        <v>1</v>
      </c>
      <c r="B41" s="28"/>
      <c r="C41" s="29">
        <f>+'Entrate tot e finalizzati'!C41-'Entrate tot e finalizzati'!D41</f>
        <v>1907</v>
      </c>
      <c r="D41" s="29">
        <f>+'Entrate tot e finalizzati'!E41-'Entrate tot e finalizzati'!F41</f>
        <v>1578</v>
      </c>
      <c r="E41" s="29">
        <f>+'Entrate tot e finalizzati'!G41-'Entrate tot e finalizzati'!H41</f>
        <v>2119</v>
      </c>
      <c r="F41" s="29">
        <f>+'Entrate tot e finalizzati'!I41-'Entrate tot e finalizzati'!J41</f>
        <v>1211</v>
      </c>
      <c r="G41" s="29">
        <f>+'Entrate tot e finalizzati'!K41-'Entrate tot e finalizzati'!L41</f>
        <v>1428</v>
      </c>
      <c r="H41" s="29">
        <f>+'Entrate tot e finalizzati'!M41-'Entrate tot e finalizzati'!N41</f>
        <v>1133</v>
      </c>
      <c r="I41" s="29">
        <f>+'Entrate tot e finalizzati'!O41-'Entrate tot e finalizzati'!P41</f>
        <v>1750</v>
      </c>
      <c r="J41" s="29">
        <f>+'Entrate tot e finalizzati'!Q41-'Entrate tot e finalizzati'!R41</f>
        <v>2017</v>
      </c>
      <c r="K41" s="29">
        <f>+'Entrate tot e finalizzati'!S41-'Entrate tot e finalizzati'!T41</f>
        <v>1520</v>
      </c>
      <c r="L41" s="29">
        <f>+'Entrate tot e finalizzati'!U41-'Entrate tot e finalizzati'!V41</f>
        <v>1535</v>
      </c>
      <c r="M41" s="39"/>
      <c r="N41" s="39"/>
      <c r="O41" s="39"/>
      <c r="P41" s="39"/>
      <c r="Q41" s="39"/>
      <c r="R41" s="39"/>
      <c r="S41" s="39"/>
      <c r="T41" s="39"/>
    </row>
    <row r="42" spans="1:20" s="2" customFormat="1" ht="12.75">
      <c r="A42" s="52"/>
      <c r="B42" s="10" t="s">
        <v>24</v>
      </c>
      <c r="C42" s="24">
        <f>+'Entrate tot e finalizzati'!C42-'Entrate tot e finalizzati'!D42</f>
        <v>1901</v>
      </c>
      <c r="D42" s="24">
        <f>+'Entrate tot e finalizzati'!E42-'Entrate tot e finalizzati'!F42</f>
        <v>1576</v>
      </c>
      <c r="E42" s="24">
        <f>+'Entrate tot e finalizzati'!G42-'Entrate tot e finalizzati'!H42</f>
        <v>2097</v>
      </c>
      <c r="F42" s="24">
        <f>+'Entrate tot e finalizzati'!I42-'Entrate tot e finalizzati'!J42</f>
        <v>1206</v>
      </c>
      <c r="G42" s="22">
        <f>+'Entrate tot e finalizzati'!K42-'Entrate tot e finalizzati'!L42</f>
        <v>1421</v>
      </c>
      <c r="H42" s="22">
        <f>+'Entrate tot e finalizzati'!M42-'Entrate tot e finalizzati'!N42</f>
        <v>1114</v>
      </c>
      <c r="I42" s="22">
        <f>+'Entrate tot e finalizzati'!O42-'Entrate tot e finalizzati'!P42</f>
        <v>1750</v>
      </c>
      <c r="J42" s="22">
        <f>+'Entrate tot e finalizzati'!Q42-'Entrate tot e finalizzati'!R42</f>
        <v>2017</v>
      </c>
      <c r="K42" s="22">
        <f>+'Entrate tot e finalizzati'!S42-'Entrate tot e finalizzati'!T42</f>
        <v>1520</v>
      </c>
      <c r="L42" s="22">
        <f>+'Entrate tot e finalizzati'!U42-'Entrate tot e finalizzati'!V42</f>
        <v>1535</v>
      </c>
      <c r="M42" s="39"/>
      <c r="N42" s="39"/>
      <c r="O42" s="39"/>
      <c r="P42" s="39"/>
      <c r="Q42" s="39"/>
      <c r="R42" s="39"/>
      <c r="S42" s="39"/>
      <c r="T42" s="39"/>
    </row>
    <row r="43" spans="1:20" s="2" customFormat="1" ht="12.75">
      <c r="A43" s="52"/>
      <c r="B43" s="10" t="s">
        <v>19</v>
      </c>
      <c r="C43" s="24">
        <f>+'Entrate tot e finalizzati'!C43-'Entrate tot e finalizzati'!D43</f>
        <v>6</v>
      </c>
      <c r="D43" s="24">
        <f>+'Entrate tot e finalizzati'!E43-'Entrate tot e finalizzati'!F43</f>
        <v>2</v>
      </c>
      <c r="E43" s="24">
        <f>+'Entrate tot e finalizzati'!G43-'Entrate tot e finalizzati'!H43</f>
        <v>22</v>
      </c>
      <c r="F43" s="24">
        <f>+'Entrate tot e finalizzati'!I43-'Entrate tot e finalizzati'!J43</f>
        <v>5</v>
      </c>
      <c r="G43" s="22">
        <f>+'Entrate tot e finalizzati'!K43-'Entrate tot e finalizzati'!L43</f>
        <v>7</v>
      </c>
      <c r="H43" s="22">
        <f>+'Entrate tot e finalizzati'!M43-'Entrate tot e finalizzati'!N43</f>
        <v>19</v>
      </c>
      <c r="I43" s="22">
        <f>+'Entrate tot e finalizzati'!O43-'Entrate tot e finalizzati'!P43</f>
        <v>0</v>
      </c>
      <c r="J43" s="22">
        <f>+'Entrate tot e finalizzati'!Q43-'Entrate tot e finalizzati'!R43</f>
        <v>0</v>
      </c>
      <c r="K43" s="22">
        <f>+'Entrate tot e finalizzati'!S43-'Entrate tot e finalizzati'!T43</f>
        <v>0</v>
      </c>
      <c r="L43" s="22">
        <f>+'Entrate tot e finalizzati'!U43-'Entrate tot e finalizzati'!V43</f>
        <v>0</v>
      </c>
      <c r="M43" s="39"/>
      <c r="N43" s="39"/>
      <c r="O43" s="39"/>
      <c r="P43" s="39"/>
      <c r="Q43" s="39"/>
      <c r="R43" s="39"/>
      <c r="S43" s="39"/>
      <c r="T43" s="39"/>
    </row>
    <row r="44" spans="1:20" s="2" customFormat="1" ht="12.75">
      <c r="A44" s="52"/>
      <c r="B44" s="10" t="s">
        <v>32</v>
      </c>
      <c r="C44" s="24">
        <f>+'Entrate tot e finalizzati'!C44-'Entrate tot e finalizzati'!D44</f>
        <v>0</v>
      </c>
      <c r="D44" s="24">
        <f>+'Entrate tot e finalizzati'!E44-'Entrate tot e finalizzati'!F44</f>
        <v>0</v>
      </c>
      <c r="E44" s="24">
        <f>+'Entrate tot e finalizzati'!G44-'Entrate tot e finalizzati'!H44</f>
        <v>0</v>
      </c>
      <c r="F44" s="24">
        <f>+'Entrate tot e finalizzati'!I44-'Entrate tot e finalizzati'!J44</f>
        <v>0</v>
      </c>
      <c r="G44" s="22">
        <f>+'Entrate tot e finalizzati'!K44-'Entrate tot e finalizzati'!L44</f>
        <v>0</v>
      </c>
      <c r="H44" s="22">
        <f>+'Entrate tot e finalizzati'!M44-'Entrate tot e finalizzati'!N44</f>
        <v>0</v>
      </c>
      <c r="I44" s="22">
        <f>+'Entrate tot e finalizzati'!O44-'Entrate tot e finalizzati'!P44</f>
        <v>0</v>
      </c>
      <c r="J44" s="22">
        <f>+'Entrate tot e finalizzati'!Q44-'Entrate tot e finalizzati'!R44</f>
        <v>0</v>
      </c>
      <c r="K44" s="22">
        <f>+'Entrate tot e finalizzati'!S44-'Entrate tot e finalizzati'!T44</f>
        <v>0</v>
      </c>
      <c r="L44" s="22">
        <f>+'Entrate tot e finalizzati'!U44-'Entrate tot e finalizzati'!V44</f>
        <v>0</v>
      </c>
      <c r="M44" s="39"/>
      <c r="N44" s="39"/>
      <c r="O44" s="39"/>
      <c r="P44" s="39"/>
      <c r="Q44" s="39"/>
      <c r="R44" s="39"/>
      <c r="S44" s="39"/>
      <c r="T44" s="39"/>
    </row>
    <row r="45" spans="1:20" s="2" customFormat="1" ht="12.75">
      <c r="A45" s="15"/>
      <c r="B45" s="35" t="s">
        <v>72</v>
      </c>
      <c r="C45" s="24">
        <f>+'Entrate tot e finalizzati'!C45-'Entrate tot e finalizzati'!D45</f>
        <v>0</v>
      </c>
      <c r="D45" s="24">
        <f>+'Entrate tot e finalizzati'!E45-'Entrate tot e finalizzati'!F45</f>
        <v>0</v>
      </c>
      <c r="E45" s="24">
        <f>+'Entrate tot e finalizzati'!G45-'Entrate tot e finalizzati'!H45</f>
        <v>0</v>
      </c>
      <c r="F45" s="24">
        <f>+'Entrate tot e finalizzati'!I45-'Entrate tot e finalizzati'!J45</f>
        <v>0</v>
      </c>
      <c r="G45" s="22">
        <f>+'Entrate tot e finalizzati'!K45-'Entrate tot e finalizzati'!L45</f>
        <v>0</v>
      </c>
      <c r="H45" s="22">
        <f>+'Entrate tot e finalizzati'!M45-'Entrate tot e finalizzati'!N45</f>
        <v>0</v>
      </c>
      <c r="I45" s="22">
        <f>+'Entrate tot e finalizzati'!O45-'Entrate tot e finalizzati'!P45</f>
        <v>0</v>
      </c>
      <c r="J45" s="22">
        <f>+'Entrate tot e finalizzati'!Q45-'Entrate tot e finalizzati'!R45</f>
        <v>0</v>
      </c>
      <c r="K45" s="22">
        <f>+'Entrate tot e finalizzati'!S45-'Entrate tot e finalizzati'!T45</f>
        <v>0</v>
      </c>
      <c r="L45" s="22">
        <f>+'Entrate tot e finalizzati'!U45-'Entrate tot e finalizzati'!V45</f>
        <v>0</v>
      </c>
      <c r="M45" s="39"/>
      <c r="N45" s="39"/>
      <c r="O45" s="39"/>
      <c r="P45" s="39"/>
      <c r="Q45" s="39"/>
      <c r="R45" s="39"/>
      <c r="S45" s="39"/>
      <c r="T45" s="39"/>
    </row>
    <row r="46" spans="1:20" s="2" customFormat="1" ht="12.75">
      <c r="A46" s="27" t="s">
        <v>88</v>
      </c>
      <c r="B46" s="28"/>
      <c r="C46" s="29">
        <f>+'Entrate tot e finalizzati'!C46-'Entrate tot e finalizzati'!D46</f>
        <v>327</v>
      </c>
      <c r="D46" s="29">
        <f>+'Entrate tot e finalizzati'!E46-'Entrate tot e finalizzati'!F46</f>
        <v>427</v>
      </c>
      <c r="E46" s="29">
        <f>+'Entrate tot e finalizzati'!G46-'Entrate tot e finalizzati'!H46</f>
        <v>288</v>
      </c>
      <c r="F46" s="29">
        <f>+'Entrate tot e finalizzati'!I46-'Entrate tot e finalizzati'!J46</f>
        <v>141</v>
      </c>
      <c r="G46" s="29">
        <f>+'Entrate tot e finalizzati'!K46-'Entrate tot e finalizzati'!L46</f>
        <v>94</v>
      </c>
      <c r="H46" s="29">
        <f>+'Entrate tot e finalizzati'!M46-'Entrate tot e finalizzati'!N46</f>
        <v>114</v>
      </c>
      <c r="I46" s="29">
        <f>+'Entrate tot e finalizzati'!O46-'Entrate tot e finalizzati'!P46</f>
        <v>101</v>
      </c>
      <c r="J46" s="29">
        <f>+'Entrate tot e finalizzati'!Q46-'Entrate tot e finalizzati'!R46</f>
        <v>81</v>
      </c>
      <c r="K46" s="29">
        <f>+'Entrate tot e finalizzati'!S46-'Entrate tot e finalizzati'!T46</f>
        <v>63</v>
      </c>
      <c r="L46" s="29">
        <f>+'Entrate tot e finalizzati'!U46-'Entrate tot e finalizzati'!V46</f>
        <v>106</v>
      </c>
      <c r="M46" s="39"/>
      <c r="N46" s="39"/>
      <c r="O46" s="39"/>
      <c r="P46" s="39"/>
      <c r="Q46" s="39"/>
      <c r="R46" s="39"/>
      <c r="S46" s="39"/>
      <c r="T46" s="39"/>
    </row>
    <row r="47" spans="1:20" s="2" customFormat="1" ht="12.75">
      <c r="A47" s="52"/>
      <c r="B47" s="35" t="s">
        <v>52</v>
      </c>
      <c r="C47" s="36">
        <f>+'Entrate tot e finalizzati'!C47-'Entrate tot e finalizzati'!D47</f>
        <v>204</v>
      </c>
      <c r="D47" s="36">
        <f>+'Entrate tot e finalizzati'!E47-'Entrate tot e finalizzati'!F47</f>
        <v>193</v>
      </c>
      <c r="E47" s="36">
        <f>+'Entrate tot e finalizzati'!G47-'Entrate tot e finalizzati'!H47</f>
        <v>190</v>
      </c>
      <c r="F47" s="36">
        <f>+'Entrate tot e finalizzati'!I47-'Entrate tot e finalizzati'!J47</f>
        <v>38</v>
      </c>
      <c r="G47" s="36">
        <f>+'Entrate tot e finalizzati'!K47-'Entrate tot e finalizzati'!L47</f>
        <v>8</v>
      </c>
      <c r="H47" s="36">
        <f>+'Entrate tot e finalizzati'!M47-'Entrate tot e finalizzati'!N47</f>
        <v>2</v>
      </c>
      <c r="I47" s="36">
        <f>+'Entrate tot e finalizzati'!O47-'Entrate tot e finalizzati'!P47</f>
        <v>7</v>
      </c>
      <c r="J47" s="36">
        <f>+'Entrate tot e finalizzati'!Q47-'Entrate tot e finalizzati'!R47</f>
        <v>3</v>
      </c>
      <c r="K47" s="36">
        <f>+'Entrate tot e finalizzati'!S47-'Entrate tot e finalizzati'!T47</f>
        <v>4</v>
      </c>
      <c r="L47" s="36">
        <f>+'Entrate tot e finalizzati'!U47-'Entrate tot e finalizzati'!V47</f>
        <v>1</v>
      </c>
      <c r="M47" s="39"/>
      <c r="N47" s="39"/>
      <c r="O47" s="39"/>
      <c r="P47" s="39"/>
      <c r="Q47" s="39"/>
      <c r="R47" s="39"/>
      <c r="S47" s="39"/>
      <c r="T47" s="39"/>
    </row>
    <row r="48" spans="1:20" s="2" customFormat="1" ht="12.75">
      <c r="A48" s="52"/>
      <c r="B48" s="35" t="s">
        <v>53</v>
      </c>
      <c r="C48" s="36">
        <f>+'Entrate tot e finalizzati'!C48-'Entrate tot e finalizzati'!D48</f>
        <v>123</v>
      </c>
      <c r="D48" s="36">
        <f>+'Entrate tot e finalizzati'!E48-'Entrate tot e finalizzati'!F48</f>
        <v>234</v>
      </c>
      <c r="E48" s="36">
        <f>+'Entrate tot e finalizzati'!G48-'Entrate tot e finalizzati'!H48</f>
        <v>98</v>
      </c>
      <c r="F48" s="36">
        <f>+'Entrate tot e finalizzati'!I48-'Entrate tot e finalizzati'!J48</f>
        <v>103</v>
      </c>
      <c r="G48" s="36">
        <f>+'Entrate tot e finalizzati'!K48-'Entrate tot e finalizzati'!L48</f>
        <v>86</v>
      </c>
      <c r="H48" s="36">
        <f>+'Entrate tot e finalizzati'!M48-'Entrate tot e finalizzati'!N48</f>
        <v>112</v>
      </c>
      <c r="I48" s="36">
        <f>+'Entrate tot e finalizzati'!O48-'Entrate tot e finalizzati'!P48</f>
        <v>94</v>
      </c>
      <c r="J48" s="36">
        <f>+'Entrate tot e finalizzati'!Q48-'Entrate tot e finalizzati'!R48</f>
        <v>78</v>
      </c>
      <c r="K48" s="36">
        <f>+'Entrate tot e finalizzati'!S48-'Entrate tot e finalizzati'!T48</f>
        <v>59</v>
      </c>
      <c r="L48" s="36">
        <f>+'Entrate tot e finalizzati'!U48-'Entrate tot e finalizzati'!V48</f>
        <v>65</v>
      </c>
      <c r="M48" s="39"/>
      <c r="N48" s="39"/>
      <c r="O48" s="39"/>
      <c r="P48" s="39"/>
      <c r="Q48" s="39"/>
      <c r="R48" s="39"/>
      <c r="S48" s="39"/>
      <c r="T48" s="39"/>
    </row>
    <row r="49" spans="1:20" s="2" customFormat="1" ht="12.75">
      <c r="A49" s="52"/>
      <c r="B49" s="35" t="s">
        <v>65</v>
      </c>
      <c r="C49" s="36">
        <f>+'Entrate tot e finalizzati'!C49-'Entrate tot e finalizzati'!D49</f>
        <v>0</v>
      </c>
      <c r="D49" s="36">
        <f>+'Entrate tot e finalizzati'!E49-'Entrate tot e finalizzati'!F49</f>
        <v>0</v>
      </c>
      <c r="E49" s="36">
        <f>+'Entrate tot e finalizzati'!G49-'Entrate tot e finalizzati'!H49</f>
        <v>0</v>
      </c>
      <c r="F49" s="36">
        <f>+'Entrate tot e finalizzati'!I49-'Entrate tot e finalizzati'!J49</f>
        <v>0</v>
      </c>
      <c r="G49" s="36">
        <f>+'Entrate tot e finalizzati'!K49-'Entrate tot e finalizzati'!L49</f>
        <v>0</v>
      </c>
      <c r="H49" s="36">
        <f>+'Entrate tot e finalizzati'!M49-'Entrate tot e finalizzati'!N49</f>
        <v>0</v>
      </c>
      <c r="I49" s="36">
        <f>+'Entrate tot e finalizzati'!O49-'Entrate tot e finalizzati'!P49</f>
        <v>0</v>
      </c>
      <c r="J49" s="36">
        <f>+'Entrate tot e finalizzati'!Q49-'Entrate tot e finalizzati'!R49</f>
        <v>0</v>
      </c>
      <c r="K49" s="36">
        <f>+'Entrate tot e finalizzati'!S49-'Entrate tot e finalizzati'!T49</f>
        <v>0</v>
      </c>
      <c r="L49" s="36">
        <f>+'Entrate tot e finalizzati'!U49-'Entrate tot e finalizzati'!V49</f>
        <v>0</v>
      </c>
      <c r="M49" s="39"/>
      <c r="N49" s="39"/>
      <c r="O49" s="39"/>
      <c r="P49" s="39"/>
      <c r="Q49" s="39"/>
      <c r="R49" s="39"/>
      <c r="S49" s="39"/>
      <c r="T49" s="39"/>
    </row>
    <row r="50" spans="1:20" s="2" customFormat="1" ht="12.75">
      <c r="A50" s="52"/>
      <c r="B50" s="10" t="s">
        <v>32</v>
      </c>
      <c r="C50" s="36">
        <f>+'Entrate tot e finalizzati'!C50-'Entrate tot e finalizzati'!D50</f>
        <v>0</v>
      </c>
      <c r="D50" s="36">
        <f>+'Entrate tot e finalizzati'!E50-'Entrate tot e finalizzati'!F50</f>
        <v>0</v>
      </c>
      <c r="E50" s="36">
        <f>+'Entrate tot e finalizzati'!G50-'Entrate tot e finalizzati'!H50</f>
        <v>0</v>
      </c>
      <c r="F50" s="36">
        <f>+'Entrate tot e finalizzati'!I50-'Entrate tot e finalizzati'!J50</f>
        <v>0</v>
      </c>
      <c r="G50" s="36">
        <f>+'Entrate tot e finalizzati'!K50-'Entrate tot e finalizzati'!L50</f>
        <v>0</v>
      </c>
      <c r="H50" s="36">
        <f>+'Entrate tot e finalizzati'!M50-'Entrate tot e finalizzati'!N50</f>
        <v>0</v>
      </c>
      <c r="I50" s="36">
        <f>+'Entrate tot e finalizzati'!O50-'Entrate tot e finalizzati'!P50</f>
        <v>0</v>
      </c>
      <c r="J50" s="36">
        <f>+'Entrate tot e finalizzati'!Q50-'Entrate tot e finalizzati'!R50</f>
        <v>0</v>
      </c>
      <c r="K50" s="36">
        <f>+'Entrate tot e finalizzati'!S50-'Entrate tot e finalizzati'!T50</f>
        <v>0</v>
      </c>
      <c r="L50" s="36">
        <f>+'Entrate tot e finalizzati'!U50-'Entrate tot e finalizzati'!V50</f>
        <v>40</v>
      </c>
      <c r="M50" s="39"/>
      <c r="N50" s="39"/>
      <c r="O50" s="39"/>
      <c r="P50" s="39"/>
      <c r="Q50" s="39"/>
      <c r="R50" s="39"/>
      <c r="S50" s="39"/>
      <c r="T50" s="39"/>
    </row>
    <row r="51" spans="1:20" s="2" customFormat="1" ht="12.75">
      <c r="A51" s="52"/>
      <c r="B51" s="35" t="s">
        <v>16</v>
      </c>
      <c r="C51" s="36">
        <f>+'Entrate tot e finalizzati'!C51-'Entrate tot e finalizzati'!D51</f>
        <v>0</v>
      </c>
      <c r="D51" s="36">
        <f>+'Entrate tot e finalizzati'!E51-'Entrate tot e finalizzati'!F51</f>
        <v>0</v>
      </c>
      <c r="E51" s="36">
        <f>+'Entrate tot e finalizzati'!G51-'Entrate tot e finalizzati'!H51</f>
        <v>0</v>
      </c>
      <c r="F51" s="36">
        <f>+'Entrate tot e finalizzati'!I51-'Entrate tot e finalizzati'!J51</f>
        <v>0</v>
      </c>
      <c r="G51" s="36">
        <f>+'Entrate tot e finalizzati'!K51-'Entrate tot e finalizzati'!L51</f>
        <v>0</v>
      </c>
      <c r="H51" s="36">
        <f>+'Entrate tot e finalizzati'!M51-'Entrate tot e finalizzati'!N51</f>
        <v>0</v>
      </c>
      <c r="I51" s="36">
        <f>+'Entrate tot e finalizzati'!O51-'Entrate tot e finalizzati'!P51</f>
        <v>0</v>
      </c>
      <c r="J51" s="36">
        <f>+'Entrate tot e finalizzati'!Q51-'Entrate tot e finalizzati'!R51</f>
        <v>0</v>
      </c>
      <c r="K51" s="36">
        <f>+'Entrate tot e finalizzati'!S51-'Entrate tot e finalizzati'!T51</f>
        <v>0</v>
      </c>
      <c r="L51" s="36">
        <f>+'Entrate tot e finalizzati'!U51-'Entrate tot e finalizzati'!V51</f>
        <v>0</v>
      </c>
      <c r="M51" s="39"/>
      <c r="N51" s="39"/>
      <c r="O51" s="39"/>
      <c r="P51" s="39"/>
      <c r="Q51" s="39"/>
      <c r="R51" s="39"/>
      <c r="S51" s="39"/>
      <c r="T51" s="39"/>
    </row>
    <row r="52" spans="1:20" s="2" customFormat="1" ht="12.75">
      <c r="A52" s="52"/>
      <c r="B52" s="35" t="s">
        <v>66</v>
      </c>
      <c r="C52" s="36">
        <f>+'Entrate tot e finalizzati'!C52-'Entrate tot e finalizzati'!D52</f>
        <v>0</v>
      </c>
      <c r="D52" s="36">
        <f>+'Entrate tot e finalizzati'!E52-'Entrate tot e finalizzati'!F52</f>
        <v>0</v>
      </c>
      <c r="E52" s="36">
        <f>+'Entrate tot e finalizzati'!G52-'Entrate tot e finalizzati'!H52</f>
        <v>0</v>
      </c>
      <c r="F52" s="36">
        <f>+'Entrate tot e finalizzati'!I52-'Entrate tot e finalizzati'!J52</f>
        <v>0</v>
      </c>
      <c r="G52" s="36">
        <f>+'Entrate tot e finalizzati'!K52-'Entrate tot e finalizzati'!L52</f>
        <v>0</v>
      </c>
      <c r="H52" s="36">
        <f>+'Entrate tot e finalizzati'!M52-'Entrate tot e finalizzati'!N52</f>
        <v>0</v>
      </c>
      <c r="I52" s="36">
        <f>+'Entrate tot e finalizzati'!O52-'Entrate tot e finalizzati'!P52</f>
        <v>0</v>
      </c>
      <c r="J52" s="36">
        <f>+'Entrate tot e finalizzati'!Q52-'Entrate tot e finalizzati'!R52</f>
        <v>0</v>
      </c>
      <c r="K52" s="36">
        <f>+'Entrate tot e finalizzati'!S52-'Entrate tot e finalizzati'!T52</f>
        <v>0</v>
      </c>
      <c r="L52" s="36">
        <f>+'Entrate tot e finalizzati'!U52-'Entrate tot e finalizzati'!V52</f>
        <v>0</v>
      </c>
      <c r="M52" s="39"/>
      <c r="N52" s="39"/>
      <c r="O52" s="39"/>
      <c r="P52" s="39"/>
      <c r="Q52" s="39"/>
      <c r="R52" s="39"/>
      <c r="S52" s="39"/>
      <c r="T52" s="39"/>
    </row>
    <row r="53" spans="1:12" s="39" customFormat="1" ht="12.75">
      <c r="A53" s="56"/>
      <c r="B53" s="16" t="s">
        <v>111</v>
      </c>
      <c r="C53" s="36">
        <f>+'Entrate tot e finalizzati'!C53-'Entrate tot e finalizzati'!D53</f>
        <v>0</v>
      </c>
      <c r="D53" s="37">
        <f>+'Entrate tot e finalizzati'!E53-'Entrate tot e finalizzati'!F53</f>
        <v>0</v>
      </c>
      <c r="E53" s="36">
        <f>+'Entrate tot e finalizzati'!G53-'Entrate tot e finalizzati'!H53</f>
        <v>0</v>
      </c>
      <c r="F53" s="36">
        <f>+'Entrate tot e finalizzati'!I53-'Entrate tot e finalizzati'!J53</f>
        <v>0</v>
      </c>
      <c r="G53" s="36">
        <f>+'Entrate tot e finalizzati'!K53-'Entrate tot e finalizzati'!L53</f>
        <v>0</v>
      </c>
      <c r="H53" s="36">
        <f>+'Entrate tot e finalizzati'!M53-'Entrate tot e finalizzati'!N53</f>
        <v>0</v>
      </c>
      <c r="I53" s="36">
        <f>+'Entrate tot e finalizzati'!O53-'Entrate tot e finalizzati'!P53</f>
        <v>0</v>
      </c>
      <c r="J53" s="36">
        <f>+'Entrate tot e finalizzati'!Q53-'Entrate tot e finalizzati'!R53</f>
        <v>0</v>
      </c>
      <c r="K53" s="36">
        <f>+'Entrate tot e finalizzati'!S53-'Entrate tot e finalizzati'!T53</f>
        <v>0</v>
      </c>
      <c r="L53" s="36">
        <f>+'Entrate tot e finalizzati'!U53-'Entrate tot e finalizzati'!V53</f>
        <v>0</v>
      </c>
    </row>
    <row r="54" spans="1:20" s="2" customFormat="1" ht="12.75">
      <c r="A54" s="27" t="s">
        <v>128</v>
      </c>
      <c r="B54" s="28"/>
      <c r="C54" s="29">
        <f>+'Entrate tot e finalizzati'!C54-'Entrate tot e finalizzati'!D54</f>
        <v>124678</v>
      </c>
      <c r="D54" s="29">
        <f>+'Entrate tot e finalizzati'!E54-'Entrate tot e finalizzati'!F54</f>
        <v>116563</v>
      </c>
      <c r="E54" s="29">
        <f>+'Entrate tot e finalizzati'!G54-'Entrate tot e finalizzati'!H54</f>
        <v>113525</v>
      </c>
      <c r="F54" s="29">
        <f>+'Entrate tot e finalizzati'!I54-'Entrate tot e finalizzati'!J54</f>
        <v>123140</v>
      </c>
      <c r="G54" s="29">
        <f>+'Entrate tot e finalizzati'!K54-'Entrate tot e finalizzati'!L54</f>
        <v>130193</v>
      </c>
      <c r="H54" s="29">
        <f>+'Entrate tot e finalizzati'!M54-'Entrate tot e finalizzati'!N54</f>
        <v>143347</v>
      </c>
      <c r="I54" s="29">
        <f>+'Entrate tot e finalizzati'!O54-'Entrate tot e finalizzati'!P54</f>
        <v>130926</v>
      </c>
      <c r="J54" s="29">
        <f>+'Entrate tot e finalizzati'!Q54-'Entrate tot e finalizzati'!R54</f>
        <v>134112</v>
      </c>
      <c r="K54" s="29">
        <f>+'Entrate tot e finalizzati'!S54-'Entrate tot e finalizzati'!T54</f>
        <v>123920</v>
      </c>
      <c r="L54" s="29">
        <f>+'Entrate tot e finalizzati'!U54-'Entrate tot e finalizzati'!V54</f>
        <v>121763</v>
      </c>
      <c r="M54" s="39"/>
      <c r="N54" s="39"/>
      <c r="O54" s="39"/>
      <c r="P54" s="39"/>
      <c r="Q54" s="39"/>
      <c r="R54" s="39"/>
      <c r="S54" s="39"/>
      <c r="T54" s="39"/>
    </row>
    <row r="55" spans="1:20" s="2" customFormat="1" ht="12.75">
      <c r="A55" s="52"/>
      <c r="B55" s="35" t="s">
        <v>25</v>
      </c>
      <c r="C55" s="36">
        <f>+'Entrate tot e finalizzati'!C55-'Entrate tot e finalizzati'!D55</f>
        <v>59440</v>
      </c>
      <c r="D55" s="36">
        <f>+'Entrate tot e finalizzati'!E55-'Entrate tot e finalizzati'!F55</f>
        <v>58487</v>
      </c>
      <c r="E55" s="36">
        <f>+'Entrate tot e finalizzati'!G55-'Entrate tot e finalizzati'!H55</f>
        <v>52570</v>
      </c>
      <c r="F55" s="36">
        <f>+'Entrate tot e finalizzati'!I55-'Entrate tot e finalizzati'!J55</f>
        <v>69381</v>
      </c>
      <c r="G55" s="36">
        <f>+'Entrate tot e finalizzati'!K55-'Entrate tot e finalizzati'!L55</f>
        <v>5982</v>
      </c>
      <c r="H55" s="36">
        <f>+'Entrate tot e finalizzati'!M55-'Entrate tot e finalizzati'!N55</f>
        <v>0</v>
      </c>
      <c r="I55" s="36">
        <f>+'Entrate tot e finalizzati'!O55-'Entrate tot e finalizzati'!P55</f>
        <v>463</v>
      </c>
      <c r="J55" s="36">
        <f>+'Entrate tot e finalizzati'!Q55-'Entrate tot e finalizzati'!R55</f>
        <v>8152</v>
      </c>
      <c r="K55" s="36">
        <f>+'Entrate tot e finalizzati'!S55-'Entrate tot e finalizzati'!T55</f>
        <v>10212</v>
      </c>
      <c r="L55" s="36">
        <f>+'Entrate tot e finalizzati'!U55-'Entrate tot e finalizzati'!V55</f>
        <v>61126</v>
      </c>
      <c r="M55" s="39"/>
      <c r="N55" s="39"/>
      <c r="O55" s="39"/>
      <c r="P55" s="39"/>
      <c r="Q55" s="39"/>
      <c r="R55" s="39"/>
      <c r="S55" s="39"/>
      <c r="T55" s="39"/>
    </row>
    <row r="56" spans="1:20" s="2" customFormat="1" ht="12.75">
      <c r="A56" s="52"/>
      <c r="B56" s="35" t="s">
        <v>89</v>
      </c>
      <c r="C56" s="36">
        <f>+'Entrate tot e finalizzati'!C56-'Entrate tot e finalizzati'!D56</f>
        <v>0</v>
      </c>
      <c r="D56" s="36">
        <f>+'Entrate tot e finalizzati'!E56-'Entrate tot e finalizzati'!F56</f>
        <v>0</v>
      </c>
      <c r="E56" s="36">
        <f>+'Entrate tot e finalizzati'!G56-'Entrate tot e finalizzati'!H56</f>
        <v>0</v>
      </c>
      <c r="F56" s="36">
        <f>+'Entrate tot e finalizzati'!I56-'Entrate tot e finalizzati'!J56</f>
        <v>0</v>
      </c>
      <c r="G56" s="36">
        <f>+'Entrate tot e finalizzati'!K56-'Entrate tot e finalizzati'!L56</f>
        <v>64952</v>
      </c>
      <c r="H56" s="36">
        <f>+'Entrate tot e finalizzati'!M56-'Entrate tot e finalizzati'!N56</f>
        <v>91870</v>
      </c>
      <c r="I56" s="36">
        <f>+'Entrate tot e finalizzati'!O56-'Entrate tot e finalizzati'!P56</f>
        <v>93361</v>
      </c>
      <c r="J56" s="36">
        <f>+'Entrate tot e finalizzati'!Q56-'Entrate tot e finalizzati'!R56</f>
        <v>92691</v>
      </c>
      <c r="K56" s="36">
        <f>+'Entrate tot e finalizzati'!S56-'Entrate tot e finalizzati'!T56</f>
        <v>91684</v>
      </c>
      <c r="L56" s="36">
        <f>+'Entrate tot e finalizzati'!U56-'Entrate tot e finalizzati'!V56</f>
        <v>8433</v>
      </c>
      <c r="M56" s="39"/>
      <c r="N56" s="39"/>
      <c r="O56" s="39"/>
      <c r="P56" s="39"/>
      <c r="Q56" s="39"/>
      <c r="R56" s="39"/>
      <c r="S56" s="39"/>
      <c r="T56" s="39"/>
    </row>
    <row r="57" spans="1:20" s="2" customFormat="1" ht="12.75">
      <c r="A57" s="52"/>
      <c r="B57" s="35" t="s">
        <v>122</v>
      </c>
      <c r="C57" s="36">
        <f>+'Entrate tot e finalizzati'!C57-'Entrate tot e finalizzati'!D57</f>
        <v>0</v>
      </c>
      <c r="D57" s="36">
        <f>+'Entrate tot e finalizzati'!E57-'Entrate tot e finalizzati'!F57</f>
        <v>0</v>
      </c>
      <c r="E57" s="36">
        <f>+'Entrate tot e finalizzati'!G57-'Entrate tot e finalizzati'!H57</f>
        <v>0</v>
      </c>
      <c r="F57" s="36">
        <f>+'Entrate tot e finalizzati'!I57-'Entrate tot e finalizzati'!J57</f>
        <v>0</v>
      </c>
      <c r="G57" s="36">
        <f>+'Entrate tot e finalizzati'!K57-'Entrate tot e finalizzati'!L57</f>
        <v>0</v>
      </c>
      <c r="H57" s="36">
        <f>+'Entrate tot e finalizzati'!M57-'Entrate tot e finalizzati'!N57</f>
        <v>0</v>
      </c>
      <c r="I57" s="36">
        <f>+'Entrate tot e finalizzati'!O57-'Entrate tot e finalizzati'!P57</f>
        <v>0</v>
      </c>
      <c r="J57" s="36">
        <f>+'Entrate tot e finalizzati'!Q57-'Entrate tot e finalizzati'!R57</f>
        <v>0</v>
      </c>
      <c r="K57" s="36">
        <f>+'Entrate tot e finalizzati'!S57-'Entrate tot e finalizzati'!T57</f>
        <v>234</v>
      </c>
      <c r="L57" s="36">
        <f>+'Entrate tot e finalizzati'!U57-'Entrate tot e finalizzati'!V57</f>
        <v>268</v>
      </c>
      <c r="M57" s="39"/>
      <c r="N57" s="39"/>
      <c r="O57" s="39"/>
      <c r="P57" s="39"/>
      <c r="Q57" s="39"/>
      <c r="R57" s="39"/>
      <c r="S57" s="39"/>
      <c r="T57" s="39"/>
    </row>
    <row r="58" spans="1:20" s="2" customFormat="1" ht="12.75">
      <c r="A58" s="52"/>
      <c r="B58" s="35" t="s">
        <v>26</v>
      </c>
      <c r="C58" s="36">
        <f>+'Entrate tot e finalizzati'!C58-'Entrate tot e finalizzati'!D58</f>
        <v>28398</v>
      </c>
      <c r="D58" s="36">
        <f>+'Entrate tot e finalizzati'!E58-'Entrate tot e finalizzati'!F58</f>
        <v>21531</v>
      </c>
      <c r="E58" s="36">
        <f>+'Entrate tot e finalizzati'!G58-'Entrate tot e finalizzati'!H58</f>
        <v>17029</v>
      </c>
      <c r="F58" s="36">
        <f>+'Entrate tot e finalizzati'!I58-'Entrate tot e finalizzati'!J58</f>
        <v>14691</v>
      </c>
      <c r="G58" s="36">
        <f>+'Entrate tot e finalizzati'!K58-'Entrate tot e finalizzati'!L58</f>
        <v>13496</v>
      </c>
      <c r="H58" s="36">
        <f>+'Entrate tot e finalizzati'!M58-'Entrate tot e finalizzati'!N58</f>
        <v>11156</v>
      </c>
      <c r="I58" s="36">
        <f>+'Entrate tot e finalizzati'!O58-'Entrate tot e finalizzati'!P58</f>
        <v>2111</v>
      </c>
      <c r="J58" s="36">
        <f>+'Entrate tot e finalizzati'!Q58-'Entrate tot e finalizzati'!R58</f>
        <v>1494</v>
      </c>
      <c r="K58" s="36">
        <f>+'Entrate tot e finalizzati'!S58-'Entrate tot e finalizzati'!T58</f>
        <v>1494</v>
      </c>
      <c r="L58" s="36">
        <f>+'Entrate tot e finalizzati'!U58-'Entrate tot e finalizzati'!V58</f>
        <v>6775</v>
      </c>
      <c r="M58" s="39"/>
      <c r="N58" s="39"/>
      <c r="O58" s="39"/>
      <c r="P58" s="39"/>
      <c r="Q58" s="39"/>
      <c r="R58" s="39"/>
      <c r="S58" s="39"/>
      <c r="T58" s="39"/>
    </row>
    <row r="59" spans="1:20" s="2" customFormat="1" ht="12.75">
      <c r="A59" s="52"/>
      <c r="B59" s="35" t="s">
        <v>18</v>
      </c>
      <c r="C59" s="36">
        <f>+'Entrate tot e finalizzati'!C59-'Entrate tot e finalizzati'!D59</f>
        <v>0</v>
      </c>
      <c r="D59" s="36">
        <f>+'Entrate tot e finalizzati'!E59-'Entrate tot e finalizzati'!F59</f>
        <v>1</v>
      </c>
      <c r="E59" s="36">
        <f>+'Entrate tot e finalizzati'!G59-'Entrate tot e finalizzati'!H59</f>
        <v>0</v>
      </c>
      <c r="F59" s="36">
        <f>+'Entrate tot e finalizzati'!I59-'Entrate tot e finalizzati'!J59</f>
        <v>6</v>
      </c>
      <c r="G59" s="36">
        <f>+'Entrate tot e finalizzati'!K59-'Entrate tot e finalizzati'!L59</f>
        <v>10</v>
      </c>
      <c r="H59" s="36">
        <f>+'Entrate tot e finalizzati'!M59-'Entrate tot e finalizzati'!N59</f>
        <v>0</v>
      </c>
      <c r="I59" s="36">
        <f>+'Entrate tot e finalizzati'!O59-'Entrate tot e finalizzati'!P59</f>
        <v>5</v>
      </c>
      <c r="J59" s="36">
        <f>+'Entrate tot e finalizzati'!Q59-'Entrate tot e finalizzati'!R59</f>
        <v>0</v>
      </c>
      <c r="K59" s="36">
        <f>+'Entrate tot e finalizzati'!S59-'Entrate tot e finalizzati'!T59</f>
        <v>0</v>
      </c>
      <c r="L59" s="36">
        <f>+'Entrate tot e finalizzati'!U59-'Entrate tot e finalizzati'!V59</f>
        <v>0</v>
      </c>
      <c r="M59" s="39"/>
      <c r="N59" s="39"/>
      <c r="O59" s="39"/>
      <c r="P59" s="39"/>
      <c r="Q59" s="39"/>
      <c r="R59" s="39"/>
      <c r="S59" s="39"/>
      <c r="T59" s="39"/>
    </row>
    <row r="60" spans="1:20" s="2" customFormat="1" ht="12.75">
      <c r="A60" s="52"/>
      <c r="B60" s="35" t="s">
        <v>27</v>
      </c>
      <c r="C60" s="36">
        <f>+'Entrate tot e finalizzati'!C60-'Entrate tot e finalizzati'!D60</f>
        <v>0</v>
      </c>
      <c r="D60" s="36">
        <f>+'Entrate tot e finalizzati'!E60-'Entrate tot e finalizzati'!F60</f>
        <v>0</v>
      </c>
      <c r="E60" s="36">
        <f>+'Entrate tot e finalizzati'!G60-'Entrate tot e finalizzati'!H60</f>
        <v>0</v>
      </c>
      <c r="F60" s="36">
        <f>+'Entrate tot e finalizzati'!I60-'Entrate tot e finalizzati'!J60</f>
        <v>0</v>
      </c>
      <c r="G60" s="36">
        <f>+'Entrate tot e finalizzati'!K60-'Entrate tot e finalizzati'!L60</f>
        <v>0</v>
      </c>
      <c r="H60" s="36">
        <f>+'Entrate tot e finalizzati'!M60-'Entrate tot e finalizzati'!N60</f>
        <v>0</v>
      </c>
      <c r="I60" s="36">
        <f>+'Entrate tot e finalizzati'!O60-'Entrate tot e finalizzati'!P60</f>
        <v>0</v>
      </c>
      <c r="J60" s="36">
        <f>+'Entrate tot e finalizzati'!Q60-'Entrate tot e finalizzati'!R60</f>
        <v>0</v>
      </c>
      <c r="K60" s="36">
        <f>+'Entrate tot e finalizzati'!S60-'Entrate tot e finalizzati'!T60</f>
        <v>0</v>
      </c>
      <c r="L60" s="36">
        <f>+'Entrate tot e finalizzati'!U60-'Entrate tot e finalizzati'!V60</f>
        <v>0</v>
      </c>
      <c r="M60" s="39"/>
      <c r="N60" s="39"/>
      <c r="O60" s="39"/>
      <c r="P60" s="39"/>
      <c r="Q60" s="39"/>
      <c r="R60" s="39"/>
      <c r="S60" s="39"/>
      <c r="T60" s="39"/>
    </row>
    <row r="61" spans="1:20" s="2" customFormat="1" ht="12.75">
      <c r="A61" s="52"/>
      <c r="B61" s="35" t="s">
        <v>28</v>
      </c>
      <c r="C61" s="36">
        <f>+'Entrate tot e finalizzati'!C61-'Entrate tot e finalizzati'!D61</f>
        <v>558</v>
      </c>
      <c r="D61" s="36">
        <f>+'Entrate tot e finalizzati'!E61-'Entrate tot e finalizzati'!F61</f>
        <v>396</v>
      </c>
      <c r="E61" s="36">
        <f>+'Entrate tot e finalizzati'!G61-'Entrate tot e finalizzati'!H61</f>
        <v>4516</v>
      </c>
      <c r="F61" s="36">
        <f>+'Entrate tot e finalizzati'!I61-'Entrate tot e finalizzati'!J61</f>
        <v>3660</v>
      </c>
      <c r="G61" s="36">
        <f>+'Entrate tot e finalizzati'!K61-'Entrate tot e finalizzati'!L61</f>
        <v>2946</v>
      </c>
      <c r="H61" s="36">
        <f>+'Entrate tot e finalizzati'!M61-'Entrate tot e finalizzati'!N61</f>
        <v>2280</v>
      </c>
      <c r="I61" s="36">
        <f>+'Entrate tot e finalizzati'!O61-'Entrate tot e finalizzati'!P61</f>
        <v>3381</v>
      </c>
      <c r="J61" s="36">
        <f>+'Entrate tot e finalizzati'!Q61-'Entrate tot e finalizzati'!R61</f>
        <v>2663</v>
      </c>
      <c r="K61" s="36">
        <f>+'Entrate tot e finalizzati'!S61-'Entrate tot e finalizzati'!T61</f>
        <v>2829</v>
      </c>
      <c r="L61" s="36">
        <f>+'Entrate tot e finalizzati'!U61-'Entrate tot e finalizzati'!V61</f>
        <v>3777</v>
      </c>
      <c r="M61" s="39"/>
      <c r="N61" s="39"/>
      <c r="O61" s="39"/>
      <c r="P61" s="39"/>
      <c r="Q61" s="39"/>
      <c r="R61" s="39"/>
      <c r="S61" s="39"/>
      <c r="T61" s="39"/>
    </row>
    <row r="62" spans="1:20" s="2" customFormat="1" ht="12.75">
      <c r="A62" s="52"/>
      <c r="B62" s="35" t="s">
        <v>29</v>
      </c>
      <c r="C62" s="36">
        <f>+'Entrate tot e finalizzati'!C62-'Entrate tot e finalizzati'!D62</f>
        <v>2868</v>
      </c>
      <c r="D62" s="36">
        <f>+'Entrate tot e finalizzati'!E62-'Entrate tot e finalizzati'!F62</f>
        <v>2723</v>
      </c>
      <c r="E62" s="36">
        <f>+'Entrate tot e finalizzati'!G62-'Entrate tot e finalizzati'!H62</f>
        <v>2374</v>
      </c>
      <c r="F62" s="36">
        <f>+'Entrate tot e finalizzati'!I62-'Entrate tot e finalizzati'!J62</f>
        <v>1639</v>
      </c>
      <c r="G62" s="36">
        <f>+'Entrate tot e finalizzati'!K62-'Entrate tot e finalizzati'!L62</f>
        <v>1353</v>
      </c>
      <c r="H62" s="36">
        <f>+'Entrate tot e finalizzati'!M62-'Entrate tot e finalizzati'!N62</f>
        <v>2117</v>
      </c>
      <c r="I62" s="36">
        <f>+'Entrate tot e finalizzati'!O62-'Entrate tot e finalizzati'!P62</f>
        <v>150</v>
      </c>
      <c r="J62" s="36">
        <f>+'Entrate tot e finalizzati'!Q62-'Entrate tot e finalizzati'!R62</f>
        <v>35</v>
      </c>
      <c r="K62" s="36">
        <f>+'Entrate tot e finalizzati'!S62-'Entrate tot e finalizzati'!T62</f>
        <v>27</v>
      </c>
      <c r="L62" s="36">
        <f>+'Entrate tot e finalizzati'!U62-'Entrate tot e finalizzati'!V62</f>
        <v>2844</v>
      </c>
      <c r="M62" s="39"/>
      <c r="N62" s="39"/>
      <c r="O62" s="39"/>
      <c r="P62" s="39"/>
      <c r="Q62" s="39"/>
      <c r="R62" s="39"/>
      <c r="S62" s="39"/>
      <c r="T62" s="39"/>
    </row>
    <row r="63" spans="1:20" s="2" customFormat="1" ht="12.75">
      <c r="A63" s="52"/>
      <c r="B63" s="35" t="s">
        <v>34</v>
      </c>
      <c r="C63" s="36">
        <f>+'Entrate tot e finalizzati'!C63-'Entrate tot e finalizzati'!D63</f>
        <v>4403</v>
      </c>
      <c r="D63" s="36">
        <f>+'Entrate tot e finalizzati'!E63-'Entrate tot e finalizzati'!F63</f>
        <v>5127</v>
      </c>
      <c r="E63" s="36">
        <f>+'Entrate tot e finalizzati'!G63-'Entrate tot e finalizzati'!H63</f>
        <v>6177</v>
      </c>
      <c r="F63" s="36">
        <f>+'Entrate tot e finalizzati'!I63-'Entrate tot e finalizzati'!J63</f>
        <v>6126</v>
      </c>
      <c r="G63" s="36">
        <f>+'Entrate tot e finalizzati'!K63-'Entrate tot e finalizzati'!L63</f>
        <v>6266</v>
      </c>
      <c r="H63" s="36">
        <f>+'Entrate tot e finalizzati'!M63-'Entrate tot e finalizzati'!N63</f>
        <v>8382</v>
      </c>
      <c r="I63" s="36">
        <f>+'Entrate tot e finalizzati'!O63-'Entrate tot e finalizzati'!P63</f>
        <v>8325</v>
      </c>
      <c r="J63" s="36">
        <f>+'Entrate tot e finalizzati'!Q63-'Entrate tot e finalizzati'!R63</f>
        <v>12218</v>
      </c>
      <c r="K63" s="36">
        <f>+'Entrate tot e finalizzati'!S63-'Entrate tot e finalizzati'!T63</f>
        <v>3487</v>
      </c>
      <c r="L63" s="36">
        <f>+'Entrate tot e finalizzati'!U63-'Entrate tot e finalizzati'!V63</f>
        <v>10626</v>
      </c>
      <c r="M63" s="39"/>
      <c r="N63" s="39"/>
      <c r="O63" s="39"/>
      <c r="P63" s="39"/>
      <c r="Q63" s="39"/>
      <c r="R63" s="39"/>
      <c r="S63" s="39"/>
      <c r="T63" s="39"/>
    </row>
    <row r="64" spans="1:20" s="2" customFormat="1" ht="12.75">
      <c r="A64" s="52"/>
      <c r="B64" s="35" t="s">
        <v>30</v>
      </c>
      <c r="C64" s="36">
        <f>+'Entrate tot e finalizzati'!C64-'Entrate tot e finalizzati'!D64</f>
        <v>15530</v>
      </c>
      <c r="D64" s="36">
        <f>+'Entrate tot e finalizzati'!E64-'Entrate tot e finalizzati'!F64</f>
        <v>15530</v>
      </c>
      <c r="E64" s="36">
        <f>+'Entrate tot e finalizzati'!G64-'Entrate tot e finalizzati'!H64</f>
        <v>15530</v>
      </c>
      <c r="F64" s="36">
        <f>+'Entrate tot e finalizzati'!I64-'Entrate tot e finalizzati'!J64</f>
        <v>15530</v>
      </c>
      <c r="G64" s="36">
        <f>+'Entrate tot e finalizzati'!K64-'Entrate tot e finalizzati'!L64</f>
        <v>15375</v>
      </c>
      <c r="H64" s="36">
        <f>+'Entrate tot e finalizzati'!M64-'Entrate tot e finalizzati'!N64</f>
        <v>0</v>
      </c>
      <c r="I64" s="36">
        <f>+'Entrate tot e finalizzati'!O64-'Entrate tot e finalizzati'!P64</f>
        <v>0</v>
      </c>
      <c r="J64" s="36">
        <f>+'Entrate tot e finalizzati'!Q64-'Entrate tot e finalizzati'!R64</f>
        <v>0</v>
      </c>
      <c r="K64" s="36">
        <f>+'Entrate tot e finalizzati'!S64-'Entrate tot e finalizzati'!T64</f>
        <v>0</v>
      </c>
      <c r="L64" s="36">
        <f>+'Entrate tot e finalizzati'!U64-'Entrate tot e finalizzati'!V64</f>
        <v>15064</v>
      </c>
      <c r="M64" s="39"/>
      <c r="N64" s="39"/>
      <c r="O64" s="39"/>
      <c r="P64" s="39"/>
      <c r="Q64" s="39"/>
      <c r="R64" s="39"/>
      <c r="S64" s="39"/>
      <c r="T64" s="39"/>
    </row>
    <row r="65" spans="1:20" s="2" customFormat="1" ht="12.75">
      <c r="A65" s="52"/>
      <c r="B65" s="35" t="s">
        <v>31</v>
      </c>
      <c r="C65" s="36">
        <f>+'Entrate tot e finalizzati'!C65-'Entrate tot e finalizzati'!D65</f>
        <v>722</v>
      </c>
      <c r="D65" s="36">
        <f>+'Entrate tot e finalizzati'!E65-'Entrate tot e finalizzati'!F65</f>
        <v>722</v>
      </c>
      <c r="E65" s="36">
        <f>+'Entrate tot e finalizzati'!G65-'Entrate tot e finalizzati'!H65</f>
        <v>722</v>
      </c>
      <c r="F65" s="36">
        <f>+'Entrate tot e finalizzati'!I65-'Entrate tot e finalizzati'!J65</f>
        <v>722</v>
      </c>
      <c r="G65" s="36">
        <f>+'Entrate tot e finalizzati'!K65-'Entrate tot e finalizzati'!L65</f>
        <v>714</v>
      </c>
      <c r="H65" s="36">
        <f>+'Entrate tot e finalizzati'!M65-'Entrate tot e finalizzati'!N65</f>
        <v>0</v>
      </c>
      <c r="I65" s="36">
        <f>+'Entrate tot e finalizzati'!O65-'Entrate tot e finalizzati'!P65</f>
        <v>0</v>
      </c>
      <c r="J65" s="36">
        <f>+'Entrate tot e finalizzati'!Q65-'Entrate tot e finalizzati'!R65</f>
        <v>0</v>
      </c>
      <c r="K65" s="36">
        <f>+'Entrate tot e finalizzati'!S65-'Entrate tot e finalizzati'!T65</f>
        <v>0</v>
      </c>
      <c r="L65" s="36">
        <f>+'Entrate tot e finalizzati'!U65-'Entrate tot e finalizzati'!V65</f>
        <v>700</v>
      </c>
      <c r="M65" s="39"/>
      <c r="N65" s="39"/>
      <c r="O65" s="39"/>
      <c r="P65" s="39"/>
      <c r="Q65" s="39"/>
      <c r="R65" s="39"/>
      <c r="S65" s="39"/>
      <c r="T65" s="39"/>
    </row>
    <row r="66" spans="1:20" s="2" customFormat="1" ht="12.75">
      <c r="A66" s="52"/>
      <c r="B66" s="35" t="s">
        <v>36</v>
      </c>
      <c r="C66" s="36">
        <f>+'Entrate tot e finalizzati'!C66-'Entrate tot e finalizzati'!D66</f>
        <v>2</v>
      </c>
      <c r="D66" s="36">
        <f>+'Entrate tot e finalizzati'!E66-'Entrate tot e finalizzati'!F66</f>
        <v>2</v>
      </c>
      <c r="E66" s="36">
        <f>+'Entrate tot e finalizzati'!G66-'Entrate tot e finalizzati'!H66</f>
        <v>3614</v>
      </c>
      <c r="F66" s="36">
        <f>+'Entrate tot e finalizzati'!I66-'Entrate tot e finalizzati'!J66</f>
        <v>2</v>
      </c>
      <c r="G66" s="36">
        <f>+'Entrate tot e finalizzati'!K66-'Entrate tot e finalizzati'!L66</f>
        <v>2</v>
      </c>
      <c r="H66" s="36">
        <f>+'Entrate tot e finalizzati'!M66-'Entrate tot e finalizzati'!N66</f>
        <v>0</v>
      </c>
      <c r="I66" s="36">
        <f>+'Entrate tot e finalizzati'!O66-'Entrate tot e finalizzati'!P66</f>
        <v>50</v>
      </c>
      <c r="J66" s="36">
        <f>+'Entrate tot e finalizzati'!Q66-'Entrate tot e finalizzati'!R66</f>
        <v>27</v>
      </c>
      <c r="K66" s="36">
        <f>+'Entrate tot e finalizzati'!S66-'Entrate tot e finalizzati'!T66</f>
        <v>0</v>
      </c>
      <c r="L66" s="36">
        <f>+'Entrate tot e finalizzati'!U66-'Entrate tot e finalizzati'!V66</f>
        <v>0</v>
      </c>
      <c r="M66" s="39"/>
      <c r="N66" s="39"/>
      <c r="O66" s="39"/>
      <c r="P66" s="39"/>
      <c r="Q66" s="39"/>
      <c r="R66" s="39"/>
      <c r="S66" s="39"/>
      <c r="T66" s="39"/>
    </row>
    <row r="67" spans="1:20" s="2" customFormat="1" ht="12.75">
      <c r="A67" s="52"/>
      <c r="B67" s="35" t="s">
        <v>21</v>
      </c>
      <c r="C67" s="36">
        <f>+'Entrate tot e finalizzati'!C67-'Entrate tot e finalizzati'!D67</f>
        <v>493</v>
      </c>
      <c r="D67" s="36">
        <f>+'Entrate tot e finalizzati'!E67-'Entrate tot e finalizzati'!F67</f>
        <v>442</v>
      </c>
      <c r="E67" s="36">
        <f>+'Entrate tot e finalizzati'!G67-'Entrate tot e finalizzati'!H67</f>
        <v>194</v>
      </c>
      <c r="F67" s="36">
        <f>+'Entrate tot e finalizzati'!I67-'Entrate tot e finalizzati'!J67</f>
        <v>235</v>
      </c>
      <c r="G67" s="36">
        <f>+'Entrate tot e finalizzati'!K67-'Entrate tot e finalizzati'!L67</f>
        <v>261</v>
      </c>
      <c r="H67" s="36">
        <f>+'Entrate tot e finalizzati'!M67-'Entrate tot e finalizzati'!N67</f>
        <v>551</v>
      </c>
      <c r="I67" s="36">
        <f>+'Entrate tot e finalizzati'!O67-'Entrate tot e finalizzati'!P67</f>
        <v>559</v>
      </c>
      <c r="J67" s="36">
        <f>+'Entrate tot e finalizzati'!Q67-'Entrate tot e finalizzati'!R67</f>
        <v>321</v>
      </c>
      <c r="K67" s="36">
        <f>+'Entrate tot e finalizzati'!S67-'Entrate tot e finalizzati'!T67</f>
        <v>330</v>
      </c>
      <c r="L67" s="36">
        <f>+'Entrate tot e finalizzati'!U67-'Entrate tot e finalizzati'!V67</f>
        <v>240</v>
      </c>
      <c r="M67" s="39"/>
      <c r="N67" s="39"/>
      <c r="O67" s="39"/>
      <c r="P67" s="39"/>
      <c r="Q67" s="39"/>
      <c r="R67" s="39"/>
      <c r="S67" s="39"/>
      <c r="T67" s="39"/>
    </row>
    <row r="68" spans="1:20" s="2" customFormat="1" ht="12.75">
      <c r="A68" s="52"/>
      <c r="B68" s="35" t="s">
        <v>60</v>
      </c>
      <c r="C68" s="36">
        <f>+'Entrate tot e finalizzati'!C68-'Entrate tot e finalizzati'!D68</f>
        <v>0</v>
      </c>
      <c r="D68" s="36">
        <f>+'Entrate tot e finalizzati'!E68-'Entrate tot e finalizzati'!F68</f>
        <v>0</v>
      </c>
      <c r="E68" s="36">
        <f>+'Entrate tot e finalizzati'!G68-'Entrate tot e finalizzati'!H68</f>
        <v>0</v>
      </c>
      <c r="F68" s="36">
        <f>+'Entrate tot e finalizzati'!I68-'Entrate tot e finalizzati'!J68</f>
        <v>0</v>
      </c>
      <c r="G68" s="36">
        <f>+'Entrate tot e finalizzati'!K68-'Entrate tot e finalizzati'!L68</f>
        <v>0</v>
      </c>
      <c r="H68" s="36">
        <f>+'Entrate tot e finalizzati'!M68-'Entrate tot e finalizzati'!N68</f>
        <v>0</v>
      </c>
      <c r="I68" s="36">
        <f>+'Entrate tot e finalizzati'!O68-'Entrate tot e finalizzati'!P68</f>
        <v>54</v>
      </c>
      <c r="J68" s="36">
        <f>+'Entrate tot e finalizzati'!Q68-'Entrate tot e finalizzati'!R68</f>
        <v>11</v>
      </c>
      <c r="K68" s="36">
        <f>+'Entrate tot e finalizzati'!S68-'Entrate tot e finalizzati'!T68</f>
        <v>10</v>
      </c>
      <c r="L68" s="36">
        <f>+'Entrate tot e finalizzati'!U68-'Entrate tot e finalizzati'!V68</f>
        <v>3</v>
      </c>
      <c r="M68" s="39"/>
      <c r="N68" s="39"/>
      <c r="O68" s="39"/>
      <c r="P68" s="39"/>
      <c r="Q68" s="39"/>
      <c r="R68" s="39"/>
      <c r="S68" s="39"/>
      <c r="T68" s="39"/>
    </row>
    <row r="69" spans="1:20" s="2" customFormat="1" ht="12.75">
      <c r="A69" s="52"/>
      <c r="B69" s="35" t="s">
        <v>32</v>
      </c>
      <c r="C69" s="36">
        <f>+'Entrate tot e finalizzati'!C69-'Entrate tot e finalizzati'!D69</f>
        <v>1291</v>
      </c>
      <c r="D69" s="36">
        <f>+'Entrate tot e finalizzati'!E69-'Entrate tot e finalizzati'!F69</f>
        <v>1291</v>
      </c>
      <c r="E69" s="36">
        <f>+'Entrate tot e finalizzati'!G69-'Entrate tot e finalizzati'!H69</f>
        <v>1291</v>
      </c>
      <c r="F69" s="36">
        <f>+'Entrate tot e finalizzati'!I69-'Entrate tot e finalizzati'!J69</f>
        <v>1291</v>
      </c>
      <c r="G69" s="36">
        <f>+'Entrate tot e finalizzati'!K69-'Entrate tot e finalizzati'!L69</f>
        <v>430</v>
      </c>
      <c r="H69" s="36">
        <f>+'Entrate tot e finalizzati'!M69-'Entrate tot e finalizzati'!N69</f>
        <v>0</v>
      </c>
      <c r="I69" s="36">
        <f>+'Entrate tot e finalizzati'!O69-'Entrate tot e finalizzati'!P69</f>
        <v>0</v>
      </c>
      <c r="J69" s="36">
        <f>+'Entrate tot e finalizzati'!Q69-'Entrate tot e finalizzati'!R69</f>
        <v>0</v>
      </c>
      <c r="K69" s="36">
        <f>+'Entrate tot e finalizzati'!S69-'Entrate tot e finalizzati'!T69</f>
        <v>0</v>
      </c>
      <c r="L69" s="36">
        <f>+'Entrate tot e finalizzati'!U69-'Entrate tot e finalizzati'!V69</f>
        <v>0</v>
      </c>
      <c r="M69" s="39"/>
      <c r="N69" s="39"/>
      <c r="O69" s="39"/>
      <c r="P69" s="39"/>
      <c r="Q69" s="39"/>
      <c r="R69" s="39"/>
      <c r="S69" s="39"/>
      <c r="T69" s="39"/>
    </row>
    <row r="70" spans="1:20" s="2" customFormat="1" ht="12.75">
      <c r="A70" s="52"/>
      <c r="B70" s="35" t="s">
        <v>33</v>
      </c>
      <c r="C70" s="36">
        <f>+'Entrate tot e finalizzati'!C70-'Entrate tot e finalizzati'!D70</f>
        <v>4724</v>
      </c>
      <c r="D70" s="36">
        <f>+'Entrate tot e finalizzati'!E70-'Entrate tot e finalizzati'!F70</f>
        <v>6294</v>
      </c>
      <c r="E70" s="36">
        <f>+'Entrate tot e finalizzati'!G70-'Entrate tot e finalizzati'!H70</f>
        <v>4693</v>
      </c>
      <c r="F70" s="36">
        <f>+'Entrate tot e finalizzati'!I70-'Entrate tot e finalizzati'!J70</f>
        <v>5371</v>
      </c>
      <c r="G70" s="36">
        <f>+'Entrate tot e finalizzati'!K70-'Entrate tot e finalizzati'!L70</f>
        <v>2853</v>
      </c>
      <c r="H70" s="36">
        <f>+'Entrate tot e finalizzati'!M70-'Entrate tot e finalizzati'!N70</f>
        <v>4532</v>
      </c>
      <c r="I70" s="36">
        <f>+'Entrate tot e finalizzati'!O70-'Entrate tot e finalizzati'!P70</f>
        <v>3832</v>
      </c>
      <c r="J70" s="36">
        <f>+'Entrate tot e finalizzati'!Q70-'Entrate tot e finalizzati'!R70</f>
        <v>4617</v>
      </c>
      <c r="K70" s="36">
        <f>+'Entrate tot e finalizzati'!S70-'Entrate tot e finalizzati'!T70</f>
        <v>2499</v>
      </c>
      <c r="L70" s="36">
        <f>+'Entrate tot e finalizzati'!U70-'Entrate tot e finalizzati'!V70</f>
        <v>5445</v>
      </c>
      <c r="M70" s="39"/>
      <c r="N70" s="39"/>
      <c r="O70" s="39"/>
      <c r="P70" s="39"/>
      <c r="Q70" s="39"/>
      <c r="R70" s="39"/>
      <c r="S70" s="39"/>
      <c r="T70" s="39"/>
    </row>
    <row r="71" spans="1:20" s="2" customFormat="1" ht="12.75">
      <c r="A71" s="52"/>
      <c r="B71" s="35" t="s">
        <v>14</v>
      </c>
      <c r="C71" s="36">
        <f>+'Entrate tot e finalizzati'!C71-'Entrate tot e finalizzati'!D71</f>
        <v>1378</v>
      </c>
      <c r="D71" s="36">
        <f>+'Entrate tot e finalizzati'!E71-'Entrate tot e finalizzati'!F71</f>
        <v>0</v>
      </c>
      <c r="E71" s="36">
        <f>+'Entrate tot e finalizzati'!G71-'Entrate tot e finalizzati'!H71</f>
        <v>0</v>
      </c>
      <c r="F71" s="36">
        <f>+'Entrate tot e finalizzati'!I71-'Entrate tot e finalizzati'!J71</f>
        <v>0</v>
      </c>
      <c r="G71" s="36">
        <f>+'Entrate tot e finalizzati'!K71-'Entrate tot e finalizzati'!L71</f>
        <v>0</v>
      </c>
      <c r="H71" s="36">
        <f>+'Entrate tot e finalizzati'!M71-'Entrate tot e finalizzati'!N71</f>
        <v>0</v>
      </c>
      <c r="I71" s="36">
        <f>+'Entrate tot e finalizzati'!O71-'Entrate tot e finalizzati'!P71</f>
        <v>0</v>
      </c>
      <c r="J71" s="36">
        <f>+'Entrate tot e finalizzati'!Q71-'Entrate tot e finalizzati'!R71</f>
        <v>0</v>
      </c>
      <c r="K71" s="36">
        <f>+'Entrate tot e finalizzati'!S71-'Entrate tot e finalizzati'!T71</f>
        <v>0</v>
      </c>
      <c r="L71" s="36">
        <f>+'Entrate tot e finalizzati'!U71-'Entrate tot e finalizzati'!V71</f>
        <v>0</v>
      </c>
      <c r="M71" s="39"/>
      <c r="N71" s="39"/>
      <c r="O71" s="39"/>
      <c r="P71" s="39"/>
      <c r="Q71" s="39"/>
      <c r="R71" s="39"/>
      <c r="S71" s="39"/>
      <c r="T71" s="39"/>
    </row>
    <row r="72" spans="1:20" s="2" customFormat="1" ht="12.75">
      <c r="A72" s="52"/>
      <c r="B72" s="35" t="s">
        <v>35</v>
      </c>
      <c r="C72" s="36">
        <f>+'Entrate tot e finalizzati'!C72-'Entrate tot e finalizzati'!D72</f>
        <v>3</v>
      </c>
      <c r="D72" s="36">
        <f>+'Entrate tot e finalizzati'!E72-'Entrate tot e finalizzati'!F72</f>
        <v>3</v>
      </c>
      <c r="E72" s="36">
        <f>+'Entrate tot e finalizzati'!G72-'Entrate tot e finalizzati'!H72</f>
        <v>1036</v>
      </c>
      <c r="F72" s="36">
        <f>+'Entrate tot e finalizzati'!I72-'Entrate tot e finalizzati'!J72</f>
        <v>1036</v>
      </c>
      <c r="G72" s="36">
        <f>+'Entrate tot e finalizzati'!K72-'Entrate tot e finalizzati'!L72</f>
        <v>12247</v>
      </c>
      <c r="H72" s="36">
        <f>+'Entrate tot e finalizzati'!M72-'Entrate tot e finalizzati'!N72</f>
        <v>19199</v>
      </c>
      <c r="I72" s="36">
        <f>+'Entrate tot e finalizzati'!O72-'Entrate tot e finalizzati'!P72</f>
        <v>14238</v>
      </c>
      <c r="J72" s="36">
        <f>+'Entrate tot e finalizzati'!Q72-'Entrate tot e finalizzati'!R72</f>
        <v>9270</v>
      </c>
      <c r="K72" s="36">
        <f>+'Entrate tot e finalizzati'!S72-'Entrate tot e finalizzati'!T72</f>
        <v>9676</v>
      </c>
      <c r="L72" s="36">
        <f>+'Entrate tot e finalizzati'!U72-'Entrate tot e finalizzati'!V72</f>
        <v>5043</v>
      </c>
      <c r="M72" s="39"/>
      <c r="N72" s="39"/>
      <c r="O72" s="39"/>
      <c r="P72" s="39"/>
      <c r="Q72" s="39"/>
      <c r="R72" s="39"/>
      <c r="S72" s="39"/>
      <c r="T72" s="39"/>
    </row>
    <row r="73" spans="1:20" s="2" customFormat="1" ht="12.75">
      <c r="A73" s="52"/>
      <c r="B73" s="35" t="s">
        <v>53</v>
      </c>
      <c r="C73" s="36">
        <f>+'Entrate tot e finalizzati'!C73-'Entrate tot e finalizzati'!D73</f>
        <v>4868</v>
      </c>
      <c r="D73" s="36">
        <f>+'Entrate tot e finalizzati'!E73-'Entrate tot e finalizzati'!F73</f>
        <v>4014</v>
      </c>
      <c r="E73" s="36">
        <f>+'Entrate tot e finalizzati'!G73-'Entrate tot e finalizzati'!H73</f>
        <v>3779</v>
      </c>
      <c r="F73" s="36">
        <f>+'Entrate tot e finalizzati'!I73-'Entrate tot e finalizzati'!J73</f>
        <v>3450</v>
      </c>
      <c r="G73" s="36">
        <f>+'Entrate tot e finalizzati'!K73-'Entrate tot e finalizzati'!L73</f>
        <v>3306</v>
      </c>
      <c r="H73" s="36">
        <f>+'Entrate tot e finalizzati'!M73-'Entrate tot e finalizzati'!N73</f>
        <v>3260</v>
      </c>
      <c r="I73" s="36">
        <f>+'Entrate tot e finalizzati'!O73-'Entrate tot e finalizzati'!P73</f>
        <v>1585</v>
      </c>
      <c r="J73" s="36">
        <f>+'Entrate tot e finalizzati'!Q73-'Entrate tot e finalizzati'!R73</f>
        <v>1500</v>
      </c>
      <c r="K73" s="36">
        <f>+'Entrate tot e finalizzati'!S73-'Entrate tot e finalizzati'!T73</f>
        <v>1438</v>
      </c>
      <c r="L73" s="36">
        <f>+'Entrate tot e finalizzati'!U73-'Entrate tot e finalizzati'!V73</f>
        <v>1419</v>
      </c>
      <c r="M73" s="39"/>
      <c r="N73" s="39"/>
      <c r="O73" s="39"/>
      <c r="P73" s="39"/>
      <c r="Q73" s="39"/>
      <c r="R73" s="39"/>
      <c r="S73" s="39"/>
      <c r="T73" s="39"/>
    </row>
    <row r="74" spans="1:20" s="2" customFormat="1" ht="12.75">
      <c r="A74" s="103"/>
      <c r="B74" s="57" t="s">
        <v>103</v>
      </c>
      <c r="C74" s="73">
        <f>+'Entrate tot e finalizzati'!C74-'Entrate tot e finalizzati'!D74</f>
        <v>0</v>
      </c>
      <c r="D74" s="84">
        <f>+'Entrate tot e finalizzati'!E74-'Entrate tot e finalizzati'!F74</f>
        <v>0</v>
      </c>
      <c r="E74" s="73">
        <f>+'Entrate tot e finalizzati'!G74-'Entrate tot e finalizzati'!H74</f>
        <v>0</v>
      </c>
      <c r="F74" s="73">
        <f>+'Entrate tot e finalizzati'!I74-'Entrate tot e finalizzati'!J74</f>
        <v>0</v>
      </c>
      <c r="G74" s="73">
        <f>+'Entrate tot e finalizzati'!K74-'Entrate tot e finalizzati'!L74</f>
        <v>0</v>
      </c>
      <c r="H74" s="73">
        <f>+'Entrate tot e finalizzati'!M74-'Entrate tot e finalizzati'!N74</f>
        <v>0</v>
      </c>
      <c r="I74" s="73">
        <f>+'Entrate tot e finalizzati'!O74-'Entrate tot e finalizzati'!P74</f>
        <v>2812</v>
      </c>
      <c r="J74" s="73">
        <f>+'Entrate tot e finalizzati'!Q74-'Entrate tot e finalizzati'!R74</f>
        <v>1113</v>
      </c>
      <c r="K74" s="73">
        <f>+'Entrate tot e finalizzati'!S74-'Entrate tot e finalizzati'!T74</f>
        <v>0</v>
      </c>
      <c r="L74" s="73">
        <f>+'Entrate tot e finalizzati'!U74-'Entrate tot e finalizzati'!V74</f>
        <v>0</v>
      </c>
      <c r="M74" s="39"/>
      <c r="N74" s="39"/>
      <c r="O74" s="39"/>
      <c r="P74" s="39"/>
      <c r="Q74" s="39"/>
      <c r="R74" s="39"/>
      <c r="S74" s="39"/>
      <c r="T74" s="39"/>
    </row>
    <row r="75" spans="1:20" s="2" customFormat="1" ht="12.75">
      <c r="A75" s="27" t="s">
        <v>129</v>
      </c>
      <c r="B75" s="28"/>
      <c r="C75" s="29">
        <f>+'Entrate tot e finalizzati'!C75-'Entrate tot e finalizzati'!D75</f>
        <v>0</v>
      </c>
      <c r="D75" s="29">
        <f>+'Entrate tot e finalizzati'!E75-'Entrate tot e finalizzati'!F75</f>
        <v>0</v>
      </c>
      <c r="E75" s="29">
        <f>+'Entrate tot e finalizzati'!G75-'Entrate tot e finalizzati'!H75</f>
        <v>0</v>
      </c>
      <c r="F75" s="29">
        <f>+'Entrate tot e finalizzati'!I75-'Entrate tot e finalizzati'!J75</f>
        <v>0</v>
      </c>
      <c r="G75" s="29">
        <f>+'Entrate tot e finalizzati'!K75-'Entrate tot e finalizzati'!L75</f>
        <v>0</v>
      </c>
      <c r="H75" s="29">
        <f>+'Entrate tot e finalizzati'!M75-'Entrate tot e finalizzati'!N75</f>
        <v>0</v>
      </c>
      <c r="I75" s="29">
        <f>+'Entrate tot e finalizzati'!O75-'Entrate tot e finalizzati'!P75</f>
        <v>0</v>
      </c>
      <c r="J75" s="29">
        <f>+'Entrate tot e finalizzati'!Q75-'Entrate tot e finalizzati'!R75</f>
        <v>0</v>
      </c>
      <c r="K75" s="29">
        <f>+'Entrate tot e finalizzati'!S75-'Entrate tot e finalizzati'!T75</f>
        <v>0</v>
      </c>
      <c r="L75" s="29">
        <f>+'Entrate tot e finalizzati'!U75-'Entrate tot e finalizzati'!V75</f>
        <v>0</v>
      </c>
      <c r="M75" s="39"/>
      <c r="N75" s="39"/>
      <c r="O75" s="39"/>
      <c r="P75" s="39"/>
      <c r="Q75" s="39"/>
      <c r="R75" s="39"/>
      <c r="S75" s="39"/>
      <c r="T75" s="39"/>
    </row>
    <row r="76" spans="1:20" s="2" customFormat="1" ht="12.75">
      <c r="A76" s="9"/>
      <c r="B76" s="34" t="s">
        <v>17</v>
      </c>
      <c r="C76" s="73">
        <f>+'Entrate tot e finalizzati'!C76-'Entrate tot e finalizzati'!D76</f>
        <v>0</v>
      </c>
      <c r="D76" s="84">
        <f>+'Entrate tot e finalizzati'!E76-'Entrate tot e finalizzati'!F76</f>
        <v>0</v>
      </c>
      <c r="E76" s="73">
        <f>+'Entrate tot e finalizzati'!G76-'Entrate tot e finalizzati'!H76</f>
        <v>0</v>
      </c>
      <c r="F76" s="73">
        <f>+'Entrate tot e finalizzati'!I76-'Entrate tot e finalizzati'!J76</f>
        <v>0</v>
      </c>
      <c r="G76" s="73">
        <f>+'Entrate tot e finalizzati'!K76-'Entrate tot e finalizzati'!L76</f>
        <v>0</v>
      </c>
      <c r="H76" s="73">
        <f>+'Entrate tot e finalizzati'!M76-'Entrate tot e finalizzati'!N76</f>
        <v>0</v>
      </c>
      <c r="I76" s="73">
        <f>+'Entrate tot e finalizzati'!O76-'Entrate tot e finalizzati'!P76</f>
        <v>0</v>
      </c>
      <c r="J76" s="73">
        <f>+'Entrate tot e finalizzati'!Q76-'Entrate tot e finalizzati'!R76</f>
        <v>0</v>
      </c>
      <c r="K76" s="73">
        <f>+'Entrate tot e finalizzati'!S76-'Entrate tot e finalizzati'!T76</f>
        <v>0</v>
      </c>
      <c r="L76" s="73">
        <f>+'Entrate tot e finalizzati'!U76-'Entrate tot e finalizzati'!V76</f>
        <v>0</v>
      </c>
      <c r="M76" s="39"/>
      <c r="N76" s="39"/>
      <c r="O76" s="39"/>
      <c r="P76" s="39"/>
      <c r="Q76" s="39"/>
      <c r="R76" s="39"/>
      <c r="S76" s="39"/>
      <c r="T76" s="39"/>
    </row>
    <row r="77" spans="1:20" s="2" customFormat="1" ht="12.75">
      <c r="A77" s="9"/>
      <c r="B77" s="35" t="s">
        <v>36</v>
      </c>
      <c r="C77" s="73">
        <f>+'Entrate tot e finalizzati'!C77-'Entrate tot e finalizzati'!D77</f>
        <v>0</v>
      </c>
      <c r="D77" s="84">
        <f>+'Entrate tot e finalizzati'!E77-'Entrate tot e finalizzati'!F77</f>
        <v>0</v>
      </c>
      <c r="E77" s="73">
        <f>+'Entrate tot e finalizzati'!G77-'Entrate tot e finalizzati'!H77</f>
        <v>0</v>
      </c>
      <c r="F77" s="73">
        <f>+'Entrate tot e finalizzati'!I77-'Entrate tot e finalizzati'!J77</f>
        <v>0</v>
      </c>
      <c r="G77" s="73">
        <f>+'Entrate tot e finalizzati'!K77-'Entrate tot e finalizzati'!L77</f>
        <v>0</v>
      </c>
      <c r="H77" s="73">
        <f>+'Entrate tot e finalizzati'!M77-'Entrate tot e finalizzati'!N77</f>
        <v>0</v>
      </c>
      <c r="I77" s="73">
        <f>+'Entrate tot e finalizzati'!O77-'Entrate tot e finalizzati'!P77</f>
        <v>0</v>
      </c>
      <c r="J77" s="73">
        <f>+'Entrate tot e finalizzati'!Q77-'Entrate tot e finalizzati'!R77</f>
        <v>0</v>
      </c>
      <c r="K77" s="73">
        <f>+'Entrate tot e finalizzati'!S77-'Entrate tot e finalizzati'!T77</f>
        <v>0</v>
      </c>
      <c r="L77" s="73">
        <f>+'Entrate tot e finalizzati'!U77-'Entrate tot e finalizzati'!V77</f>
        <v>0</v>
      </c>
      <c r="M77" s="39"/>
      <c r="N77" s="39"/>
      <c r="O77" s="39"/>
      <c r="P77" s="39"/>
      <c r="Q77" s="39"/>
      <c r="R77" s="39"/>
      <c r="S77" s="39"/>
      <c r="T77" s="39"/>
    </row>
    <row r="78" spans="1:20" s="2" customFormat="1" ht="12.75">
      <c r="A78" s="9"/>
      <c r="B78" s="35" t="s">
        <v>66</v>
      </c>
      <c r="C78" s="73">
        <f>+'Entrate tot e finalizzati'!C78-'Entrate tot e finalizzati'!D78</f>
        <v>0</v>
      </c>
      <c r="D78" s="84">
        <f>+'Entrate tot e finalizzati'!E78-'Entrate tot e finalizzati'!F78</f>
        <v>0</v>
      </c>
      <c r="E78" s="73">
        <f>+'Entrate tot e finalizzati'!G78-'Entrate tot e finalizzati'!H78</f>
        <v>0</v>
      </c>
      <c r="F78" s="73">
        <f>+'Entrate tot e finalizzati'!I78-'Entrate tot e finalizzati'!J78</f>
        <v>0</v>
      </c>
      <c r="G78" s="73">
        <f>+'Entrate tot e finalizzati'!K78-'Entrate tot e finalizzati'!L78</f>
        <v>0</v>
      </c>
      <c r="H78" s="73">
        <f>+'Entrate tot e finalizzati'!M78-'Entrate tot e finalizzati'!N78</f>
        <v>0</v>
      </c>
      <c r="I78" s="73">
        <f>+'Entrate tot e finalizzati'!O78-'Entrate tot e finalizzati'!P78</f>
        <v>0</v>
      </c>
      <c r="J78" s="73">
        <f>+'Entrate tot e finalizzati'!Q78-'Entrate tot e finalizzati'!R78</f>
        <v>0</v>
      </c>
      <c r="K78" s="73">
        <f>+'Entrate tot e finalizzati'!S78-'Entrate tot e finalizzati'!T78</f>
        <v>0</v>
      </c>
      <c r="L78" s="73">
        <f>+'Entrate tot e finalizzati'!U78-'Entrate tot e finalizzati'!V78</f>
        <v>0</v>
      </c>
      <c r="M78" s="39"/>
      <c r="N78" s="39"/>
      <c r="O78" s="39"/>
      <c r="P78" s="39"/>
      <c r="Q78" s="39"/>
      <c r="R78" s="39"/>
      <c r="S78" s="39"/>
      <c r="T78" s="39"/>
    </row>
    <row r="79" spans="1:20" s="2" customFormat="1" ht="12.75">
      <c r="A79" s="9"/>
      <c r="B79" s="35" t="s">
        <v>72</v>
      </c>
      <c r="C79" s="89">
        <f>+'Entrate tot e finalizzati'!C79-'Entrate tot e finalizzati'!D79</f>
        <v>0</v>
      </c>
      <c r="D79" s="104">
        <f>+'Entrate tot e finalizzati'!E79-'Entrate tot e finalizzati'!F79</f>
        <v>0</v>
      </c>
      <c r="E79" s="89">
        <f>+'Entrate tot e finalizzati'!G79-'Entrate tot e finalizzati'!H79</f>
        <v>0</v>
      </c>
      <c r="F79" s="89">
        <f>+'Entrate tot e finalizzati'!I79-'Entrate tot e finalizzati'!J79</f>
        <v>0</v>
      </c>
      <c r="G79" s="89">
        <f>+'Entrate tot e finalizzati'!K79-'Entrate tot e finalizzati'!L79</f>
        <v>0</v>
      </c>
      <c r="H79" s="89">
        <f>+'Entrate tot e finalizzati'!M79-'Entrate tot e finalizzati'!N79</f>
        <v>0</v>
      </c>
      <c r="I79" s="89">
        <f>+'Entrate tot e finalizzati'!O79-'Entrate tot e finalizzati'!P79</f>
        <v>0</v>
      </c>
      <c r="J79" s="89">
        <f>+'Entrate tot e finalizzati'!Q79-'Entrate tot e finalizzati'!R79</f>
        <v>0</v>
      </c>
      <c r="K79" s="89">
        <f>+'Entrate tot e finalizzati'!S79-'Entrate tot e finalizzati'!T79</f>
        <v>0</v>
      </c>
      <c r="L79" s="89">
        <f>+'Entrate tot e finalizzati'!U79-'Entrate tot e finalizzati'!V79</f>
        <v>0</v>
      </c>
      <c r="M79" s="39"/>
      <c r="N79" s="39"/>
      <c r="O79" s="39"/>
      <c r="P79" s="39"/>
      <c r="Q79" s="39"/>
      <c r="R79" s="39"/>
      <c r="S79" s="39"/>
      <c r="T79" s="39"/>
    </row>
    <row r="80" spans="1:20" s="2" customFormat="1" ht="12.75">
      <c r="A80" s="79" t="s">
        <v>130</v>
      </c>
      <c r="B80" s="96"/>
      <c r="C80" s="106">
        <f>+'Entrate tot e finalizzati'!C80-'Entrate tot e finalizzati'!D80</f>
        <v>276707</v>
      </c>
      <c r="D80" s="106">
        <f>+'Entrate tot e finalizzati'!E80-'Entrate tot e finalizzati'!F80</f>
        <v>276414</v>
      </c>
      <c r="E80" s="106">
        <f>+'Entrate tot e finalizzati'!G80-'Entrate tot e finalizzati'!H80</f>
        <v>287956</v>
      </c>
      <c r="F80" s="106">
        <f>+'Entrate tot e finalizzati'!I80-'Entrate tot e finalizzati'!J80</f>
        <v>282495</v>
      </c>
      <c r="G80" s="106">
        <f>+'Entrate tot e finalizzati'!K80-'Entrate tot e finalizzati'!L80</f>
        <v>298580</v>
      </c>
      <c r="H80" s="106">
        <f>+'Entrate tot e finalizzati'!M80-'Entrate tot e finalizzati'!N80</f>
        <v>308544</v>
      </c>
      <c r="I80" s="106">
        <f>+'Entrate tot e finalizzati'!O80-'Entrate tot e finalizzati'!P80</f>
        <v>326111</v>
      </c>
      <c r="J80" s="106">
        <f>+'Entrate tot e finalizzati'!Q80-'Entrate tot e finalizzati'!R80</f>
        <v>333633</v>
      </c>
      <c r="K80" s="106">
        <f>+'Entrate tot e finalizzati'!S80-'Entrate tot e finalizzati'!T80</f>
        <v>332269</v>
      </c>
      <c r="L80" s="106">
        <f>+'Entrate tot e finalizzati'!U80-'Entrate tot e finalizzati'!V80</f>
        <v>362127</v>
      </c>
      <c r="M80" s="115"/>
      <c r="N80" s="115"/>
      <c r="O80" s="115"/>
      <c r="P80" s="115"/>
      <c r="Q80" s="115"/>
      <c r="R80" s="115"/>
      <c r="S80" s="115"/>
      <c r="T80" s="115"/>
    </row>
    <row r="81" spans="1:20" s="2" customFormat="1" ht="12.75">
      <c r="A81" s="77" t="s">
        <v>100</v>
      </c>
      <c r="B81" s="78"/>
      <c r="C81" s="33">
        <f>+'Entrate tot e finalizzati'!C81-'Entrate tot e finalizzati'!D81</f>
        <v>409</v>
      </c>
      <c r="D81" s="33">
        <f>+'Entrate tot e finalizzati'!E81-'Entrate tot e finalizzati'!F81</f>
        <v>1009</v>
      </c>
      <c r="E81" s="33">
        <f>+'Entrate tot e finalizzati'!G81-'Entrate tot e finalizzati'!H81</f>
        <v>713</v>
      </c>
      <c r="F81" s="33">
        <f>+'Entrate tot e finalizzati'!I81-'Entrate tot e finalizzati'!J81</f>
        <v>771</v>
      </c>
      <c r="G81" s="33">
        <f>+'Entrate tot e finalizzati'!K81-'Entrate tot e finalizzati'!L81</f>
        <v>667</v>
      </c>
      <c r="H81" s="33">
        <f>+'Entrate tot e finalizzati'!M81-'Entrate tot e finalizzati'!N81</f>
        <v>214</v>
      </c>
      <c r="I81" s="33">
        <f>+'Entrate tot e finalizzati'!O81-'Entrate tot e finalizzati'!P81</f>
        <v>420</v>
      </c>
      <c r="J81" s="33">
        <f>+'Entrate tot e finalizzati'!Q81-'Entrate tot e finalizzati'!R81</f>
        <v>378</v>
      </c>
      <c r="K81" s="33">
        <f>+'Entrate tot e finalizzati'!S81-'Entrate tot e finalizzati'!T81</f>
        <v>534</v>
      </c>
      <c r="L81" s="33">
        <f>+'Entrate tot e finalizzati'!U81-'Entrate tot e finalizzati'!V81</f>
        <v>1349</v>
      </c>
      <c r="M81" s="116"/>
      <c r="N81" s="116"/>
      <c r="O81" s="116"/>
      <c r="P81" s="116"/>
      <c r="Q81" s="116"/>
      <c r="R81" s="116"/>
      <c r="S81" s="116"/>
      <c r="T81" s="116"/>
    </row>
    <row r="82" spans="1:20" s="2" customFormat="1" ht="12.75">
      <c r="A82" s="52"/>
      <c r="B82" s="35" t="s">
        <v>32</v>
      </c>
      <c r="C82" s="73">
        <f>+'Entrate tot e finalizzati'!C82-'Entrate tot e finalizzati'!D82</f>
        <v>0</v>
      </c>
      <c r="D82" s="84">
        <f>+'Entrate tot e finalizzati'!E82-'Entrate tot e finalizzati'!F82</f>
        <v>0</v>
      </c>
      <c r="E82" s="73">
        <f>+'Entrate tot e finalizzati'!G82-'Entrate tot e finalizzati'!H82</f>
        <v>0</v>
      </c>
      <c r="F82" s="73">
        <f>+'Entrate tot e finalizzati'!I82-'Entrate tot e finalizzati'!J82</f>
        <v>207</v>
      </c>
      <c r="G82" s="73">
        <f>+'Entrate tot e finalizzati'!K82-'Entrate tot e finalizzati'!L82</f>
        <v>207</v>
      </c>
      <c r="H82" s="73">
        <f>+'Entrate tot e finalizzati'!M82-'Entrate tot e finalizzati'!N82</f>
        <v>0</v>
      </c>
      <c r="I82" s="73">
        <f>+'Entrate tot e finalizzati'!O82-'Entrate tot e finalizzati'!P82</f>
        <v>0</v>
      </c>
      <c r="J82" s="73">
        <f>+'Entrate tot e finalizzati'!Q82-'Entrate tot e finalizzati'!R82</f>
        <v>0</v>
      </c>
      <c r="K82" s="73">
        <f>+'Entrate tot e finalizzati'!S82-'Entrate tot e finalizzati'!T82</f>
        <v>0</v>
      </c>
      <c r="L82" s="73">
        <f>+'Entrate tot e finalizzati'!U82-'Entrate tot e finalizzati'!V82</f>
        <v>1100</v>
      </c>
      <c r="M82" s="39"/>
      <c r="N82" s="39"/>
      <c r="O82" s="39"/>
      <c r="P82" s="39"/>
      <c r="Q82" s="39"/>
      <c r="R82" s="39"/>
      <c r="S82" s="39"/>
      <c r="T82" s="39"/>
    </row>
    <row r="83" spans="1:20" s="2" customFormat="1" ht="12.75">
      <c r="A83" s="52"/>
      <c r="B83" s="35" t="s">
        <v>72</v>
      </c>
      <c r="C83" s="73">
        <f>+'Entrate tot e finalizzati'!C83-'Entrate tot e finalizzati'!D83</f>
        <v>0</v>
      </c>
      <c r="D83" s="84">
        <f>+'Entrate tot e finalizzati'!E83-'Entrate tot e finalizzati'!F83</f>
        <v>0</v>
      </c>
      <c r="E83" s="73">
        <f>+'Entrate tot e finalizzati'!G83-'Entrate tot e finalizzati'!H83</f>
        <v>0</v>
      </c>
      <c r="F83" s="73">
        <f>+'Entrate tot e finalizzati'!I83-'Entrate tot e finalizzati'!J83</f>
        <v>0</v>
      </c>
      <c r="G83" s="73">
        <f>+'Entrate tot e finalizzati'!K83-'Entrate tot e finalizzati'!L83</f>
        <v>0</v>
      </c>
      <c r="H83" s="73">
        <f>+'Entrate tot e finalizzati'!M83-'Entrate tot e finalizzati'!N83</f>
        <v>0</v>
      </c>
      <c r="I83" s="73">
        <f>+'Entrate tot e finalizzati'!O83-'Entrate tot e finalizzati'!P83</f>
        <v>0</v>
      </c>
      <c r="J83" s="73">
        <f>+'Entrate tot e finalizzati'!Q83-'Entrate tot e finalizzati'!R83</f>
        <v>0</v>
      </c>
      <c r="K83" s="73">
        <f>+'Entrate tot e finalizzati'!S83-'Entrate tot e finalizzati'!T83</f>
        <v>0</v>
      </c>
      <c r="L83" s="73">
        <f>+'Entrate tot e finalizzati'!U83-'Entrate tot e finalizzati'!V83</f>
        <v>0</v>
      </c>
      <c r="M83" s="39"/>
      <c r="N83" s="39"/>
      <c r="O83" s="39"/>
      <c r="P83" s="39"/>
      <c r="Q83" s="39"/>
      <c r="R83" s="39"/>
      <c r="S83" s="39"/>
      <c r="T83" s="39"/>
    </row>
    <row r="84" spans="1:20" s="2" customFormat="1" ht="12.75">
      <c r="A84" s="52"/>
      <c r="B84" s="10" t="s">
        <v>24</v>
      </c>
      <c r="C84" s="73">
        <f>+'Entrate tot e finalizzati'!C84-'Entrate tot e finalizzati'!D84</f>
        <v>82</v>
      </c>
      <c r="D84" s="84">
        <f>+'Entrate tot e finalizzati'!E84-'Entrate tot e finalizzati'!F84</f>
        <v>232</v>
      </c>
      <c r="E84" s="73">
        <f>+'Entrate tot e finalizzati'!G84-'Entrate tot e finalizzati'!H84</f>
        <v>602</v>
      </c>
      <c r="F84" s="73">
        <f>+'Entrate tot e finalizzati'!I84-'Entrate tot e finalizzati'!J84</f>
        <v>564</v>
      </c>
      <c r="G84" s="73">
        <f>+'Entrate tot e finalizzati'!K84-'Entrate tot e finalizzati'!L84</f>
        <v>183</v>
      </c>
      <c r="H84" s="73">
        <f>+'Entrate tot e finalizzati'!M84-'Entrate tot e finalizzati'!N84</f>
        <v>163</v>
      </c>
      <c r="I84" s="73">
        <f>+'Entrate tot e finalizzati'!O84-'Entrate tot e finalizzati'!P84</f>
        <v>283</v>
      </c>
      <c r="J84" s="73">
        <f>+'Entrate tot e finalizzati'!Q84-'Entrate tot e finalizzati'!R84</f>
        <v>325</v>
      </c>
      <c r="K84" s="73">
        <f>+'Entrate tot e finalizzati'!S84-'Entrate tot e finalizzati'!T84</f>
        <v>534</v>
      </c>
      <c r="L84" s="73">
        <f>+'Entrate tot e finalizzati'!U84-'Entrate tot e finalizzati'!V84</f>
        <v>249</v>
      </c>
      <c r="M84" s="39"/>
      <c r="N84" s="39"/>
      <c r="O84" s="39"/>
      <c r="P84" s="39"/>
      <c r="Q84" s="39"/>
      <c r="R84" s="39"/>
      <c r="S84" s="39"/>
      <c r="T84" s="39"/>
    </row>
    <row r="85" spans="1:20" s="2" customFormat="1" ht="12.75">
      <c r="A85" s="52"/>
      <c r="B85" s="34" t="s">
        <v>19</v>
      </c>
      <c r="C85" s="73">
        <f>+'Entrate tot e finalizzati'!C85-'Entrate tot e finalizzati'!D85</f>
        <v>0</v>
      </c>
      <c r="D85" s="84">
        <f>+'Entrate tot e finalizzati'!E85-'Entrate tot e finalizzati'!F85</f>
        <v>0</v>
      </c>
      <c r="E85" s="73">
        <f>+'Entrate tot e finalizzati'!G85-'Entrate tot e finalizzati'!H85</f>
        <v>0</v>
      </c>
      <c r="F85" s="73">
        <f>+'Entrate tot e finalizzati'!I85-'Entrate tot e finalizzati'!J85</f>
        <v>0</v>
      </c>
      <c r="G85" s="73">
        <f>+'Entrate tot e finalizzati'!K85-'Entrate tot e finalizzati'!L85</f>
        <v>32</v>
      </c>
      <c r="H85" s="73">
        <f>+'Entrate tot e finalizzati'!M85-'Entrate tot e finalizzati'!N85</f>
        <v>51</v>
      </c>
      <c r="I85" s="73">
        <f>+'Entrate tot e finalizzati'!O85-'Entrate tot e finalizzati'!P85</f>
        <v>29</v>
      </c>
      <c r="J85" s="73">
        <f>+'Entrate tot e finalizzati'!Q85-'Entrate tot e finalizzati'!R85</f>
        <v>0</v>
      </c>
      <c r="K85" s="73">
        <f>+'Entrate tot e finalizzati'!S85-'Entrate tot e finalizzati'!T85</f>
        <v>0</v>
      </c>
      <c r="L85" s="73">
        <f>+'Entrate tot e finalizzati'!U85-'Entrate tot e finalizzati'!V85</f>
        <v>0</v>
      </c>
      <c r="M85" s="39"/>
      <c r="N85" s="39"/>
      <c r="O85" s="39"/>
      <c r="P85" s="39"/>
      <c r="Q85" s="39"/>
      <c r="R85" s="39"/>
      <c r="S85" s="39"/>
      <c r="T85" s="39"/>
    </row>
    <row r="86" spans="1:20" s="2" customFormat="1" ht="12.75">
      <c r="A86" s="52"/>
      <c r="B86" s="35" t="s">
        <v>35</v>
      </c>
      <c r="C86" s="73">
        <f>+'Entrate tot e finalizzati'!C86-'Entrate tot e finalizzati'!D86</f>
        <v>2</v>
      </c>
      <c r="D86" s="84">
        <f>+'Entrate tot e finalizzati'!E86-'Entrate tot e finalizzati'!F86</f>
        <v>2</v>
      </c>
      <c r="E86" s="73">
        <f>+'Entrate tot e finalizzati'!G86-'Entrate tot e finalizzati'!H86</f>
        <v>0</v>
      </c>
      <c r="F86" s="73">
        <f>+'Entrate tot e finalizzati'!I86-'Entrate tot e finalizzati'!J86</f>
        <v>0</v>
      </c>
      <c r="G86" s="73">
        <f>+'Entrate tot e finalizzati'!K86-'Entrate tot e finalizzati'!L86</f>
        <v>0</v>
      </c>
      <c r="H86" s="73">
        <f>+'Entrate tot e finalizzati'!M86-'Entrate tot e finalizzati'!N86</f>
        <v>0</v>
      </c>
      <c r="I86" s="73">
        <f>+'Entrate tot e finalizzati'!O86-'Entrate tot e finalizzati'!P86</f>
        <v>0</v>
      </c>
      <c r="J86" s="73">
        <f>+'Entrate tot e finalizzati'!Q86-'Entrate tot e finalizzati'!R86</f>
        <v>0</v>
      </c>
      <c r="K86" s="73">
        <f>+'Entrate tot e finalizzati'!S86-'Entrate tot e finalizzati'!T86</f>
        <v>0</v>
      </c>
      <c r="L86" s="73">
        <f>+'Entrate tot e finalizzati'!U86-'Entrate tot e finalizzati'!V86</f>
        <v>0</v>
      </c>
      <c r="M86" s="39"/>
      <c r="N86" s="39"/>
      <c r="O86" s="39"/>
      <c r="P86" s="39"/>
      <c r="Q86" s="39"/>
      <c r="R86" s="39"/>
      <c r="S86" s="39"/>
      <c r="T86" s="39"/>
    </row>
    <row r="87" spans="1:20" s="2" customFormat="1" ht="12.75">
      <c r="A87" s="52"/>
      <c r="B87" s="35" t="s">
        <v>111</v>
      </c>
      <c r="C87" s="73">
        <f>+'Entrate tot e finalizzati'!C87-'Entrate tot e finalizzati'!D87</f>
        <v>0</v>
      </c>
      <c r="D87" s="84">
        <f>+'Entrate tot e finalizzati'!E87-'Entrate tot e finalizzati'!F87</f>
        <v>0</v>
      </c>
      <c r="E87" s="73">
        <f>+'Entrate tot e finalizzati'!G87-'Entrate tot e finalizzati'!H87</f>
        <v>0</v>
      </c>
      <c r="F87" s="73">
        <f>+'Entrate tot e finalizzati'!I87-'Entrate tot e finalizzati'!J87</f>
        <v>0</v>
      </c>
      <c r="G87" s="73">
        <f>+'Entrate tot e finalizzati'!K87-'Entrate tot e finalizzati'!L87</f>
        <v>0</v>
      </c>
      <c r="H87" s="73">
        <f>+'Entrate tot e finalizzati'!M87-'Entrate tot e finalizzati'!N87</f>
        <v>0</v>
      </c>
      <c r="I87" s="73">
        <f>+'Entrate tot e finalizzati'!O87-'Entrate tot e finalizzati'!P87</f>
        <v>0</v>
      </c>
      <c r="J87" s="73">
        <f>+'Entrate tot e finalizzati'!Q87-'Entrate tot e finalizzati'!R87</f>
        <v>0</v>
      </c>
      <c r="K87" s="73">
        <f>+'Entrate tot e finalizzati'!S87-'Entrate tot e finalizzati'!T87</f>
        <v>0</v>
      </c>
      <c r="L87" s="73">
        <f>+'Entrate tot e finalizzati'!U87-'Entrate tot e finalizzati'!V87</f>
        <v>0</v>
      </c>
      <c r="M87" s="39"/>
      <c r="N87" s="39"/>
      <c r="O87" s="39"/>
      <c r="P87" s="39"/>
      <c r="Q87" s="39"/>
      <c r="R87" s="39"/>
      <c r="S87" s="39"/>
      <c r="T87" s="39"/>
    </row>
    <row r="88" spans="1:20" s="2" customFormat="1" ht="12.75">
      <c r="A88" s="52"/>
      <c r="B88" s="35" t="s">
        <v>14</v>
      </c>
      <c r="C88" s="73">
        <f>+'Entrate tot e finalizzati'!C88-'Entrate tot e finalizzati'!D88</f>
        <v>56</v>
      </c>
      <c r="D88" s="84">
        <f>+'Entrate tot e finalizzati'!E88-'Entrate tot e finalizzati'!F88</f>
        <v>0</v>
      </c>
      <c r="E88" s="73">
        <f>+'Entrate tot e finalizzati'!G88-'Entrate tot e finalizzati'!H88</f>
        <v>111</v>
      </c>
      <c r="F88" s="73">
        <f>+'Entrate tot e finalizzati'!I88-'Entrate tot e finalizzati'!J88</f>
        <v>0</v>
      </c>
      <c r="G88" s="73">
        <f>+'Entrate tot e finalizzati'!K88-'Entrate tot e finalizzati'!L88</f>
        <v>0</v>
      </c>
      <c r="H88" s="73">
        <f>+'Entrate tot e finalizzati'!M88-'Entrate tot e finalizzati'!N88</f>
        <v>0</v>
      </c>
      <c r="I88" s="73">
        <f>+'Entrate tot e finalizzati'!O88-'Entrate tot e finalizzati'!P88</f>
        <v>108</v>
      </c>
      <c r="J88" s="73">
        <f>+'Entrate tot e finalizzati'!Q88-'Entrate tot e finalizzati'!R88</f>
        <v>53</v>
      </c>
      <c r="K88" s="73">
        <f>+'Entrate tot e finalizzati'!S88-'Entrate tot e finalizzati'!T88</f>
        <v>0</v>
      </c>
      <c r="L88" s="73">
        <f>+'Entrate tot e finalizzati'!U88-'Entrate tot e finalizzati'!V88</f>
        <v>0</v>
      </c>
      <c r="M88" s="39"/>
      <c r="N88" s="39"/>
      <c r="O88" s="39"/>
      <c r="P88" s="39"/>
      <c r="Q88" s="39"/>
      <c r="R88" s="39"/>
      <c r="S88" s="39"/>
      <c r="T88" s="39"/>
    </row>
    <row r="89" spans="1:20" s="2" customFormat="1" ht="12.75">
      <c r="A89" s="56"/>
      <c r="B89" s="57" t="s">
        <v>64</v>
      </c>
      <c r="C89" s="73">
        <f>+'Entrate tot e finalizzati'!C89-'Entrate tot e finalizzati'!D89</f>
        <v>269</v>
      </c>
      <c r="D89" s="84">
        <f>+'Entrate tot e finalizzati'!E89-'Entrate tot e finalizzati'!F89</f>
        <v>775</v>
      </c>
      <c r="E89" s="73">
        <f>+'Entrate tot e finalizzati'!G89-'Entrate tot e finalizzati'!H89</f>
        <v>0</v>
      </c>
      <c r="F89" s="73">
        <f>+'Entrate tot e finalizzati'!I89-'Entrate tot e finalizzati'!J89</f>
        <v>0</v>
      </c>
      <c r="G89" s="73">
        <f>+'Entrate tot e finalizzati'!K89-'Entrate tot e finalizzati'!L89</f>
        <v>245</v>
      </c>
      <c r="H89" s="73">
        <f>+'Entrate tot e finalizzati'!M89-'Entrate tot e finalizzati'!N89</f>
        <v>0</v>
      </c>
      <c r="I89" s="73">
        <f>+'Entrate tot e finalizzati'!O89-'Entrate tot e finalizzati'!P89</f>
        <v>0</v>
      </c>
      <c r="J89" s="73">
        <f>+'Entrate tot e finalizzati'!Q89-'Entrate tot e finalizzati'!R89</f>
        <v>0</v>
      </c>
      <c r="K89" s="73">
        <f>+'Entrate tot e finalizzati'!S89-'Entrate tot e finalizzati'!T89</f>
        <v>0</v>
      </c>
      <c r="L89" s="73">
        <f>+'Entrate tot e finalizzati'!U89-'Entrate tot e finalizzati'!V89</f>
        <v>0</v>
      </c>
      <c r="M89" s="39"/>
      <c r="N89" s="39"/>
      <c r="O89" s="39"/>
      <c r="P89" s="39"/>
      <c r="Q89" s="39"/>
      <c r="R89" s="39"/>
      <c r="S89" s="39"/>
      <c r="T89" s="39"/>
    </row>
    <row r="90" spans="1:20" s="2" customFormat="1" ht="12.75">
      <c r="A90" s="27" t="s">
        <v>99</v>
      </c>
      <c r="B90" s="28"/>
      <c r="C90" s="29">
        <f>+'Entrate tot e finalizzati'!C90-'Entrate tot e finalizzati'!D90</f>
        <v>12416</v>
      </c>
      <c r="D90" s="29">
        <f>+'Entrate tot e finalizzati'!E90-'Entrate tot e finalizzati'!F90</f>
        <v>13287</v>
      </c>
      <c r="E90" s="29">
        <f>+'Entrate tot e finalizzati'!G90-'Entrate tot e finalizzati'!H90</f>
        <v>14526</v>
      </c>
      <c r="F90" s="29">
        <f>+'Entrate tot e finalizzati'!I90-'Entrate tot e finalizzati'!J90</f>
        <v>13736</v>
      </c>
      <c r="G90" s="29">
        <f>+'Entrate tot e finalizzati'!K90-'Entrate tot e finalizzati'!L90</f>
        <v>15608</v>
      </c>
      <c r="H90" s="29">
        <f>+'Entrate tot e finalizzati'!M90-'Entrate tot e finalizzati'!N90</f>
        <v>18402</v>
      </c>
      <c r="I90" s="29">
        <f>+'Entrate tot e finalizzati'!O90-'Entrate tot e finalizzati'!P90</f>
        <v>25804</v>
      </c>
      <c r="J90" s="29">
        <f>+'Entrate tot e finalizzati'!Q90-'Entrate tot e finalizzati'!R90</f>
        <v>30478</v>
      </c>
      <c r="K90" s="29">
        <f>+'Entrate tot e finalizzati'!S90-'Entrate tot e finalizzati'!T90</f>
        <v>44489</v>
      </c>
      <c r="L90" s="29">
        <f>+'Entrate tot e finalizzati'!U90-'Entrate tot e finalizzati'!V90</f>
        <v>50029</v>
      </c>
      <c r="M90" s="39"/>
      <c r="N90" s="39"/>
      <c r="O90" s="39"/>
      <c r="P90" s="39"/>
      <c r="Q90" s="39"/>
      <c r="R90" s="39"/>
      <c r="S90" s="39"/>
      <c r="T90" s="39"/>
    </row>
    <row r="91" spans="1:20" s="2" customFormat="1" ht="12.75">
      <c r="A91" s="63"/>
      <c r="B91" s="35" t="s">
        <v>36</v>
      </c>
      <c r="C91" s="73">
        <f>+'Entrate tot e finalizzati'!C91-'Entrate tot e finalizzati'!D91</f>
        <v>52</v>
      </c>
      <c r="D91" s="84">
        <f>+'Entrate tot e finalizzati'!E91-'Entrate tot e finalizzati'!F91</f>
        <v>2</v>
      </c>
      <c r="E91" s="73">
        <f>+'Entrate tot e finalizzati'!G91-'Entrate tot e finalizzati'!H91</f>
        <v>17</v>
      </c>
      <c r="F91" s="73">
        <f>+'Entrate tot e finalizzati'!I91-'Entrate tot e finalizzati'!J91</f>
        <v>31</v>
      </c>
      <c r="G91" s="73">
        <f>+'Entrate tot e finalizzati'!K91-'Entrate tot e finalizzati'!L91</f>
        <v>8</v>
      </c>
      <c r="H91" s="73">
        <f>+'Entrate tot e finalizzati'!M91-'Entrate tot e finalizzati'!N91</f>
        <v>3</v>
      </c>
      <c r="I91" s="73">
        <f>+'Entrate tot e finalizzati'!O91-'Entrate tot e finalizzati'!P91</f>
        <v>0</v>
      </c>
      <c r="J91" s="73">
        <f>+'Entrate tot e finalizzati'!Q91-'Entrate tot e finalizzati'!R91</f>
        <v>8</v>
      </c>
      <c r="K91" s="73">
        <f>+'Entrate tot e finalizzati'!S91-'Entrate tot e finalizzati'!T91</f>
        <v>3</v>
      </c>
      <c r="L91" s="73">
        <f>+'Entrate tot e finalizzati'!U91-'Entrate tot e finalizzati'!V91</f>
        <v>0</v>
      </c>
      <c r="M91" s="39"/>
      <c r="N91" s="39"/>
      <c r="O91" s="39"/>
      <c r="P91" s="39"/>
      <c r="Q91" s="39"/>
      <c r="R91" s="39"/>
      <c r="S91" s="39"/>
      <c r="T91" s="39"/>
    </row>
    <row r="92" spans="1:20" s="2" customFormat="1" ht="12.75">
      <c r="A92" s="63"/>
      <c r="B92" s="34" t="s">
        <v>17</v>
      </c>
      <c r="C92" s="73">
        <f>+'Entrate tot e finalizzati'!C92-'Entrate tot e finalizzati'!D92</f>
        <v>0</v>
      </c>
      <c r="D92" s="84">
        <f>+'Entrate tot e finalizzati'!E92-'Entrate tot e finalizzati'!F92</f>
        <v>0</v>
      </c>
      <c r="E92" s="73">
        <f>+'Entrate tot e finalizzati'!G92-'Entrate tot e finalizzati'!H92</f>
        <v>0</v>
      </c>
      <c r="F92" s="73">
        <f>+'Entrate tot e finalizzati'!I92-'Entrate tot e finalizzati'!J92</f>
        <v>0</v>
      </c>
      <c r="G92" s="73">
        <f>+'Entrate tot e finalizzati'!K92-'Entrate tot e finalizzati'!L92</f>
        <v>0</v>
      </c>
      <c r="H92" s="73">
        <f>+'Entrate tot e finalizzati'!M92-'Entrate tot e finalizzati'!N92</f>
        <v>0</v>
      </c>
      <c r="I92" s="73">
        <f>+'Entrate tot e finalizzati'!O92-'Entrate tot e finalizzati'!P92</f>
        <v>0</v>
      </c>
      <c r="J92" s="73">
        <f>+'Entrate tot e finalizzati'!Q92-'Entrate tot e finalizzati'!R92</f>
        <v>0</v>
      </c>
      <c r="K92" s="73">
        <f>+'Entrate tot e finalizzati'!S92-'Entrate tot e finalizzati'!T92</f>
        <v>0</v>
      </c>
      <c r="L92" s="73">
        <f>+'Entrate tot e finalizzati'!U92-'Entrate tot e finalizzati'!V92</f>
        <v>0</v>
      </c>
      <c r="M92" s="39"/>
      <c r="N92" s="39"/>
      <c r="O92" s="39"/>
      <c r="P92" s="39"/>
      <c r="Q92" s="39"/>
      <c r="R92" s="39"/>
      <c r="S92" s="39"/>
      <c r="T92" s="39"/>
    </row>
    <row r="93" spans="1:20" s="2" customFormat="1" ht="12.75">
      <c r="A93" s="63"/>
      <c r="B93" s="35" t="s">
        <v>72</v>
      </c>
      <c r="C93" s="73">
        <f>+'Entrate tot e finalizzati'!C93-'Entrate tot e finalizzati'!D93</f>
        <v>0</v>
      </c>
      <c r="D93" s="84">
        <f>+'Entrate tot e finalizzati'!E93-'Entrate tot e finalizzati'!F93</f>
        <v>0</v>
      </c>
      <c r="E93" s="73">
        <f>+'Entrate tot e finalizzati'!G93-'Entrate tot e finalizzati'!H93</f>
        <v>0</v>
      </c>
      <c r="F93" s="73">
        <f>+'Entrate tot e finalizzati'!I93-'Entrate tot e finalizzati'!J93</f>
        <v>0</v>
      </c>
      <c r="G93" s="73">
        <f>+'Entrate tot e finalizzati'!K93-'Entrate tot e finalizzati'!L93</f>
        <v>0</v>
      </c>
      <c r="H93" s="73">
        <f>+'Entrate tot e finalizzati'!M93-'Entrate tot e finalizzati'!N93</f>
        <v>0</v>
      </c>
      <c r="I93" s="73">
        <f>+'Entrate tot e finalizzati'!O93-'Entrate tot e finalizzati'!P93</f>
        <v>0</v>
      </c>
      <c r="J93" s="73">
        <f>+'Entrate tot e finalizzati'!Q93-'Entrate tot e finalizzati'!R93</f>
        <v>0</v>
      </c>
      <c r="K93" s="73">
        <f>+'Entrate tot e finalizzati'!S93-'Entrate tot e finalizzati'!T93</f>
        <v>0</v>
      </c>
      <c r="L93" s="73">
        <f>+'Entrate tot e finalizzati'!U93-'Entrate tot e finalizzati'!V93</f>
        <v>4</v>
      </c>
      <c r="M93" s="39"/>
      <c r="N93" s="39"/>
      <c r="O93" s="39"/>
      <c r="P93" s="39"/>
      <c r="Q93" s="39"/>
      <c r="R93" s="39"/>
      <c r="S93" s="39"/>
      <c r="T93" s="39"/>
    </row>
    <row r="94" spans="1:20" s="2" customFormat="1" ht="12.75">
      <c r="A94" s="15"/>
      <c r="B94" s="10" t="s">
        <v>28</v>
      </c>
      <c r="C94" s="73">
        <f>+'Entrate tot e finalizzati'!C94-'Entrate tot e finalizzati'!D94</f>
        <v>12</v>
      </c>
      <c r="D94" s="84">
        <f>+'Entrate tot e finalizzati'!E94-'Entrate tot e finalizzati'!F94</f>
        <v>7</v>
      </c>
      <c r="E94" s="73">
        <f>+'Entrate tot e finalizzati'!G94-'Entrate tot e finalizzati'!H94</f>
        <v>4</v>
      </c>
      <c r="F94" s="73">
        <f>+'Entrate tot e finalizzati'!I94-'Entrate tot e finalizzati'!J94</f>
        <v>2</v>
      </c>
      <c r="G94" s="73">
        <f>+'Entrate tot e finalizzati'!K94-'Entrate tot e finalizzati'!L94</f>
        <v>3</v>
      </c>
      <c r="H94" s="73">
        <f>+'Entrate tot e finalizzati'!M94-'Entrate tot e finalizzati'!N94</f>
        <v>14</v>
      </c>
      <c r="I94" s="73">
        <f>+'Entrate tot e finalizzati'!O94-'Entrate tot e finalizzati'!P94</f>
        <v>1</v>
      </c>
      <c r="J94" s="73">
        <f>+'Entrate tot e finalizzati'!Q94-'Entrate tot e finalizzati'!R94</f>
        <v>0</v>
      </c>
      <c r="K94" s="73">
        <f>+'Entrate tot e finalizzati'!S94-'Entrate tot e finalizzati'!T94</f>
        <v>0</v>
      </c>
      <c r="L94" s="73">
        <f>+'Entrate tot e finalizzati'!U94-'Entrate tot e finalizzati'!V94</f>
        <v>0</v>
      </c>
      <c r="M94" s="39"/>
      <c r="N94" s="39"/>
      <c r="O94" s="39"/>
      <c r="P94" s="39"/>
      <c r="Q94" s="39"/>
      <c r="R94" s="39"/>
      <c r="S94" s="39"/>
      <c r="T94" s="39"/>
    </row>
    <row r="95" spans="1:20" s="2" customFormat="1" ht="12.75">
      <c r="A95" s="15"/>
      <c r="B95" s="10" t="s">
        <v>65</v>
      </c>
      <c r="C95" s="73">
        <f>+'Entrate tot e finalizzati'!C95-'Entrate tot e finalizzati'!D95</f>
        <v>1029</v>
      </c>
      <c r="D95" s="84">
        <f>+'Entrate tot e finalizzati'!E95-'Entrate tot e finalizzati'!F95</f>
        <v>1229</v>
      </c>
      <c r="E95" s="73">
        <f>+'Entrate tot e finalizzati'!G95-'Entrate tot e finalizzati'!H95</f>
        <v>1515</v>
      </c>
      <c r="F95" s="73">
        <f>+'Entrate tot e finalizzati'!I95-'Entrate tot e finalizzati'!J95</f>
        <v>1298</v>
      </c>
      <c r="G95" s="73">
        <f>+'Entrate tot e finalizzati'!K95-'Entrate tot e finalizzati'!L95</f>
        <v>1286</v>
      </c>
      <c r="H95" s="73">
        <f>+'Entrate tot e finalizzati'!M95-'Entrate tot e finalizzati'!N95</f>
        <v>1693</v>
      </c>
      <c r="I95" s="73">
        <f>+'Entrate tot e finalizzati'!O95-'Entrate tot e finalizzati'!P95</f>
        <v>2554</v>
      </c>
      <c r="J95" s="73">
        <f>+'Entrate tot e finalizzati'!Q95-'Entrate tot e finalizzati'!R95</f>
        <v>3008</v>
      </c>
      <c r="K95" s="73">
        <f>+'Entrate tot e finalizzati'!S95-'Entrate tot e finalizzati'!T95</f>
        <v>5539</v>
      </c>
      <c r="L95" s="73">
        <f>+'Entrate tot e finalizzati'!U95-'Entrate tot e finalizzati'!V95</f>
        <v>4266</v>
      </c>
      <c r="M95" s="39"/>
      <c r="N95" s="39"/>
      <c r="O95" s="39"/>
      <c r="P95" s="39"/>
      <c r="Q95" s="39"/>
      <c r="R95" s="39"/>
      <c r="S95" s="39"/>
      <c r="T95" s="39"/>
    </row>
    <row r="96" spans="1:20" s="2" customFormat="1" ht="12.75">
      <c r="A96" s="15"/>
      <c r="B96" s="35" t="s">
        <v>82</v>
      </c>
      <c r="C96" s="73">
        <f>+'Entrate tot e finalizzati'!C96-'Entrate tot e finalizzati'!D96</f>
        <v>879</v>
      </c>
      <c r="D96" s="84">
        <f>+'Entrate tot e finalizzati'!E96-'Entrate tot e finalizzati'!F96</f>
        <v>823</v>
      </c>
      <c r="E96" s="73">
        <f>+'Entrate tot e finalizzati'!G96-'Entrate tot e finalizzati'!H96</f>
        <v>989</v>
      </c>
      <c r="F96" s="73">
        <f>+'Entrate tot e finalizzati'!I96-'Entrate tot e finalizzati'!J96</f>
        <v>1486</v>
      </c>
      <c r="G96" s="73">
        <f>+'Entrate tot e finalizzati'!K96-'Entrate tot e finalizzati'!L96</f>
        <v>1233</v>
      </c>
      <c r="H96" s="73">
        <f>+'Entrate tot e finalizzati'!M96-'Entrate tot e finalizzati'!N96</f>
        <v>1486</v>
      </c>
      <c r="I96" s="73">
        <f>+'Entrate tot e finalizzati'!O96-'Entrate tot e finalizzati'!P96</f>
        <v>1475</v>
      </c>
      <c r="J96" s="73">
        <f>+'Entrate tot e finalizzati'!Q96-'Entrate tot e finalizzati'!R96</f>
        <v>1564</v>
      </c>
      <c r="K96" s="73">
        <f>+'Entrate tot e finalizzati'!S96-'Entrate tot e finalizzati'!T96</f>
        <v>1441</v>
      </c>
      <c r="L96" s="73">
        <f>+'Entrate tot e finalizzati'!U96-'Entrate tot e finalizzati'!V96</f>
        <v>1566</v>
      </c>
      <c r="M96" s="39"/>
      <c r="N96" s="39"/>
      <c r="O96" s="39"/>
      <c r="P96" s="39"/>
      <c r="Q96" s="39"/>
      <c r="R96" s="39"/>
      <c r="S96" s="39"/>
      <c r="T96" s="39"/>
    </row>
    <row r="97" spans="1:20" s="2" customFormat="1" ht="12.75">
      <c r="A97" s="15"/>
      <c r="B97" s="10" t="s">
        <v>18</v>
      </c>
      <c r="C97" s="73">
        <f>+'Entrate tot e finalizzati'!C97-'Entrate tot e finalizzati'!D97</f>
        <v>30</v>
      </c>
      <c r="D97" s="84">
        <f>+'Entrate tot e finalizzati'!E97-'Entrate tot e finalizzati'!F97</f>
        <v>57</v>
      </c>
      <c r="E97" s="73">
        <f>+'Entrate tot e finalizzati'!G97-'Entrate tot e finalizzati'!H97</f>
        <v>98</v>
      </c>
      <c r="F97" s="73">
        <f>+'Entrate tot e finalizzati'!I97-'Entrate tot e finalizzati'!J97</f>
        <v>126</v>
      </c>
      <c r="G97" s="73">
        <f>+'Entrate tot e finalizzati'!K97-'Entrate tot e finalizzati'!L97</f>
        <v>99</v>
      </c>
      <c r="H97" s="73">
        <f>+'Entrate tot e finalizzati'!M97-'Entrate tot e finalizzati'!N97</f>
        <v>72</v>
      </c>
      <c r="I97" s="73">
        <f>+'Entrate tot e finalizzati'!O97-'Entrate tot e finalizzati'!P97</f>
        <v>73</v>
      </c>
      <c r="J97" s="73">
        <f>+'Entrate tot e finalizzati'!Q97-'Entrate tot e finalizzati'!R97</f>
        <v>66</v>
      </c>
      <c r="K97" s="73">
        <f>+'Entrate tot e finalizzati'!S97-'Entrate tot e finalizzati'!T97</f>
        <v>75</v>
      </c>
      <c r="L97" s="73">
        <f>+'Entrate tot e finalizzati'!U97-'Entrate tot e finalizzati'!V97</f>
        <v>74</v>
      </c>
      <c r="M97" s="39"/>
      <c r="N97" s="39"/>
      <c r="O97" s="39"/>
      <c r="P97" s="39"/>
      <c r="Q97" s="39"/>
      <c r="R97" s="39"/>
      <c r="S97" s="39"/>
      <c r="T97" s="39"/>
    </row>
    <row r="98" spans="1:20" s="2" customFormat="1" ht="12.75">
      <c r="A98" s="15"/>
      <c r="B98" s="6" t="s">
        <v>67</v>
      </c>
      <c r="C98" s="73">
        <f>+'Entrate tot e finalizzati'!C98-'Entrate tot e finalizzati'!D98</f>
        <v>0</v>
      </c>
      <c r="D98" s="84">
        <f>+'Entrate tot e finalizzati'!E98-'Entrate tot e finalizzati'!F98</f>
        <v>0</v>
      </c>
      <c r="E98" s="73">
        <f>+'Entrate tot e finalizzati'!G98-'Entrate tot e finalizzati'!H98</f>
        <v>0</v>
      </c>
      <c r="F98" s="73">
        <f>+'Entrate tot e finalizzati'!I98-'Entrate tot e finalizzati'!J98</f>
        <v>0</v>
      </c>
      <c r="G98" s="73">
        <f>+'Entrate tot e finalizzati'!K98-'Entrate tot e finalizzati'!L98</f>
        <v>0</v>
      </c>
      <c r="H98" s="73">
        <f>+'Entrate tot e finalizzati'!M98-'Entrate tot e finalizzati'!N98</f>
        <v>0</v>
      </c>
      <c r="I98" s="73">
        <f>+'Entrate tot e finalizzati'!O98-'Entrate tot e finalizzati'!P98</f>
        <v>0</v>
      </c>
      <c r="J98" s="73">
        <f>+'Entrate tot e finalizzati'!Q98-'Entrate tot e finalizzati'!R98</f>
        <v>0</v>
      </c>
      <c r="K98" s="73">
        <f>+'Entrate tot e finalizzati'!S98-'Entrate tot e finalizzati'!T98</f>
        <v>0</v>
      </c>
      <c r="L98" s="73">
        <f>+'Entrate tot e finalizzati'!U98-'Entrate tot e finalizzati'!V98</f>
        <v>0</v>
      </c>
      <c r="M98" s="39"/>
      <c r="N98" s="39"/>
      <c r="O98" s="39"/>
      <c r="P98" s="39"/>
      <c r="Q98" s="39"/>
      <c r="R98" s="39"/>
      <c r="S98" s="39"/>
      <c r="T98" s="39"/>
    </row>
    <row r="99" spans="1:20" s="2" customFormat="1" ht="12.75">
      <c r="A99" s="15"/>
      <c r="B99" s="10" t="s">
        <v>79</v>
      </c>
      <c r="C99" s="73">
        <f>+'Entrate tot e finalizzati'!C99-'Entrate tot e finalizzati'!D99</f>
        <v>10414</v>
      </c>
      <c r="D99" s="84">
        <f>+'Entrate tot e finalizzati'!E99-'Entrate tot e finalizzati'!F99</f>
        <v>11169</v>
      </c>
      <c r="E99" s="73">
        <f>+'Entrate tot e finalizzati'!G99-'Entrate tot e finalizzati'!H99</f>
        <v>11903</v>
      </c>
      <c r="F99" s="73">
        <f>+'Entrate tot e finalizzati'!I99-'Entrate tot e finalizzati'!J99</f>
        <v>0</v>
      </c>
      <c r="G99" s="73">
        <f>+'Entrate tot e finalizzati'!K99-'Entrate tot e finalizzati'!L99</f>
        <v>0</v>
      </c>
      <c r="H99" s="73">
        <f>+'Entrate tot e finalizzati'!M99-'Entrate tot e finalizzati'!N99</f>
        <v>0</v>
      </c>
      <c r="I99" s="73">
        <f>+'Entrate tot e finalizzati'!O99-'Entrate tot e finalizzati'!P99</f>
        <v>0</v>
      </c>
      <c r="J99" s="73">
        <f>+'Entrate tot e finalizzati'!Q99-'Entrate tot e finalizzati'!R99</f>
        <v>0</v>
      </c>
      <c r="K99" s="73">
        <f>+'Entrate tot e finalizzati'!S99-'Entrate tot e finalizzati'!T99</f>
        <v>0</v>
      </c>
      <c r="L99" s="73">
        <f>+'Entrate tot e finalizzati'!U99-'Entrate tot e finalizzati'!V99</f>
        <v>0</v>
      </c>
      <c r="M99" s="39"/>
      <c r="N99" s="39"/>
      <c r="O99" s="39"/>
      <c r="P99" s="39"/>
      <c r="Q99" s="39"/>
      <c r="R99" s="39"/>
      <c r="S99" s="39"/>
      <c r="T99" s="39"/>
    </row>
    <row r="100" spans="1:20" s="2" customFormat="1" ht="12.75">
      <c r="A100" s="49"/>
      <c r="B100" s="10" t="s">
        <v>80</v>
      </c>
      <c r="C100" s="73">
        <f>+'Entrate tot e finalizzati'!C100-'Entrate tot e finalizzati'!D100</f>
        <v>0</v>
      </c>
      <c r="D100" s="84">
        <f>+'Entrate tot e finalizzati'!E100-'Entrate tot e finalizzati'!F100</f>
        <v>0</v>
      </c>
      <c r="E100" s="73">
        <f>+'Entrate tot e finalizzati'!G100-'Entrate tot e finalizzati'!H100</f>
        <v>0</v>
      </c>
      <c r="F100" s="73">
        <f>+'Entrate tot e finalizzati'!I100-'Entrate tot e finalizzati'!J100</f>
        <v>9883</v>
      </c>
      <c r="G100" s="73">
        <f>+'Entrate tot e finalizzati'!K100-'Entrate tot e finalizzati'!L100</f>
        <v>11265</v>
      </c>
      <c r="H100" s="73">
        <f>+'Entrate tot e finalizzati'!M100-'Entrate tot e finalizzati'!N100</f>
        <v>13729</v>
      </c>
      <c r="I100" s="73">
        <f>+'Entrate tot e finalizzati'!O100-'Entrate tot e finalizzati'!P100</f>
        <v>19527</v>
      </c>
      <c r="J100" s="73">
        <f>+'Entrate tot e finalizzati'!Q100-'Entrate tot e finalizzati'!R100</f>
        <v>20450</v>
      </c>
      <c r="K100" s="73">
        <f>+'Entrate tot e finalizzati'!S100-'Entrate tot e finalizzati'!T100</f>
        <v>26195</v>
      </c>
      <c r="L100" s="73">
        <f>+'Entrate tot e finalizzati'!U100-'Entrate tot e finalizzati'!V100</f>
        <v>31656</v>
      </c>
      <c r="M100" s="39"/>
      <c r="N100" s="39"/>
      <c r="O100" s="39"/>
      <c r="P100" s="39"/>
      <c r="Q100" s="39"/>
      <c r="R100" s="39"/>
      <c r="S100" s="39"/>
      <c r="T100" s="39"/>
    </row>
    <row r="101" spans="1:20" s="2" customFormat="1" ht="12.75">
      <c r="A101" s="15"/>
      <c r="B101" s="10" t="s">
        <v>81</v>
      </c>
      <c r="C101" s="73">
        <f>+'Entrate tot e finalizzati'!C101-'Entrate tot e finalizzati'!D101</f>
        <v>0</v>
      </c>
      <c r="D101" s="84">
        <f>+'Entrate tot e finalizzati'!E101-'Entrate tot e finalizzati'!F101</f>
        <v>0</v>
      </c>
      <c r="E101" s="73">
        <f>+'Entrate tot e finalizzati'!G101-'Entrate tot e finalizzati'!H101</f>
        <v>0</v>
      </c>
      <c r="F101" s="73">
        <f>+'Entrate tot e finalizzati'!I101-'Entrate tot e finalizzati'!J101</f>
        <v>910</v>
      </c>
      <c r="G101" s="73">
        <f>+'Entrate tot e finalizzati'!K101-'Entrate tot e finalizzati'!L101</f>
        <v>1713</v>
      </c>
      <c r="H101" s="73">
        <f>+'Entrate tot e finalizzati'!M101-'Entrate tot e finalizzati'!N101</f>
        <v>1405</v>
      </c>
      <c r="I101" s="73">
        <f>+'Entrate tot e finalizzati'!O101-'Entrate tot e finalizzati'!P101</f>
        <v>2174</v>
      </c>
      <c r="J101" s="73">
        <f>+'Entrate tot e finalizzati'!Q101-'Entrate tot e finalizzati'!R101</f>
        <v>5382</v>
      </c>
      <c r="K101" s="73">
        <f>+'Entrate tot e finalizzati'!S101-'Entrate tot e finalizzati'!T101</f>
        <v>11236</v>
      </c>
      <c r="L101" s="73">
        <f>+'Entrate tot e finalizzati'!U101-'Entrate tot e finalizzati'!V101</f>
        <v>12463</v>
      </c>
      <c r="M101" s="39"/>
      <c r="N101" s="39"/>
      <c r="O101" s="39"/>
      <c r="P101" s="39"/>
      <c r="Q101" s="39"/>
      <c r="R101" s="39"/>
      <c r="S101" s="39"/>
      <c r="T101" s="39"/>
    </row>
    <row r="102" spans="1:20" s="2" customFormat="1" ht="12.75">
      <c r="A102" s="99"/>
      <c r="B102" s="16" t="s">
        <v>83</v>
      </c>
      <c r="C102" s="73">
        <f>+'Entrate tot e finalizzati'!C102-'Entrate tot e finalizzati'!D102</f>
        <v>0</v>
      </c>
      <c r="D102" s="84">
        <f>+'Entrate tot e finalizzati'!E102-'Entrate tot e finalizzati'!F102</f>
        <v>0</v>
      </c>
      <c r="E102" s="73">
        <f>+'Entrate tot e finalizzati'!G102-'Entrate tot e finalizzati'!H102</f>
        <v>0</v>
      </c>
      <c r="F102" s="73">
        <f>+'Entrate tot e finalizzati'!I102-'Entrate tot e finalizzati'!J102</f>
        <v>0</v>
      </c>
      <c r="G102" s="73">
        <f>+'Entrate tot e finalizzati'!K102-'Entrate tot e finalizzati'!L102</f>
        <v>1</v>
      </c>
      <c r="H102" s="73">
        <f>+'Entrate tot e finalizzati'!M102-'Entrate tot e finalizzati'!N102</f>
        <v>0</v>
      </c>
      <c r="I102" s="73">
        <f>+'Entrate tot e finalizzati'!O102-'Entrate tot e finalizzati'!P102</f>
        <v>0</v>
      </c>
      <c r="J102" s="73">
        <f>+'Entrate tot e finalizzati'!Q102-'Entrate tot e finalizzati'!R102</f>
        <v>0</v>
      </c>
      <c r="K102" s="73">
        <f>+'Entrate tot e finalizzati'!S102-'Entrate tot e finalizzati'!T102</f>
        <v>0</v>
      </c>
      <c r="L102" s="73">
        <f>+'Entrate tot e finalizzati'!U102-'Entrate tot e finalizzati'!V102</f>
        <v>0</v>
      </c>
      <c r="M102" s="39"/>
      <c r="N102" s="39"/>
      <c r="O102" s="39"/>
      <c r="P102" s="39"/>
      <c r="Q102" s="39"/>
      <c r="R102" s="39"/>
      <c r="S102" s="39"/>
      <c r="T102" s="39"/>
    </row>
    <row r="103" spans="1:20" s="2" customFormat="1" ht="12.75">
      <c r="A103" s="27" t="s">
        <v>12</v>
      </c>
      <c r="B103" s="28"/>
      <c r="C103" s="29">
        <f>+'Entrate tot e finalizzati'!C103-'Entrate tot e finalizzati'!D103</f>
        <v>217059</v>
      </c>
      <c r="D103" s="29">
        <f>+'Entrate tot e finalizzati'!E103-'Entrate tot e finalizzati'!F103</f>
        <v>216716</v>
      </c>
      <c r="E103" s="29">
        <f>+'Entrate tot e finalizzati'!G103-'Entrate tot e finalizzati'!H103</f>
        <v>226912</v>
      </c>
      <c r="F103" s="29">
        <f>+'Entrate tot e finalizzati'!I103-'Entrate tot e finalizzati'!J103</f>
        <v>212885</v>
      </c>
      <c r="G103" s="29">
        <f>+'Entrate tot e finalizzati'!K103-'Entrate tot e finalizzati'!L103</f>
        <v>230377</v>
      </c>
      <c r="H103" s="29">
        <f>+'Entrate tot e finalizzati'!M103-'Entrate tot e finalizzati'!N103</f>
        <v>243738</v>
      </c>
      <c r="I103" s="29">
        <f>+'Entrate tot e finalizzati'!O103-'Entrate tot e finalizzati'!P103</f>
        <v>251898</v>
      </c>
      <c r="J103" s="29">
        <f>+'Entrate tot e finalizzati'!Q103-'Entrate tot e finalizzati'!R103</f>
        <v>253564</v>
      </c>
      <c r="K103" s="29">
        <f>+'Entrate tot e finalizzati'!S103-'Entrate tot e finalizzati'!T103</f>
        <v>252783</v>
      </c>
      <c r="L103" s="29">
        <f>+'Entrate tot e finalizzati'!U103-'Entrate tot e finalizzati'!V103</f>
        <v>276791</v>
      </c>
      <c r="M103" s="39"/>
      <c r="N103" s="39"/>
      <c r="O103" s="39"/>
      <c r="P103" s="39"/>
      <c r="Q103" s="39"/>
      <c r="R103" s="39"/>
      <c r="S103" s="39"/>
      <c r="T103" s="39"/>
    </row>
    <row r="104" spans="1:20" s="2" customFormat="1" ht="12.75">
      <c r="A104" s="87"/>
      <c r="B104" s="35" t="s">
        <v>37</v>
      </c>
      <c r="C104" s="73">
        <f>+'Entrate tot e finalizzati'!C104-'Entrate tot e finalizzati'!D104</f>
        <v>0</v>
      </c>
      <c r="D104" s="84">
        <f>+'Entrate tot e finalizzati'!E104-'Entrate tot e finalizzati'!F104</f>
        <v>134</v>
      </c>
      <c r="E104" s="73">
        <f>+'Entrate tot e finalizzati'!G104-'Entrate tot e finalizzati'!H104</f>
        <v>207</v>
      </c>
      <c r="F104" s="73">
        <f>+'Entrate tot e finalizzati'!I104-'Entrate tot e finalizzati'!J104</f>
        <v>142</v>
      </c>
      <c r="G104" s="73">
        <f>+'Entrate tot e finalizzati'!K104-'Entrate tot e finalizzati'!L104</f>
        <v>48</v>
      </c>
      <c r="H104" s="73">
        <f>+'Entrate tot e finalizzati'!M104-'Entrate tot e finalizzati'!N104</f>
        <v>39</v>
      </c>
      <c r="I104" s="73">
        <f>+'Entrate tot e finalizzati'!O104-'Entrate tot e finalizzati'!P104</f>
        <v>29</v>
      </c>
      <c r="J104" s="73">
        <f>+'Entrate tot e finalizzati'!Q104-'Entrate tot e finalizzati'!R104</f>
        <v>32</v>
      </c>
      <c r="K104" s="73">
        <f>+'Entrate tot e finalizzati'!S104-'Entrate tot e finalizzati'!T104</f>
        <v>45</v>
      </c>
      <c r="L104" s="73">
        <f>+'Entrate tot e finalizzati'!U104-'Entrate tot e finalizzati'!V104</f>
        <v>13</v>
      </c>
      <c r="M104" s="39"/>
      <c r="N104" s="39"/>
      <c r="O104" s="39"/>
      <c r="P104" s="39"/>
      <c r="Q104" s="39"/>
      <c r="R104" s="39"/>
      <c r="S104" s="39"/>
      <c r="T104" s="39"/>
    </row>
    <row r="105" spans="1:20" s="2" customFormat="1" ht="12.75">
      <c r="A105" s="87"/>
      <c r="B105" s="35" t="s">
        <v>38</v>
      </c>
      <c r="C105" s="73">
        <f>+'Entrate tot e finalizzati'!C105-'Entrate tot e finalizzati'!D105</f>
        <v>132574</v>
      </c>
      <c r="D105" s="84">
        <f>+'Entrate tot e finalizzati'!E105-'Entrate tot e finalizzati'!F105</f>
        <v>132161</v>
      </c>
      <c r="E105" s="73">
        <f>+'Entrate tot e finalizzati'!G105-'Entrate tot e finalizzati'!H105</f>
        <v>131568</v>
      </c>
      <c r="F105" s="73">
        <f>+'Entrate tot e finalizzati'!I105-'Entrate tot e finalizzati'!J105</f>
        <v>130819</v>
      </c>
      <c r="G105" s="73">
        <f>+'Entrate tot e finalizzati'!K105-'Entrate tot e finalizzati'!L105</f>
        <v>130982</v>
      </c>
      <c r="H105" s="73">
        <f>+'Entrate tot e finalizzati'!M105-'Entrate tot e finalizzati'!N105</f>
        <v>131250</v>
      </c>
      <c r="I105" s="73">
        <f>+'Entrate tot e finalizzati'!O105-'Entrate tot e finalizzati'!P105</f>
        <v>131700</v>
      </c>
      <c r="J105" s="73">
        <f>+'Entrate tot e finalizzati'!Q105-'Entrate tot e finalizzati'!R105</f>
        <v>131519</v>
      </c>
      <c r="K105" s="73">
        <f>+'Entrate tot e finalizzati'!S105-'Entrate tot e finalizzati'!T105</f>
        <v>132773</v>
      </c>
      <c r="L105" s="73">
        <f>+'Entrate tot e finalizzati'!U105-'Entrate tot e finalizzati'!V105</f>
        <v>138601</v>
      </c>
      <c r="M105" s="39"/>
      <c r="N105" s="39"/>
      <c r="O105" s="39"/>
      <c r="P105" s="39"/>
      <c r="Q105" s="39"/>
      <c r="R105" s="39"/>
      <c r="S105" s="39"/>
      <c r="T105" s="39"/>
    </row>
    <row r="106" spans="1:20" s="2" customFormat="1" ht="12.75">
      <c r="A106" s="87"/>
      <c r="B106" s="35" t="s">
        <v>91</v>
      </c>
      <c r="C106" s="73">
        <f>+'Entrate tot e finalizzati'!C106-'Entrate tot e finalizzati'!D106</f>
        <v>0</v>
      </c>
      <c r="D106" s="84">
        <f>+'Entrate tot e finalizzati'!E106-'Entrate tot e finalizzati'!F106</f>
        <v>0</v>
      </c>
      <c r="E106" s="73">
        <f>+'Entrate tot e finalizzati'!G106-'Entrate tot e finalizzati'!H106</f>
        <v>0</v>
      </c>
      <c r="F106" s="73">
        <f>+'Entrate tot e finalizzati'!I106-'Entrate tot e finalizzati'!J106</f>
        <v>0</v>
      </c>
      <c r="G106" s="73">
        <f>+'Entrate tot e finalizzati'!K106-'Entrate tot e finalizzati'!L106</f>
        <v>0</v>
      </c>
      <c r="H106" s="73">
        <f>+'Entrate tot e finalizzati'!M106-'Entrate tot e finalizzati'!N106</f>
        <v>4350</v>
      </c>
      <c r="I106" s="73">
        <f>+'Entrate tot e finalizzati'!O106-'Entrate tot e finalizzati'!P106</f>
        <v>3299</v>
      </c>
      <c r="J106" s="73">
        <f>+'Entrate tot e finalizzati'!Q106-'Entrate tot e finalizzati'!R106</f>
        <v>3968</v>
      </c>
      <c r="K106" s="73">
        <f>+'Entrate tot e finalizzati'!S106-'Entrate tot e finalizzati'!T106</f>
        <v>2575</v>
      </c>
      <c r="L106" s="73">
        <f>+'Entrate tot e finalizzati'!U106-'Entrate tot e finalizzati'!V106</f>
        <v>2279</v>
      </c>
      <c r="M106" s="39"/>
      <c r="N106" s="39"/>
      <c r="O106" s="39"/>
      <c r="P106" s="39"/>
      <c r="Q106" s="39"/>
      <c r="R106" s="39"/>
      <c r="S106" s="39"/>
      <c r="T106" s="39"/>
    </row>
    <row r="107" spans="1:20" s="2" customFormat="1" ht="12.75">
      <c r="A107" s="87"/>
      <c r="B107" s="35" t="s">
        <v>39</v>
      </c>
      <c r="C107" s="73">
        <f>+'Entrate tot e finalizzati'!C107-'Entrate tot e finalizzati'!D107</f>
        <v>4324</v>
      </c>
      <c r="D107" s="84">
        <f>+'Entrate tot e finalizzati'!E107-'Entrate tot e finalizzati'!F107</f>
        <v>4414</v>
      </c>
      <c r="E107" s="73">
        <f>+'Entrate tot e finalizzati'!G107-'Entrate tot e finalizzati'!H107</f>
        <v>4400</v>
      </c>
      <c r="F107" s="73">
        <f>+'Entrate tot e finalizzati'!I107-'Entrate tot e finalizzati'!J107</f>
        <v>4544</v>
      </c>
      <c r="G107" s="73">
        <f>+'Entrate tot e finalizzati'!K107-'Entrate tot e finalizzati'!L107</f>
        <v>4596</v>
      </c>
      <c r="H107" s="73">
        <f>+'Entrate tot e finalizzati'!M107-'Entrate tot e finalizzati'!N107</f>
        <v>4882</v>
      </c>
      <c r="I107" s="73">
        <f>+'Entrate tot e finalizzati'!O107-'Entrate tot e finalizzati'!P107</f>
        <v>4949</v>
      </c>
      <c r="J107" s="73">
        <f>+'Entrate tot e finalizzati'!Q107-'Entrate tot e finalizzati'!R107</f>
        <v>4597</v>
      </c>
      <c r="K107" s="73">
        <f>+'Entrate tot e finalizzati'!S107-'Entrate tot e finalizzati'!T107</f>
        <v>5743</v>
      </c>
      <c r="L107" s="73">
        <f>+'Entrate tot e finalizzati'!U107-'Entrate tot e finalizzati'!V107</f>
        <v>5996</v>
      </c>
      <c r="M107" s="39"/>
      <c r="N107" s="39"/>
      <c r="O107" s="39"/>
      <c r="P107" s="39"/>
      <c r="Q107" s="39"/>
      <c r="R107" s="39"/>
      <c r="S107" s="39"/>
      <c r="T107" s="39"/>
    </row>
    <row r="108" spans="1:20" s="2" customFormat="1" ht="12.75">
      <c r="A108" s="87"/>
      <c r="B108" s="35" t="s">
        <v>40</v>
      </c>
      <c r="C108" s="73">
        <f>+'Entrate tot e finalizzati'!C108-'Entrate tot e finalizzati'!D108</f>
        <v>3763</v>
      </c>
      <c r="D108" s="84">
        <f>+'Entrate tot e finalizzati'!E108-'Entrate tot e finalizzati'!F108</f>
        <v>3942</v>
      </c>
      <c r="E108" s="73">
        <f>+'Entrate tot e finalizzati'!G108-'Entrate tot e finalizzati'!H108</f>
        <v>3396</v>
      </c>
      <c r="F108" s="73">
        <f>+'Entrate tot e finalizzati'!I108-'Entrate tot e finalizzati'!J108</f>
        <v>3523</v>
      </c>
      <c r="G108" s="73">
        <f>+'Entrate tot e finalizzati'!K108-'Entrate tot e finalizzati'!L108</f>
        <v>3615</v>
      </c>
      <c r="H108" s="73">
        <f>+'Entrate tot e finalizzati'!M108-'Entrate tot e finalizzati'!N108</f>
        <v>3615</v>
      </c>
      <c r="I108" s="73">
        <f>+'Entrate tot e finalizzati'!O108-'Entrate tot e finalizzati'!P108</f>
        <v>4196</v>
      </c>
      <c r="J108" s="73">
        <f>+'Entrate tot e finalizzati'!Q108-'Entrate tot e finalizzati'!R108</f>
        <v>3989</v>
      </c>
      <c r="K108" s="73">
        <f>+'Entrate tot e finalizzati'!S108-'Entrate tot e finalizzati'!T108</f>
        <v>3819</v>
      </c>
      <c r="L108" s="73">
        <f>+'Entrate tot e finalizzati'!U108-'Entrate tot e finalizzati'!V108</f>
        <v>4047</v>
      </c>
      <c r="M108" s="39"/>
      <c r="N108" s="39"/>
      <c r="O108" s="39"/>
      <c r="P108" s="39"/>
      <c r="Q108" s="39"/>
      <c r="R108" s="39"/>
      <c r="S108" s="39"/>
      <c r="T108" s="39"/>
    </row>
    <row r="109" spans="1:20" s="2" customFormat="1" ht="12.75">
      <c r="A109" s="87"/>
      <c r="B109" s="35" t="s">
        <v>41</v>
      </c>
      <c r="C109" s="73">
        <f>+'Entrate tot e finalizzati'!C109-'Entrate tot e finalizzati'!D109</f>
        <v>47651</v>
      </c>
      <c r="D109" s="84">
        <f>+'Entrate tot e finalizzati'!E109-'Entrate tot e finalizzati'!F109</f>
        <v>47956</v>
      </c>
      <c r="E109" s="73">
        <f>+'Entrate tot e finalizzati'!G109-'Entrate tot e finalizzati'!H109</f>
        <v>47800</v>
      </c>
      <c r="F109" s="73">
        <f>+'Entrate tot e finalizzati'!I109-'Entrate tot e finalizzati'!J109</f>
        <v>50305</v>
      </c>
      <c r="G109" s="73">
        <f>+'Entrate tot e finalizzati'!K109-'Entrate tot e finalizzati'!L109</f>
        <v>50004</v>
      </c>
      <c r="H109" s="73">
        <f>+'Entrate tot e finalizzati'!M109-'Entrate tot e finalizzati'!N109</f>
        <v>54233</v>
      </c>
      <c r="I109" s="73">
        <f>+'Entrate tot e finalizzati'!O109-'Entrate tot e finalizzati'!P109</f>
        <v>57223</v>
      </c>
      <c r="J109" s="73">
        <f>+'Entrate tot e finalizzati'!Q109-'Entrate tot e finalizzati'!R109</f>
        <v>58080</v>
      </c>
      <c r="K109" s="73">
        <f>+'Entrate tot e finalizzati'!S109-'Entrate tot e finalizzati'!T109</f>
        <v>59579</v>
      </c>
      <c r="L109" s="73">
        <f>+'Entrate tot e finalizzati'!U109-'Entrate tot e finalizzati'!V109</f>
        <v>61367</v>
      </c>
      <c r="M109" s="39"/>
      <c r="N109" s="39"/>
      <c r="O109" s="39"/>
      <c r="P109" s="39"/>
      <c r="Q109" s="39"/>
      <c r="R109" s="39"/>
      <c r="S109" s="39"/>
      <c r="T109" s="39"/>
    </row>
    <row r="110" spans="1:20" s="2" customFormat="1" ht="12.75">
      <c r="A110" s="87"/>
      <c r="B110" s="35" t="s">
        <v>93</v>
      </c>
      <c r="C110" s="73">
        <f>+'Entrate tot e finalizzati'!C110-'Entrate tot e finalizzati'!D110</f>
        <v>0</v>
      </c>
      <c r="D110" s="84">
        <f>+'Entrate tot e finalizzati'!E110-'Entrate tot e finalizzati'!F110</f>
        <v>0</v>
      </c>
      <c r="E110" s="73">
        <f>+'Entrate tot e finalizzati'!G110-'Entrate tot e finalizzati'!H110</f>
        <v>0</v>
      </c>
      <c r="F110" s="73">
        <f>+'Entrate tot e finalizzati'!I110-'Entrate tot e finalizzati'!J110</f>
        <v>0</v>
      </c>
      <c r="G110" s="73">
        <f>+'Entrate tot e finalizzati'!K110-'Entrate tot e finalizzati'!L110</f>
        <v>5760</v>
      </c>
      <c r="H110" s="73">
        <f>+'Entrate tot e finalizzati'!M110-'Entrate tot e finalizzati'!N110</f>
        <v>8344</v>
      </c>
      <c r="I110" s="73">
        <f>+'Entrate tot e finalizzati'!O110-'Entrate tot e finalizzati'!P110</f>
        <v>13523</v>
      </c>
      <c r="J110" s="73">
        <f>+'Entrate tot e finalizzati'!Q110-'Entrate tot e finalizzati'!R110</f>
        <v>10948</v>
      </c>
      <c r="K110" s="73">
        <f>+'Entrate tot e finalizzati'!S110-'Entrate tot e finalizzati'!T110</f>
        <v>6328</v>
      </c>
      <c r="L110" s="73">
        <f>+'Entrate tot e finalizzati'!U110-'Entrate tot e finalizzati'!V110</f>
        <v>3465</v>
      </c>
      <c r="M110" s="39"/>
      <c r="N110" s="39"/>
      <c r="O110" s="39"/>
      <c r="P110" s="39"/>
      <c r="Q110" s="39"/>
      <c r="R110" s="39"/>
      <c r="S110" s="39"/>
      <c r="T110" s="39"/>
    </row>
    <row r="111" spans="1:20" s="2" customFormat="1" ht="12.75">
      <c r="A111" s="87"/>
      <c r="B111" s="35" t="s">
        <v>42</v>
      </c>
      <c r="C111" s="73">
        <f>+'Entrate tot e finalizzati'!C111-'Entrate tot e finalizzati'!D111</f>
        <v>3607</v>
      </c>
      <c r="D111" s="84">
        <f>+'Entrate tot e finalizzati'!E111-'Entrate tot e finalizzati'!F111</f>
        <v>136</v>
      </c>
      <c r="E111" s="73">
        <f>+'Entrate tot e finalizzati'!G111-'Entrate tot e finalizzati'!H111</f>
        <v>71</v>
      </c>
      <c r="F111" s="73">
        <f>+'Entrate tot e finalizzati'!I111-'Entrate tot e finalizzati'!J111</f>
        <v>56</v>
      </c>
      <c r="G111" s="73">
        <f>+'Entrate tot e finalizzati'!K111-'Entrate tot e finalizzati'!L111</f>
        <v>23</v>
      </c>
      <c r="H111" s="73">
        <f>+'Entrate tot e finalizzati'!M111-'Entrate tot e finalizzati'!N111</f>
        <v>1</v>
      </c>
      <c r="I111" s="73">
        <f>+'Entrate tot e finalizzati'!O111-'Entrate tot e finalizzati'!P111</f>
        <v>40</v>
      </c>
      <c r="J111" s="73">
        <f>+'Entrate tot e finalizzati'!Q111-'Entrate tot e finalizzati'!R111</f>
        <v>43</v>
      </c>
      <c r="K111" s="73">
        <f>+'Entrate tot e finalizzati'!S111-'Entrate tot e finalizzati'!T111</f>
        <v>21</v>
      </c>
      <c r="L111" s="73">
        <f>+'Entrate tot e finalizzati'!U111-'Entrate tot e finalizzati'!V111</f>
        <v>32</v>
      </c>
      <c r="M111" s="39"/>
      <c r="N111" s="39"/>
      <c r="O111" s="39"/>
      <c r="P111" s="39"/>
      <c r="Q111" s="39"/>
      <c r="R111" s="39"/>
      <c r="S111" s="39"/>
      <c r="T111" s="39"/>
    </row>
    <row r="112" spans="1:20" s="2" customFormat="1" ht="12.75">
      <c r="A112" s="87"/>
      <c r="B112" s="35" t="s">
        <v>43</v>
      </c>
      <c r="C112" s="73">
        <f>+'Entrate tot e finalizzati'!C112-'Entrate tot e finalizzati'!D112</f>
        <v>0</v>
      </c>
      <c r="D112" s="84">
        <f>+'Entrate tot e finalizzati'!E112-'Entrate tot e finalizzati'!F112</f>
        <v>0</v>
      </c>
      <c r="E112" s="73">
        <f>+'Entrate tot e finalizzati'!G112-'Entrate tot e finalizzati'!H112</f>
        <v>0</v>
      </c>
      <c r="F112" s="73">
        <f>+'Entrate tot e finalizzati'!I112-'Entrate tot e finalizzati'!J112</f>
        <v>0</v>
      </c>
      <c r="G112" s="73">
        <f>+'Entrate tot e finalizzati'!K112-'Entrate tot e finalizzati'!L112</f>
        <v>0</v>
      </c>
      <c r="H112" s="73">
        <f>+'Entrate tot e finalizzati'!M112-'Entrate tot e finalizzati'!N112</f>
        <v>0</v>
      </c>
      <c r="I112" s="73">
        <f>+'Entrate tot e finalizzati'!O112-'Entrate tot e finalizzati'!P112</f>
        <v>0</v>
      </c>
      <c r="J112" s="73">
        <f>+'Entrate tot e finalizzati'!Q112-'Entrate tot e finalizzati'!R112</f>
        <v>0</v>
      </c>
      <c r="K112" s="73">
        <f>+'Entrate tot e finalizzati'!S112-'Entrate tot e finalizzati'!T112</f>
        <v>0</v>
      </c>
      <c r="L112" s="73">
        <f>+'Entrate tot e finalizzati'!U112-'Entrate tot e finalizzati'!V112</f>
        <v>0</v>
      </c>
      <c r="M112" s="39"/>
      <c r="N112" s="39"/>
      <c r="O112" s="39"/>
      <c r="P112" s="39"/>
      <c r="Q112" s="39"/>
      <c r="R112" s="39"/>
      <c r="S112" s="39"/>
      <c r="T112" s="39"/>
    </row>
    <row r="113" spans="1:20" s="2" customFormat="1" ht="12.75">
      <c r="A113" s="87"/>
      <c r="B113" s="35" t="s">
        <v>44</v>
      </c>
      <c r="C113" s="73">
        <f>+'Entrate tot e finalizzati'!C113-'Entrate tot e finalizzati'!D113</f>
        <v>883</v>
      </c>
      <c r="D113" s="84">
        <f>+'Entrate tot e finalizzati'!E113-'Entrate tot e finalizzati'!F113</f>
        <v>871</v>
      </c>
      <c r="E113" s="73">
        <f>+'Entrate tot e finalizzati'!G113-'Entrate tot e finalizzati'!H113</f>
        <v>869</v>
      </c>
      <c r="F113" s="73">
        <f>+'Entrate tot e finalizzati'!I113-'Entrate tot e finalizzati'!J113</f>
        <v>958</v>
      </c>
      <c r="G113" s="73">
        <f>+'Entrate tot e finalizzati'!K113-'Entrate tot e finalizzati'!L113</f>
        <v>962</v>
      </c>
      <c r="H113" s="73">
        <f>+'Entrate tot e finalizzati'!M113-'Entrate tot e finalizzati'!N113</f>
        <v>829</v>
      </c>
      <c r="I113" s="73">
        <f>+'Entrate tot e finalizzati'!O113-'Entrate tot e finalizzati'!P113</f>
        <v>682</v>
      </c>
      <c r="J113" s="73">
        <f>+'Entrate tot e finalizzati'!Q113-'Entrate tot e finalizzati'!R113</f>
        <v>809</v>
      </c>
      <c r="K113" s="73">
        <f>+'Entrate tot e finalizzati'!S113-'Entrate tot e finalizzati'!T113</f>
        <v>790</v>
      </c>
      <c r="L113" s="73">
        <f>+'Entrate tot e finalizzati'!U113-'Entrate tot e finalizzati'!V113</f>
        <v>791</v>
      </c>
      <c r="M113" s="39"/>
      <c r="N113" s="39"/>
      <c r="O113" s="39"/>
      <c r="P113" s="39"/>
      <c r="Q113" s="39"/>
      <c r="R113" s="39"/>
      <c r="S113" s="39"/>
      <c r="T113" s="39"/>
    </row>
    <row r="114" spans="1:20" s="2" customFormat="1" ht="12.75">
      <c r="A114" s="87"/>
      <c r="B114" s="35" t="s">
        <v>45</v>
      </c>
      <c r="C114" s="73">
        <f>+'Entrate tot e finalizzati'!C114-'Entrate tot e finalizzati'!D114</f>
        <v>3742</v>
      </c>
      <c r="D114" s="84">
        <f>+'Entrate tot e finalizzati'!E114-'Entrate tot e finalizzati'!F114</f>
        <v>0</v>
      </c>
      <c r="E114" s="73">
        <f>+'Entrate tot e finalizzati'!G114-'Entrate tot e finalizzati'!H114</f>
        <v>487</v>
      </c>
      <c r="F114" s="73">
        <f>+'Entrate tot e finalizzati'!I114-'Entrate tot e finalizzati'!J114</f>
        <v>0</v>
      </c>
      <c r="G114" s="73">
        <f>+'Entrate tot e finalizzati'!K114-'Entrate tot e finalizzati'!L114</f>
        <v>0</v>
      </c>
      <c r="H114" s="73">
        <f>+'Entrate tot e finalizzati'!M114-'Entrate tot e finalizzati'!N114</f>
        <v>0</v>
      </c>
      <c r="I114" s="73">
        <f>+'Entrate tot e finalizzati'!O114-'Entrate tot e finalizzati'!P114</f>
        <v>0</v>
      </c>
      <c r="J114" s="73">
        <f>+'Entrate tot e finalizzati'!Q114-'Entrate tot e finalizzati'!R114</f>
        <v>0</v>
      </c>
      <c r="K114" s="73">
        <f>+'Entrate tot e finalizzati'!S114-'Entrate tot e finalizzati'!T114</f>
        <v>0</v>
      </c>
      <c r="L114" s="73">
        <f>+'Entrate tot e finalizzati'!U114-'Entrate tot e finalizzati'!V114</f>
        <v>0</v>
      </c>
      <c r="M114" s="39"/>
      <c r="N114" s="39"/>
      <c r="O114" s="39"/>
      <c r="P114" s="39"/>
      <c r="Q114" s="39"/>
      <c r="R114" s="39"/>
      <c r="S114" s="39"/>
      <c r="T114" s="39"/>
    </row>
    <row r="115" spans="1:20" s="2" customFormat="1" ht="12.75">
      <c r="A115" s="87"/>
      <c r="B115" s="35" t="s">
        <v>18</v>
      </c>
      <c r="C115" s="73">
        <f>+'Entrate tot e finalizzati'!C115-'Entrate tot e finalizzati'!D115</f>
        <v>146</v>
      </c>
      <c r="D115" s="84">
        <f>+'Entrate tot e finalizzati'!E115-'Entrate tot e finalizzati'!F115</f>
        <v>156</v>
      </c>
      <c r="E115" s="73">
        <f>+'Entrate tot e finalizzati'!G115-'Entrate tot e finalizzati'!H115</f>
        <v>182</v>
      </c>
      <c r="F115" s="73">
        <f>+'Entrate tot e finalizzati'!I115-'Entrate tot e finalizzati'!J115</f>
        <v>237</v>
      </c>
      <c r="G115" s="73">
        <f>+'Entrate tot e finalizzati'!K115-'Entrate tot e finalizzati'!L115</f>
        <v>367</v>
      </c>
      <c r="H115" s="73">
        <f>+'Entrate tot e finalizzati'!M115-'Entrate tot e finalizzati'!N115</f>
        <v>306</v>
      </c>
      <c r="I115" s="73">
        <f>+'Entrate tot e finalizzati'!O115-'Entrate tot e finalizzati'!P115</f>
        <v>443</v>
      </c>
      <c r="J115" s="73">
        <f>+'Entrate tot e finalizzati'!Q115-'Entrate tot e finalizzati'!R115</f>
        <v>343</v>
      </c>
      <c r="K115" s="73">
        <f>+'Entrate tot e finalizzati'!S115-'Entrate tot e finalizzati'!T115</f>
        <v>433</v>
      </c>
      <c r="L115" s="73">
        <f>+'Entrate tot e finalizzati'!U115-'Entrate tot e finalizzati'!V115</f>
        <v>391</v>
      </c>
      <c r="M115" s="39"/>
      <c r="N115" s="39"/>
      <c r="O115" s="39"/>
      <c r="P115" s="39"/>
      <c r="Q115" s="39"/>
      <c r="R115" s="39"/>
      <c r="S115" s="39"/>
      <c r="T115" s="39"/>
    </row>
    <row r="116" spans="1:20" s="2" customFormat="1" ht="12.75">
      <c r="A116" s="87"/>
      <c r="B116" s="35" t="s">
        <v>47</v>
      </c>
      <c r="C116" s="73">
        <f>+'Entrate tot e finalizzati'!C116-'Entrate tot e finalizzati'!D116</f>
        <v>5696</v>
      </c>
      <c r="D116" s="84">
        <f>+'Entrate tot e finalizzati'!E116-'Entrate tot e finalizzati'!F116</f>
        <v>5638</v>
      </c>
      <c r="E116" s="73">
        <f>+'Entrate tot e finalizzati'!G116-'Entrate tot e finalizzati'!H116</f>
        <v>5852</v>
      </c>
      <c r="F116" s="73">
        <f>+'Entrate tot e finalizzati'!I116-'Entrate tot e finalizzati'!J116</f>
        <v>5841</v>
      </c>
      <c r="G116" s="73">
        <f>+'Entrate tot e finalizzati'!K116-'Entrate tot e finalizzati'!L116</f>
        <v>6900</v>
      </c>
      <c r="H116" s="73">
        <f>+'Entrate tot e finalizzati'!M116-'Entrate tot e finalizzati'!N116</f>
        <v>7525</v>
      </c>
      <c r="I116" s="73">
        <f>+'Entrate tot e finalizzati'!O116-'Entrate tot e finalizzati'!P116</f>
        <v>7790</v>
      </c>
      <c r="J116" s="73">
        <f>+'Entrate tot e finalizzati'!Q116-'Entrate tot e finalizzati'!R116</f>
        <v>9242</v>
      </c>
      <c r="K116" s="73">
        <f>+'Entrate tot e finalizzati'!S116-'Entrate tot e finalizzati'!T116</f>
        <v>10983</v>
      </c>
      <c r="L116" s="73">
        <f>+'Entrate tot e finalizzati'!U116-'Entrate tot e finalizzati'!V116</f>
        <v>10916</v>
      </c>
      <c r="M116" s="39"/>
      <c r="N116" s="39"/>
      <c r="O116" s="39"/>
      <c r="P116" s="39"/>
      <c r="Q116" s="39"/>
      <c r="R116" s="39"/>
      <c r="S116" s="39"/>
      <c r="T116" s="39"/>
    </row>
    <row r="117" spans="1:20" s="2" customFormat="1" ht="12.75">
      <c r="A117" s="87"/>
      <c r="B117" s="35" t="s">
        <v>33</v>
      </c>
      <c r="C117" s="73">
        <f>+'Entrate tot e finalizzati'!C117-'Entrate tot e finalizzati'!D117</f>
        <v>0</v>
      </c>
      <c r="D117" s="84">
        <f>+'Entrate tot e finalizzati'!E117-'Entrate tot e finalizzati'!F117</f>
        <v>0</v>
      </c>
      <c r="E117" s="73">
        <f>+'Entrate tot e finalizzati'!G117-'Entrate tot e finalizzati'!H117</f>
        <v>0</v>
      </c>
      <c r="F117" s="73">
        <f>+'Entrate tot e finalizzati'!I117-'Entrate tot e finalizzati'!J117</f>
        <v>6</v>
      </c>
      <c r="G117" s="73">
        <f>+'Entrate tot e finalizzati'!K117-'Entrate tot e finalizzati'!L117</f>
        <v>1</v>
      </c>
      <c r="H117" s="73">
        <f>+'Entrate tot e finalizzati'!M117-'Entrate tot e finalizzati'!N117</f>
        <v>0</v>
      </c>
      <c r="I117" s="73">
        <f>+'Entrate tot e finalizzati'!O117-'Entrate tot e finalizzati'!P117</f>
        <v>0</v>
      </c>
      <c r="J117" s="73">
        <f>+'Entrate tot e finalizzati'!Q117-'Entrate tot e finalizzati'!R117</f>
        <v>0</v>
      </c>
      <c r="K117" s="73">
        <f>+'Entrate tot e finalizzati'!S117-'Entrate tot e finalizzati'!T117</f>
        <v>0</v>
      </c>
      <c r="L117" s="73">
        <f>+'Entrate tot e finalizzati'!U117-'Entrate tot e finalizzati'!V117</f>
        <v>3</v>
      </c>
      <c r="M117" s="39"/>
      <c r="N117" s="39"/>
      <c r="O117" s="39"/>
      <c r="P117" s="39"/>
      <c r="Q117" s="39"/>
      <c r="R117" s="39"/>
      <c r="S117" s="39"/>
      <c r="T117" s="39"/>
    </row>
    <row r="118" spans="1:20" s="2" customFormat="1" ht="12.75">
      <c r="A118" s="87"/>
      <c r="B118" s="35" t="s">
        <v>14</v>
      </c>
      <c r="C118" s="37">
        <f>+'Entrate tot e finalizzati'!C118-'Entrate tot e finalizzati'!D118</f>
        <v>64</v>
      </c>
      <c r="D118" s="37">
        <f>+'Entrate tot e finalizzati'!E118-'Entrate tot e finalizzati'!F118</f>
        <v>80</v>
      </c>
      <c r="E118" s="37">
        <f>+'Entrate tot e finalizzati'!G118-'Entrate tot e finalizzati'!H118</f>
        <v>21</v>
      </c>
      <c r="F118" s="37">
        <f>+'Entrate tot e finalizzati'!I118-'Entrate tot e finalizzati'!J118</f>
        <v>105</v>
      </c>
      <c r="G118" s="37">
        <f>+'Entrate tot e finalizzati'!K118-'Entrate tot e finalizzati'!L118</f>
        <v>0</v>
      </c>
      <c r="H118" s="37">
        <f>+'Entrate tot e finalizzati'!M118-'Entrate tot e finalizzati'!N118</f>
        <v>37</v>
      </c>
      <c r="I118" s="37">
        <f>+'Entrate tot e finalizzati'!O118-'Entrate tot e finalizzati'!P118</f>
        <v>2</v>
      </c>
      <c r="J118" s="37">
        <f>+'Entrate tot e finalizzati'!Q118-'Entrate tot e finalizzati'!R118</f>
        <v>304</v>
      </c>
      <c r="K118" s="37">
        <f>+'Entrate tot e finalizzati'!S118-'Entrate tot e finalizzati'!T118</f>
        <v>0</v>
      </c>
      <c r="L118" s="37">
        <f>+'Entrate tot e finalizzati'!U118-'Entrate tot e finalizzati'!V118</f>
        <v>5</v>
      </c>
      <c r="M118" s="39"/>
      <c r="N118" s="39"/>
      <c r="O118" s="39"/>
      <c r="P118" s="39"/>
      <c r="Q118" s="39"/>
      <c r="R118" s="39"/>
      <c r="S118" s="39"/>
      <c r="T118" s="39"/>
    </row>
    <row r="119" spans="1:20" s="2" customFormat="1" ht="12.75">
      <c r="A119" s="87"/>
      <c r="B119" s="35" t="s">
        <v>48</v>
      </c>
      <c r="C119" s="22">
        <f>+'Entrate tot e finalizzati'!C119-'Entrate tot e finalizzati'!D119</f>
        <v>14609</v>
      </c>
      <c r="D119" s="22">
        <f>+'Entrate tot e finalizzati'!E119-'Entrate tot e finalizzati'!F119</f>
        <v>14828</v>
      </c>
      <c r="E119" s="22">
        <f>+'Entrate tot e finalizzati'!G119-'Entrate tot e finalizzati'!H119</f>
        <v>15006</v>
      </c>
      <c r="F119" s="22">
        <f>+'Entrate tot e finalizzati'!I119-'Entrate tot e finalizzati'!J119</f>
        <v>0</v>
      </c>
      <c r="G119" s="22">
        <f>+'Entrate tot e finalizzati'!K119-'Entrate tot e finalizzati'!L119</f>
        <v>0</v>
      </c>
      <c r="H119" s="22">
        <f>+'Entrate tot e finalizzati'!M119-'Entrate tot e finalizzati'!N119</f>
        <v>0</v>
      </c>
      <c r="I119" s="22">
        <f>+'Entrate tot e finalizzati'!O119-'Entrate tot e finalizzati'!P119</f>
        <v>0</v>
      </c>
      <c r="J119" s="22">
        <f>+'Entrate tot e finalizzati'!Q119-'Entrate tot e finalizzati'!R119</f>
        <v>0</v>
      </c>
      <c r="K119" s="22">
        <f>+'Entrate tot e finalizzati'!S119-'Entrate tot e finalizzati'!T119</f>
        <v>0</v>
      </c>
      <c r="L119" s="22">
        <f>+'Entrate tot e finalizzati'!U119-'Entrate tot e finalizzati'!V119</f>
        <v>0</v>
      </c>
      <c r="M119" s="39"/>
      <c r="N119" s="39"/>
      <c r="O119" s="39"/>
      <c r="P119" s="39"/>
      <c r="Q119" s="39"/>
      <c r="R119" s="39"/>
      <c r="S119" s="39"/>
      <c r="T119" s="39"/>
    </row>
    <row r="120" spans="1:20" s="2" customFormat="1" ht="12.75">
      <c r="A120" s="87"/>
      <c r="B120" s="35" t="s">
        <v>49</v>
      </c>
      <c r="C120" s="22">
        <f>+'Entrate tot e finalizzati'!C120-'Entrate tot e finalizzati'!D120</f>
        <v>0</v>
      </c>
      <c r="D120" s="22">
        <f>+'Entrate tot e finalizzati'!E120-'Entrate tot e finalizzati'!F120</f>
        <v>0</v>
      </c>
      <c r="E120" s="22">
        <f>+'Entrate tot e finalizzati'!G120-'Entrate tot e finalizzati'!H120</f>
        <v>11362</v>
      </c>
      <c r="F120" s="22">
        <f>+'Entrate tot e finalizzati'!I120-'Entrate tot e finalizzati'!J120</f>
        <v>11362</v>
      </c>
      <c r="G120" s="22">
        <f>+'Entrate tot e finalizzati'!K120-'Entrate tot e finalizzati'!L120</f>
        <v>23422</v>
      </c>
      <c r="H120" s="22">
        <f>+'Entrate tot e finalizzati'!M120-'Entrate tot e finalizzati'!N120</f>
        <v>23422</v>
      </c>
      <c r="I120" s="22">
        <f>+'Entrate tot e finalizzati'!O120-'Entrate tot e finalizzati'!P120</f>
        <v>23601</v>
      </c>
      <c r="J120" s="22">
        <f>+'Entrate tot e finalizzati'!Q120-'Entrate tot e finalizzati'!R120</f>
        <v>24632</v>
      </c>
      <c r="K120" s="22">
        <f>+'Entrate tot e finalizzati'!S120-'Entrate tot e finalizzati'!T120</f>
        <v>25537</v>
      </c>
      <c r="L120" s="22">
        <f>+'Entrate tot e finalizzati'!U120-'Entrate tot e finalizzati'!V120</f>
        <v>41890</v>
      </c>
      <c r="M120" s="39"/>
      <c r="N120" s="39"/>
      <c r="O120" s="39"/>
      <c r="P120" s="39"/>
      <c r="Q120" s="39"/>
      <c r="R120" s="39"/>
      <c r="S120" s="39"/>
      <c r="T120" s="39"/>
    </row>
    <row r="121" spans="1:20" s="2" customFormat="1" ht="12.75">
      <c r="A121" s="87"/>
      <c r="B121" s="35" t="s">
        <v>92</v>
      </c>
      <c r="C121" s="22">
        <f>+'Entrate tot e finalizzati'!C121-'Entrate tot e finalizzati'!D121</f>
        <v>0</v>
      </c>
      <c r="D121" s="22">
        <f>+'Entrate tot e finalizzati'!E121-'Entrate tot e finalizzati'!F121</f>
        <v>0</v>
      </c>
      <c r="E121" s="22">
        <f>+'Entrate tot e finalizzati'!G121-'Entrate tot e finalizzati'!H121</f>
        <v>0</v>
      </c>
      <c r="F121" s="22">
        <f>+'Entrate tot e finalizzati'!I121-'Entrate tot e finalizzati'!J121</f>
        <v>0</v>
      </c>
      <c r="G121" s="22">
        <f>+'Entrate tot e finalizzati'!K121-'Entrate tot e finalizzati'!L121</f>
        <v>0</v>
      </c>
      <c r="H121" s="22">
        <f>+'Entrate tot e finalizzati'!M121-'Entrate tot e finalizzati'!N121</f>
        <v>846</v>
      </c>
      <c r="I121" s="22">
        <f>+'Entrate tot e finalizzati'!O121-'Entrate tot e finalizzati'!P121</f>
        <v>475</v>
      </c>
      <c r="J121" s="22">
        <f>+'Entrate tot e finalizzati'!Q121-'Entrate tot e finalizzati'!R121</f>
        <v>870</v>
      </c>
      <c r="K121" s="22">
        <f>+'Entrate tot e finalizzati'!S121-'Entrate tot e finalizzati'!T121</f>
        <v>0</v>
      </c>
      <c r="L121" s="22">
        <f>+'Entrate tot e finalizzati'!U121-'Entrate tot e finalizzati'!V121</f>
        <v>0</v>
      </c>
      <c r="M121" s="39"/>
      <c r="N121" s="39"/>
      <c r="O121" s="39"/>
      <c r="P121" s="39"/>
      <c r="Q121" s="39"/>
      <c r="R121" s="39"/>
      <c r="S121" s="39"/>
      <c r="T121" s="39"/>
    </row>
    <row r="122" spans="1:20" s="2" customFormat="1" ht="12.75">
      <c r="A122" s="87"/>
      <c r="B122" s="35" t="s">
        <v>50</v>
      </c>
      <c r="C122" s="22">
        <f>+'Entrate tot e finalizzati'!C122-'Entrate tot e finalizzati'!D122</f>
        <v>0</v>
      </c>
      <c r="D122" s="22">
        <f>+'Entrate tot e finalizzati'!E122-'Entrate tot e finalizzati'!F122</f>
        <v>2585</v>
      </c>
      <c r="E122" s="22">
        <f>+'Entrate tot e finalizzati'!G122-'Entrate tot e finalizzati'!H122</f>
        <v>3346</v>
      </c>
      <c r="F122" s="22">
        <f>+'Entrate tot e finalizzati'!I122-'Entrate tot e finalizzati'!J122</f>
        <v>4024</v>
      </c>
      <c r="G122" s="22">
        <f>+'Entrate tot e finalizzati'!K122-'Entrate tot e finalizzati'!L122</f>
        <v>3697</v>
      </c>
      <c r="H122" s="22">
        <f>+'Entrate tot e finalizzati'!M122-'Entrate tot e finalizzati'!N122</f>
        <v>4043</v>
      </c>
      <c r="I122" s="22">
        <f>+'Entrate tot e finalizzati'!O122-'Entrate tot e finalizzati'!P122</f>
        <v>3697</v>
      </c>
      <c r="J122" s="22">
        <f>+'Entrate tot e finalizzati'!Q122-'Entrate tot e finalizzati'!R122</f>
        <v>3738</v>
      </c>
      <c r="K122" s="22">
        <f>+'Entrate tot e finalizzati'!S122-'Entrate tot e finalizzati'!T122</f>
        <v>3809</v>
      </c>
      <c r="L122" s="22">
        <f>+'Entrate tot e finalizzati'!U122-'Entrate tot e finalizzati'!V122</f>
        <v>6674</v>
      </c>
      <c r="M122" s="39"/>
      <c r="N122" s="39"/>
      <c r="O122" s="39"/>
      <c r="P122" s="39"/>
      <c r="Q122" s="39"/>
      <c r="R122" s="39"/>
      <c r="S122" s="39"/>
      <c r="T122" s="39"/>
    </row>
    <row r="123" spans="1:20" s="2" customFormat="1" ht="12.75">
      <c r="A123" s="87"/>
      <c r="B123" s="35" t="s">
        <v>51</v>
      </c>
      <c r="C123" s="22">
        <f>+'Entrate tot e finalizzati'!C123-'Entrate tot e finalizzati'!D123</f>
        <v>0</v>
      </c>
      <c r="D123" s="22">
        <f>+'Entrate tot e finalizzati'!E123-'Entrate tot e finalizzati'!F123</f>
        <v>3815</v>
      </c>
      <c r="E123" s="22">
        <f>+'Entrate tot e finalizzati'!G123-'Entrate tot e finalizzati'!H123</f>
        <v>2345</v>
      </c>
      <c r="F123" s="22">
        <f>+'Entrate tot e finalizzati'!I123-'Entrate tot e finalizzati'!J123</f>
        <v>395</v>
      </c>
      <c r="G123" s="22">
        <f>+'Entrate tot e finalizzati'!K123-'Entrate tot e finalizzati'!L123</f>
        <v>0</v>
      </c>
      <c r="H123" s="22">
        <f>+'Entrate tot e finalizzati'!M123-'Entrate tot e finalizzati'!N123</f>
        <v>0</v>
      </c>
      <c r="I123" s="22">
        <f>+'Entrate tot e finalizzati'!O123-'Entrate tot e finalizzati'!P123</f>
        <v>0</v>
      </c>
      <c r="J123" s="22">
        <f>+'Entrate tot e finalizzati'!Q123-'Entrate tot e finalizzati'!R123</f>
        <v>0</v>
      </c>
      <c r="K123" s="22">
        <f>+'Entrate tot e finalizzati'!S123-'Entrate tot e finalizzati'!T123</f>
        <v>0</v>
      </c>
      <c r="L123" s="22">
        <f>+'Entrate tot e finalizzati'!U123-'Entrate tot e finalizzati'!V123</f>
        <v>0</v>
      </c>
      <c r="M123" s="39"/>
      <c r="N123" s="39"/>
      <c r="O123" s="39"/>
      <c r="P123" s="39"/>
      <c r="Q123" s="39"/>
      <c r="R123" s="39"/>
      <c r="S123" s="39"/>
      <c r="T123" s="39"/>
    </row>
    <row r="124" spans="1:20" s="2" customFormat="1" ht="12.75">
      <c r="A124" s="87"/>
      <c r="B124" s="35" t="s">
        <v>104</v>
      </c>
      <c r="C124" s="22">
        <f>+'Entrate tot e finalizzati'!C124-'Entrate tot e finalizzati'!D124</f>
        <v>0</v>
      </c>
      <c r="D124" s="22">
        <f>+'Entrate tot e finalizzati'!E124-'Entrate tot e finalizzati'!F124</f>
        <v>0</v>
      </c>
      <c r="E124" s="22">
        <f>+'Entrate tot e finalizzati'!G124-'Entrate tot e finalizzati'!H124</f>
        <v>0</v>
      </c>
      <c r="F124" s="22">
        <f>+'Entrate tot e finalizzati'!I124-'Entrate tot e finalizzati'!J124</f>
        <v>0</v>
      </c>
      <c r="G124" s="22">
        <f>+'Entrate tot e finalizzati'!K124-'Entrate tot e finalizzati'!L124</f>
        <v>0</v>
      </c>
      <c r="H124" s="22">
        <f>+'Entrate tot e finalizzati'!M124-'Entrate tot e finalizzati'!N124</f>
        <v>0</v>
      </c>
      <c r="I124" s="22">
        <f>+'Entrate tot e finalizzati'!O124-'Entrate tot e finalizzati'!P124</f>
        <v>249</v>
      </c>
      <c r="J124" s="22">
        <f>+'Entrate tot e finalizzati'!Q124-'Entrate tot e finalizzati'!R124</f>
        <v>434</v>
      </c>
      <c r="K124" s="22">
        <f>+'Entrate tot e finalizzati'!S124-'Entrate tot e finalizzati'!T124</f>
        <v>318</v>
      </c>
      <c r="L124" s="22">
        <f>+'Entrate tot e finalizzati'!U124-'Entrate tot e finalizzati'!V124</f>
        <v>311</v>
      </c>
      <c r="M124" s="39"/>
      <c r="N124" s="39"/>
      <c r="O124" s="39"/>
      <c r="P124" s="39"/>
      <c r="Q124" s="39"/>
      <c r="R124" s="39"/>
      <c r="S124" s="39"/>
      <c r="T124" s="39"/>
    </row>
    <row r="125" spans="1:20" s="2" customFormat="1" ht="12.75">
      <c r="A125" s="99"/>
      <c r="B125" s="16" t="s">
        <v>32</v>
      </c>
      <c r="C125" s="73">
        <f>+'Entrate tot e finalizzati'!C125-'Entrate tot e finalizzati'!D125</f>
        <v>0</v>
      </c>
      <c r="D125" s="84">
        <f>+'Entrate tot e finalizzati'!E125-'Entrate tot e finalizzati'!F125</f>
        <v>0</v>
      </c>
      <c r="E125" s="73">
        <f>+'Entrate tot e finalizzati'!G125-'Entrate tot e finalizzati'!H125</f>
        <v>0</v>
      </c>
      <c r="F125" s="73">
        <f>+'Entrate tot e finalizzati'!I125-'Entrate tot e finalizzati'!J125</f>
        <v>568</v>
      </c>
      <c r="G125" s="73">
        <f>+'Entrate tot e finalizzati'!K125-'Entrate tot e finalizzati'!L125</f>
        <v>0</v>
      </c>
      <c r="H125" s="73">
        <f>+'Entrate tot e finalizzati'!M125-'Entrate tot e finalizzati'!N125</f>
        <v>16</v>
      </c>
      <c r="I125" s="73">
        <f>+'Entrate tot e finalizzati'!O125-'Entrate tot e finalizzati'!P125</f>
        <v>0</v>
      </c>
      <c r="J125" s="73">
        <f>+'Entrate tot e finalizzati'!Q125-'Entrate tot e finalizzati'!R125</f>
        <v>16</v>
      </c>
      <c r="K125" s="73">
        <f>+'Entrate tot e finalizzati'!S125-'Entrate tot e finalizzati'!T125</f>
        <v>30</v>
      </c>
      <c r="L125" s="73">
        <f>+'Entrate tot e finalizzati'!U125-'Entrate tot e finalizzati'!V125</f>
        <v>10</v>
      </c>
      <c r="M125" s="39"/>
      <c r="N125" s="39"/>
      <c r="O125" s="39"/>
      <c r="P125" s="39"/>
      <c r="Q125" s="39"/>
      <c r="R125" s="39"/>
      <c r="S125" s="39"/>
      <c r="T125" s="39"/>
    </row>
    <row r="126" spans="1:20" s="2" customFormat="1" ht="12.75">
      <c r="A126" s="27" t="s">
        <v>131</v>
      </c>
      <c r="B126" s="28"/>
      <c r="C126" s="29">
        <f>+'Entrate tot e finalizzati'!C126-'Entrate tot e finalizzati'!D126</f>
        <v>6349</v>
      </c>
      <c r="D126" s="29">
        <f>+'Entrate tot e finalizzati'!E126-'Entrate tot e finalizzati'!F126</f>
        <v>6264</v>
      </c>
      <c r="E126" s="29">
        <f>+'Entrate tot e finalizzati'!G126-'Entrate tot e finalizzati'!H126</f>
        <v>7933</v>
      </c>
      <c r="F126" s="29">
        <f>+'Entrate tot e finalizzati'!I126-'Entrate tot e finalizzati'!J126</f>
        <v>11402</v>
      </c>
      <c r="G126" s="29">
        <f>+'Entrate tot e finalizzati'!K126-'Entrate tot e finalizzati'!L126</f>
        <v>11895</v>
      </c>
      <c r="H126" s="29">
        <f>+'Entrate tot e finalizzati'!M126-'Entrate tot e finalizzati'!N126</f>
        <v>11648</v>
      </c>
      <c r="I126" s="29">
        <f>+'Entrate tot e finalizzati'!O126-'Entrate tot e finalizzati'!P126</f>
        <v>11738</v>
      </c>
      <c r="J126" s="29">
        <f>+'Entrate tot e finalizzati'!Q126-'Entrate tot e finalizzati'!R126</f>
        <v>11809</v>
      </c>
      <c r="K126" s="29">
        <f>+'Entrate tot e finalizzati'!S126-'Entrate tot e finalizzati'!T126</f>
        <v>11745</v>
      </c>
      <c r="L126" s="29">
        <f>+'Entrate tot e finalizzati'!U126-'Entrate tot e finalizzati'!V126</f>
        <v>12319</v>
      </c>
      <c r="M126" s="39"/>
      <c r="N126" s="39"/>
      <c r="O126" s="39"/>
      <c r="P126" s="39"/>
      <c r="Q126" s="39"/>
      <c r="R126" s="39"/>
      <c r="S126" s="39"/>
      <c r="T126" s="39"/>
    </row>
    <row r="127" spans="1:20" s="2" customFormat="1" ht="12.75">
      <c r="A127" s="52"/>
      <c r="B127" s="35" t="s">
        <v>105</v>
      </c>
      <c r="C127" s="36">
        <f>+'Entrate tot e finalizzati'!C127-'Entrate tot e finalizzati'!D127</f>
        <v>147</v>
      </c>
      <c r="D127" s="37">
        <f>+'Entrate tot e finalizzati'!E127-'Entrate tot e finalizzati'!F127</f>
        <v>128</v>
      </c>
      <c r="E127" s="50">
        <f>+'Entrate tot e finalizzati'!G127-'Entrate tot e finalizzati'!H127</f>
        <v>123</v>
      </c>
      <c r="F127" s="50">
        <f>+'Entrate tot e finalizzati'!I127-'Entrate tot e finalizzati'!J127</f>
        <v>0</v>
      </c>
      <c r="G127" s="50">
        <f>+'Entrate tot e finalizzati'!K127-'Entrate tot e finalizzati'!L127</f>
        <v>0</v>
      </c>
      <c r="H127" s="36">
        <f>+'Entrate tot e finalizzati'!M127-'Entrate tot e finalizzati'!N127</f>
        <v>0</v>
      </c>
      <c r="I127" s="50">
        <f>+'Entrate tot e finalizzati'!O127-'Entrate tot e finalizzati'!P127</f>
        <v>0</v>
      </c>
      <c r="J127" s="50">
        <f>+'Entrate tot e finalizzati'!Q127-'Entrate tot e finalizzati'!R127</f>
        <v>0</v>
      </c>
      <c r="K127" s="50">
        <f>+'Entrate tot e finalizzati'!S127-'Entrate tot e finalizzati'!T127</f>
        <v>0</v>
      </c>
      <c r="L127" s="36">
        <f>+'Entrate tot e finalizzati'!U127-'Entrate tot e finalizzati'!V127</f>
        <v>0</v>
      </c>
      <c r="M127" s="39"/>
      <c r="N127" s="39"/>
      <c r="O127" s="39"/>
      <c r="P127" s="39"/>
      <c r="Q127" s="39"/>
      <c r="R127" s="39"/>
      <c r="S127" s="39"/>
      <c r="T127" s="39"/>
    </row>
    <row r="128" spans="1:20" s="2" customFormat="1" ht="12.75">
      <c r="A128" s="52"/>
      <c r="B128" s="35" t="s">
        <v>54</v>
      </c>
      <c r="C128" s="36">
        <f>+'Entrate tot e finalizzati'!C128-'Entrate tot e finalizzati'!D128</f>
        <v>4010</v>
      </c>
      <c r="D128" s="37">
        <f>+'Entrate tot e finalizzati'!E128-'Entrate tot e finalizzati'!F128</f>
        <v>4651</v>
      </c>
      <c r="E128" s="50">
        <f>+'Entrate tot e finalizzati'!G128-'Entrate tot e finalizzati'!H128</f>
        <v>4661</v>
      </c>
      <c r="F128" s="50">
        <f>+'Entrate tot e finalizzati'!I128-'Entrate tot e finalizzati'!J128</f>
        <v>5460</v>
      </c>
      <c r="G128" s="50">
        <f>+'Entrate tot e finalizzati'!K128-'Entrate tot e finalizzati'!L128</f>
        <v>5457</v>
      </c>
      <c r="H128" s="36">
        <f>+'Entrate tot e finalizzati'!M128-'Entrate tot e finalizzati'!N128</f>
        <v>5686</v>
      </c>
      <c r="I128" s="50">
        <f>+'Entrate tot e finalizzati'!O128-'Entrate tot e finalizzati'!P128</f>
        <v>5615</v>
      </c>
      <c r="J128" s="50">
        <f>+'Entrate tot e finalizzati'!Q128-'Entrate tot e finalizzati'!R128</f>
        <v>5702</v>
      </c>
      <c r="K128" s="50">
        <f>+'Entrate tot e finalizzati'!S128-'Entrate tot e finalizzati'!T128</f>
        <v>5656</v>
      </c>
      <c r="L128" s="36">
        <f>+'Entrate tot e finalizzati'!U128-'Entrate tot e finalizzati'!V128</f>
        <v>5907</v>
      </c>
      <c r="M128" s="39"/>
      <c r="N128" s="39"/>
      <c r="O128" s="39"/>
      <c r="P128" s="39"/>
      <c r="Q128" s="39"/>
      <c r="R128" s="39"/>
      <c r="S128" s="39"/>
      <c r="T128" s="39"/>
    </row>
    <row r="129" spans="1:20" s="2" customFormat="1" ht="12.75">
      <c r="A129" s="52"/>
      <c r="B129" s="35" t="s">
        <v>106</v>
      </c>
      <c r="C129" s="36">
        <f>+'Entrate tot e finalizzati'!C129-'Entrate tot e finalizzati'!D129</f>
        <v>177</v>
      </c>
      <c r="D129" s="37">
        <f>+'Entrate tot e finalizzati'!E129-'Entrate tot e finalizzati'!F129</f>
        <v>193</v>
      </c>
      <c r="E129" s="50">
        <f>+'Entrate tot e finalizzati'!G129-'Entrate tot e finalizzati'!H129</f>
        <v>189</v>
      </c>
      <c r="F129" s="50">
        <f>+'Entrate tot e finalizzati'!I129-'Entrate tot e finalizzati'!J129</f>
        <v>0</v>
      </c>
      <c r="G129" s="50">
        <f>+'Entrate tot e finalizzati'!K129-'Entrate tot e finalizzati'!L129</f>
        <v>0</v>
      </c>
      <c r="H129" s="36">
        <f>+'Entrate tot e finalizzati'!M129-'Entrate tot e finalizzati'!N129</f>
        <v>0</v>
      </c>
      <c r="I129" s="50">
        <f>+'Entrate tot e finalizzati'!O129-'Entrate tot e finalizzati'!P129</f>
        <v>0</v>
      </c>
      <c r="J129" s="50">
        <f>+'Entrate tot e finalizzati'!Q129-'Entrate tot e finalizzati'!R129</f>
        <v>0</v>
      </c>
      <c r="K129" s="50">
        <f>+'Entrate tot e finalizzati'!S129-'Entrate tot e finalizzati'!T129</f>
        <v>0</v>
      </c>
      <c r="L129" s="36">
        <f>+'Entrate tot e finalizzati'!U129-'Entrate tot e finalizzati'!V129</f>
        <v>0</v>
      </c>
      <c r="M129" s="39"/>
      <c r="N129" s="39"/>
      <c r="O129" s="39"/>
      <c r="P129" s="39"/>
      <c r="Q129" s="39"/>
      <c r="R129" s="39"/>
      <c r="S129" s="39"/>
      <c r="T129" s="39"/>
    </row>
    <row r="130" spans="1:20" s="2" customFormat="1" ht="12.75">
      <c r="A130" s="52"/>
      <c r="B130" s="35" t="s">
        <v>55</v>
      </c>
      <c r="C130" s="24">
        <f>+'Entrate tot e finalizzati'!C130-'Entrate tot e finalizzati'!D130</f>
        <v>695</v>
      </c>
      <c r="D130" s="24">
        <f>+'Entrate tot e finalizzati'!E130-'Entrate tot e finalizzati'!F130</f>
        <v>501</v>
      </c>
      <c r="E130" s="24">
        <f>+'Entrate tot e finalizzati'!G130-'Entrate tot e finalizzati'!H130</f>
        <v>134</v>
      </c>
      <c r="F130" s="24">
        <f>+'Entrate tot e finalizzati'!I130-'Entrate tot e finalizzati'!J130</f>
        <v>36</v>
      </c>
      <c r="G130" s="24">
        <f>+'Entrate tot e finalizzati'!K130-'Entrate tot e finalizzati'!L130</f>
        <v>27</v>
      </c>
      <c r="H130" s="24">
        <f>+'Entrate tot e finalizzati'!M130-'Entrate tot e finalizzati'!N130</f>
        <v>18</v>
      </c>
      <c r="I130" s="24">
        <f>+'Entrate tot e finalizzati'!O130-'Entrate tot e finalizzati'!P130</f>
        <v>0</v>
      </c>
      <c r="J130" s="24">
        <f>+'Entrate tot e finalizzati'!Q130-'Entrate tot e finalizzati'!R130</f>
        <v>0</v>
      </c>
      <c r="K130" s="24">
        <f>+'Entrate tot e finalizzati'!S130-'Entrate tot e finalizzati'!T130</f>
        <v>0</v>
      </c>
      <c r="L130" s="24">
        <f>+'Entrate tot e finalizzati'!U130-'Entrate tot e finalizzati'!V130</f>
        <v>0</v>
      </c>
      <c r="M130" s="39"/>
      <c r="N130" s="39"/>
      <c r="O130" s="39"/>
      <c r="P130" s="39"/>
      <c r="Q130" s="39"/>
      <c r="R130" s="39"/>
      <c r="S130" s="39"/>
      <c r="T130" s="39"/>
    </row>
    <row r="131" spans="1:20" s="2" customFormat="1" ht="12.75">
      <c r="A131" s="52"/>
      <c r="B131" s="35" t="s">
        <v>56</v>
      </c>
      <c r="C131" s="24">
        <f>+'Entrate tot e finalizzati'!C131-'Entrate tot e finalizzati'!D131</f>
        <v>581</v>
      </c>
      <c r="D131" s="24">
        <f>+'Entrate tot e finalizzati'!E131-'Entrate tot e finalizzati'!F131</f>
        <v>361</v>
      </c>
      <c r="E131" s="24">
        <f>+'Entrate tot e finalizzati'!G131-'Entrate tot e finalizzati'!H131</f>
        <v>282</v>
      </c>
      <c r="F131" s="24">
        <f>+'Entrate tot e finalizzati'!I131-'Entrate tot e finalizzati'!J131</f>
        <v>290</v>
      </c>
      <c r="G131" s="24">
        <f>+'Entrate tot e finalizzati'!K131-'Entrate tot e finalizzati'!L131</f>
        <v>792</v>
      </c>
      <c r="H131" s="24">
        <f>+'Entrate tot e finalizzati'!M131-'Entrate tot e finalizzati'!N131</f>
        <v>304</v>
      </c>
      <c r="I131" s="24">
        <f>+'Entrate tot e finalizzati'!O131-'Entrate tot e finalizzati'!P131</f>
        <v>311</v>
      </c>
      <c r="J131" s="24">
        <f>+'Entrate tot e finalizzati'!Q131-'Entrate tot e finalizzati'!R131</f>
        <v>317</v>
      </c>
      <c r="K131" s="24">
        <f>+'Entrate tot e finalizzati'!S131-'Entrate tot e finalizzati'!T131</f>
        <v>323</v>
      </c>
      <c r="L131" s="24">
        <f>+'Entrate tot e finalizzati'!U131-'Entrate tot e finalizzati'!V131</f>
        <v>328</v>
      </c>
      <c r="M131" s="39"/>
      <c r="N131" s="39"/>
      <c r="O131" s="39"/>
      <c r="P131" s="39"/>
      <c r="Q131" s="39"/>
      <c r="R131" s="39"/>
      <c r="S131" s="39"/>
      <c r="T131" s="39"/>
    </row>
    <row r="132" spans="1:20" s="2" customFormat="1" ht="12.75">
      <c r="A132" s="52"/>
      <c r="B132" s="10" t="s">
        <v>33</v>
      </c>
      <c r="C132" s="24">
        <f>+'Entrate tot e finalizzati'!C132-'Entrate tot e finalizzati'!D132</f>
        <v>739</v>
      </c>
      <c r="D132" s="24">
        <f>+'Entrate tot e finalizzati'!E132-'Entrate tot e finalizzati'!F132</f>
        <v>430</v>
      </c>
      <c r="E132" s="24">
        <f>+'Entrate tot e finalizzati'!G132-'Entrate tot e finalizzati'!H132</f>
        <v>272</v>
      </c>
      <c r="F132" s="24">
        <f>+'Entrate tot e finalizzati'!I132-'Entrate tot e finalizzati'!J132</f>
        <v>374</v>
      </c>
      <c r="G132" s="24">
        <f>+'Entrate tot e finalizzati'!K132-'Entrate tot e finalizzati'!L132</f>
        <v>219</v>
      </c>
      <c r="H132" s="24">
        <f>+'Entrate tot e finalizzati'!M132-'Entrate tot e finalizzati'!N132</f>
        <v>212</v>
      </c>
      <c r="I132" s="24">
        <f>+'Entrate tot e finalizzati'!O132-'Entrate tot e finalizzati'!P132</f>
        <v>284</v>
      </c>
      <c r="J132" s="24">
        <f>+'Entrate tot e finalizzati'!Q132-'Entrate tot e finalizzati'!R132</f>
        <v>198</v>
      </c>
      <c r="K132" s="24">
        <f>+'Entrate tot e finalizzati'!S132-'Entrate tot e finalizzati'!T132</f>
        <v>171</v>
      </c>
      <c r="L132" s="24">
        <f>+'Entrate tot e finalizzati'!U132-'Entrate tot e finalizzati'!V132</f>
        <v>270</v>
      </c>
      <c r="M132" s="39"/>
      <c r="N132" s="39"/>
      <c r="O132" s="39"/>
      <c r="P132" s="39"/>
      <c r="Q132" s="39"/>
      <c r="R132" s="39"/>
      <c r="S132" s="39"/>
      <c r="T132" s="39"/>
    </row>
    <row r="133" spans="1:20" s="2" customFormat="1" ht="12.75">
      <c r="A133" s="52"/>
      <c r="B133" s="34" t="s">
        <v>112</v>
      </c>
      <c r="C133" s="36">
        <f>+'Entrate tot e finalizzati'!C133-'Entrate tot e finalizzati'!D133</f>
        <v>0</v>
      </c>
      <c r="D133" s="36">
        <f>+'Entrate tot e finalizzati'!E133-'Entrate tot e finalizzati'!F133</f>
        <v>0</v>
      </c>
      <c r="E133" s="36">
        <f>+'Entrate tot e finalizzati'!G133-'Entrate tot e finalizzati'!H133</f>
        <v>0</v>
      </c>
      <c r="F133" s="36">
        <f>+'Entrate tot e finalizzati'!I133-'Entrate tot e finalizzati'!J133</f>
        <v>0</v>
      </c>
      <c r="G133" s="36">
        <f>+'Entrate tot e finalizzati'!K133-'Entrate tot e finalizzati'!L133</f>
        <v>0</v>
      </c>
      <c r="H133" s="36">
        <f>+'Entrate tot e finalizzati'!M133-'Entrate tot e finalizzati'!N133</f>
        <v>0</v>
      </c>
      <c r="I133" s="36">
        <f>+'Entrate tot e finalizzati'!O133-'Entrate tot e finalizzati'!P133</f>
        <v>0</v>
      </c>
      <c r="J133" s="36">
        <f>+'Entrate tot e finalizzati'!Q133-'Entrate tot e finalizzati'!R133</f>
        <v>0</v>
      </c>
      <c r="K133" s="36">
        <f>+'Entrate tot e finalizzati'!S133-'Entrate tot e finalizzati'!T133</f>
        <v>0</v>
      </c>
      <c r="L133" s="36">
        <f>+'Entrate tot e finalizzati'!U133-'Entrate tot e finalizzati'!V133</f>
        <v>0</v>
      </c>
      <c r="M133" s="39"/>
      <c r="N133" s="39"/>
      <c r="O133" s="39"/>
      <c r="P133" s="39"/>
      <c r="Q133" s="39"/>
      <c r="R133" s="39"/>
      <c r="S133" s="39"/>
      <c r="T133" s="39"/>
    </row>
    <row r="134" spans="1:20" s="2" customFormat="1" ht="12.75">
      <c r="A134" s="52"/>
      <c r="B134" s="35" t="s">
        <v>59</v>
      </c>
      <c r="C134" s="36">
        <f>+'Entrate tot e finalizzati'!C134-'Entrate tot e finalizzati'!D134</f>
        <v>0</v>
      </c>
      <c r="D134" s="36">
        <f>+'Entrate tot e finalizzati'!E134-'Entrate tot e finalizzati'!F134</f>
        <v>0</v>
      </c>
      <c r="E134" s="36">
        <f>+'Entrate tot e finalizzati'!G134-'Entrate tot e finalizzati'!H134</f>
        <v>0</v>
      </c>
      <c r="F134" s="36">
        <f>+'Entrate tot e finalizzati'!I134-'Entrate tot e finalizzati'!J134</f>
        <v>0</v>
      </c>
      <c r="G134" s="36">
        <f>+'Entrate tot e finalizzati'!K134-'Entrate tot e finalizzati'!L134</f>
        <v>162</v>
      </c>
      <c r="H134" s="36">
        <f>+'Entrate tot e finalizzati'!M134-'Entrate tot e finalizzati'!N134</f>
        <v>114</v>
      </c>
      <c r="I134" s="36">
        <f>+'Entrate tot e finalizzati'!O134-'Entrate tot e finalizzati'!P134</f>
        <v>145</v>
      </c>
      <c r="J134" s="36">
        <f>+'Entrate tot e finalizzati'!Q134-'Entrate tot e finalizzati'!R134</f>
        <v>145</v>
      </c>
      <c r="K134" s="36">
        <f>+'Entrate tot e finalizzati'!S134-'Entrate tot e finalizzati'!T134</f>
        <v>87</v>
      </c>
      <c r="L134" s="36">
        <f>+'Entrate tot e finalizzati'!U134-'Entrate tot e finalizzati'!V134</f>
        <v>136</v>
      </c>
      <c r="M134" s="39"/>
      <c r="N134" s="39"/>
      <c r="O134" s="39"/>
      <c r="P134" s="39"/>
      <c r="Q134" s="39"/>
      <c r="R134" s="39"/>
      <c r="S134" s="39"/>
      <c r="T134" s="39"/>
    </row>
    <row r="135" spans="1:20" s="2" customFormat="1" ht="12.75">
      <c r="A135" s="52"/>
      <c r="B135" s="35" t="s">
        <v>58</v>
      </c>
      <c r="C135" s="36">
        <f>+'Entrate tot e finalizzati'!C135-'Entrate tot e finalizzati'!D135</f>
        <v>0</v>
      </c>
      <c r="D135" s="36">
        <f>+'Entrate tot e finalizzati'!E135-'Entrate tot e finalizzati'!F135</f>
        <v>0</v>
      </c>
      <c r="E135" s="36">
        <f>+'Entrate tot e finalizzati'!G135-'Entrate tot e finalizzati'!H135</f>
        <v>0</v>
      </c>
      <c r="F135" s="36">
        <f>+'Entrate tot e finalizzati'!I135-'Entrate tot e finalizzati'!J135</f>
        <v>0</v>
      </c>
      <c r="G135" s="36">
        <f>+'Entrate tot e finalizzati'!K135-'Entrate tot e finalizzati'!L135</f>
        <v>0</v>
      </c>
      <c r="H135" s="36">
        <f>+'Entrate tot e finalizzati'!M135-'Entrate tot e finalizzati'!N135</f>
        <v>0</v>
      </c>
      <c r="I135" s="36">
        <f>+'Entrate tot e finalizzati'!O135-'Entrate tot e finalizzati'!P135</f>
        <v>0</v>
      </c>
      <c r="J135" s="36">
        <f>+'Entrate tot e finalizzati'!Q135-'Entrate tot e finalizzati'!R135</f>
        <v>0</v>
      </c>
      <c r="K135" s="36">
        <f>+'Entrate tot e finalizzati'!S135-'Entrate tot e finalizzati'!T135</f>
        <v>0</v>
      </c>
      <c r="L135" s="36">
        <f>+'Entrate tot e finalizzati'!U135-'Entrate tot e finalizzati'!V135</f>
        <v>0</v>
      </c>
      <c r="M135" s="39"/>
      <c r="N135" s="39"/>
      <c r="O135" s="39"/>
      <c r="P135" s="39"/>
      <c r="Q135" s="39"/>
      <c r="R135" s="39"/>
      <c r="S135" s="39"/>
      <c r="T135" s="39"/>
    </row>
    <row r="136" spans="1:20" s="2" customFormat="1" ht="12.75">
      <c r="A136" s="56"/>
      <c r="B136" s="57" t="s">
        <v>107</v>
      </c>
      <c r="C136" s="36">
        <f>+'Entrate tot e finalizzati'!C136-'Entrate tot e finalizzati'!D136</f>
        <v>0</v>
      </c>
      <c r="D136" s="36">
        <f>+'Entrate tot e finalizzati'!E136-'Entrate tot e finalizzati'!F136</f>
        <v>0</v>
      </c>
      <c r="E136" s="36">
        <f>+'Entrate tot e finalizzati'!G136-'Entrate tot e finalizzati'!H136</f>
        <v>2272</v>
      </c>
      <c r="F136" s="36">
        <f>+'Entrate tot e finalizzati'!I136-'Entrate tot e finalizzati'!J136</f>
        <v>5242</v>
      </c>
      <c r="G136" s="36">
        <f>+'Entrate tot e finalizzati'!K136-'Entrate tot e finalizzati'!L136</f>
        <v>5238</v>
      </c>
      <c r="H136" s="36">
        <f>+'Entrate tot e finalizzati'!M136-'Entrate tot e finalizzati'!N136</f>
        <v>5314</v>
      </c>
      <c r="I136" s="36">
        <f>+'Entrate tot e finalizzati'!O136-'Entrate tot e finalizzati'!P136</f>
        <v>5383</v>
      </c>
      <c r="J136" s="36">
        <f>+'Entrate tot e finalizzati'!Q136-'Entrate tot e finalizzati'!R136</f>
        <v>5447</v>
      </c>
      <c r="K136" s="36">
        <f>+'Entrate tot e finalizzati'!S136-'Entrate tot e finalizzati'!T136</f>
        <v>5508</v>
      </c>
      <c r="L136" s="36">
        <f>+'Entrate tot e finalizzati'!U136-'Entrate tot e finalizzati'!V136</f>
        <v>5678</v>
      </c>
      <c r="M136" s="39"/>
      <c r="N136" s="39"/>
      <c r="O136" s="39"/>
      <c r="P136" s="39"/>
      <c r="Q136" s="39"/>
      <c r="R136" s="39"/>
      <c r="S136" s="39"/>
      <c r="T136" s="39"/>
    </row>
    <row r="137" spans="1:20" s="2" customFormat="1" ht="12.75">
      <c r="A137" s="27" t="s">
        <v>132</v>
      </c>
      <c r="B137" s="28"/>
      <c r="C137" s="29">
        <f>+'Entrate tot e finalizzati'!C137-'Entrate tot e finalizzati'!D137</f>
        <v>9892</v>
      </c>
      <c r="D137" s="29">
        <f>+'Entrate tot e finalizzati'!E137-'Entrate tot e finalizzati'!F137</f>
        <v>10629</v>
      </c>
      <c r="E137" s="29">
        <f>+'Entrate tot e finalizzati'!G137-'Entrate tot e finalizzati'!H137</f>
        <v>11185</v>
      </c>
      <c r="F137" s="29">
        <f>+'Entrate tot e finalizzati'!I137-'Entrate tot e finalizzati'!J137</f>
        <v>13296</v>
      </c>
      <c r="G137" s="29">
        <f>+'Entrate tot e finalizzati'!K137-'Entrate tot e finalizzati'!L137</f>
        <v>12630</v>
      </c>
      <c r="H137" s="29">
        <f>+'Entrate tot e finalizzati'!M137-'Entrate tot e finalizzati'!N137</f>
        <v>6224</v>
      </c>
      <c r="I137" s="29">
        <f>+'Entrate tot e finalizzati'!O137-'Entrate tot e finalizzati'!P137</f>
        <v>6508</v>
      </c>
      <c r="J137" s="29">
        <f>+'Entrate tot e finalizzati'!Q137-'Entrate tot e finalizzati'!R137</f>
        <v>6036</v>
      </c>
      <c r="K137" s="29">
        <f>+'Entrate tot e finalizzati'!S137-'Entrate tot e finalizzati'!T137</f>
        <v>6684</v>
      </c>
      <c r="L137" s="29">
        <f>+'Entrate tot e finalizzati'!U137-'Entrate tot e finalizzati'!V137</f>
        <v>6738</v>
      </c>
      <c r="M137" s="39"/>
      <c r="N137" s="39"/>
      <c r="O137" s="39"/>
      <c r="P137" s="39"/>
      <c r="Q137" s="39"/>
      <c r="R137" s="39"/>
      <c r="S137" s="39"/>
      <c r="T137" s="39"/>
    </row>
    <row r="138" spans="1:20" s="2" customFormat="1" ht="12.75">
      <c r="A138" s="52"/>
      <c r="B138" s="34" t="s">
        <v>67</v>
      </c>
      <c r="C138" s="22">
        <f>+'Entrate tot e finalizzati'!C138-'Entrate tot e finalizzati'!D138</f>
        <v>0</v>
      </c>
      <c r="D138" s="22">
        <f>+'Entrate tot e finalizzati'!E138-'Entrate tot e finalizzati'!F138</f>
        <v>0</v>
      </c>
      <c r="E138" s="22">
        <f>+'Entrate tot e finalizzati'!G138-'Entrate tot e finalizzati'!H138</f>
        <v>0</v>
      </c>
      <c r="F138" s="22">
        <f>+'Entrate tot e finalizzati'!I138-'Entrate tot e finalizzati'!J138</f>
        <v>0</v>
      </c>
      <c r="G138" s="22">
        <f>+'Entrate tot e finalizzati'!K138-'Entrate tot e finalizzati'!L138</f>
        <v>0</v>
      </c>
      <c r="H138" s="22">
        <f>+'Entrate tot e finalizzati'!M138-'Entrate tot e finalizzati'!N138</f>
        <v>0</v>
      </c>
      <c r="I138" s="22">
        <f>+'Entrate tot e finalizzati'!O138-'Entrate tot e finalizzati'!P138</f>
        <v>0</v>
      </c>
      <c r="J138" s="22">
        <f>+'Entrate tot e finalizzati'!Q138-'Entrate tot e finalizzati'!R138</f>
        <v>0</v>
      </c>
      <c r="K138" s="22">
        <f>+'Entrate tot e finalizzati'!S138-'Entrate tot e finalizzati'!T138</f>
        <v>0</v>
      </c>
      <c r="L138" s="22">
        <f>+'Entrate tot e finalizzati'!U138-'Entrate tot e finalizzati'!V138</f>
        <v>0</v>
      </c>
      <c r="M138" s="39"/>
      <c r="N138" s="39"/>
      <c r="O138" s="39"/>
      <c r="P138" s="39"/>
      <c r="Q138" s="39"/>
      <c r="R138" s="39"/>
      <c r="S138" s="39"/>
      <c r="T138" s="39"/>
    </row>
    <row r="139" spans="1:20" s="2" customFormat="1" ht="12.75">
      <c r="A139" s="52"/>
      <c r="B139" s="34" t="s">
        <v>23</v>
      </c>
      <c r="C139" s="22">
        <f>+'Entrate tot e finalizzati'!C139-'Entrate tot e finalizzati'!D139</f>
        <v>645</v>
      </c>
      <c r="D139" s="22">
        <f>+'Entrate tot e finalizzati'!E139-'Entrate tot e finalizzati'!F139</f>
        <v>608</v>
      </c>
      <c r="E139" s="22">
        <f>+'Entrate tot e finalizzati'!G139-'Entrate tot e finalizzati'!H139</f>
        <v>507</v>
      </c>
      <c r="F139" s="22">
        <f>+'Entrate tot e finalizzati'!I139-'Entrate tot e finalizzati'!J139</f>
        <v>2083</v>
      </c>
      <c r="G139" s="22">
        <f>+'Entrate tot e finalizzati'!K139-'Entrate tot e finalizzati'!L139</f>
        <v>2066</v>
      </c>
      <c r="H139" s="22">
        <f>+'Entrate tot e finalizzati'!M139-'Entrate tot e finalizzati'!N139</f>
        <v>2212</v>
      </c>
      <c r="I139" s="22">
        <f>+'Entrate tot e finalizzati'!O139-'Entrate tot e finalizzati'!P139</f>
        <v>2521</v>
      </c>
      <c r="J139" s="22">
        <f>+'Entrate tot e finalizzati'!Q139-'Entrate tot e finalizzati'!R139</f>
        <v>1685</v>
      </c>
      <c r="K139" s="22">
        <f>+'Entrate tot e finalizzati'!S139-'Entrate tot e finalizzati'!T139</f>
        <v>2525</v>
      </c>
      <c r="L139" s="22">
        <f>+'Entrate tot e finalizzati'!U139-'Entrate tot e finalizzati'!V139</f>
        <v>2326</v>
      </c>
      <c r="M139" s="39"/>
      <c r="N139" s="39"/>
      <c r="O139" s="39"/>
      <c r="P139" s="39"/>
      <c r="Q139" s="39"/>
      <c r="R139" s="39"/>
      <c r="S139" s="39"/>
      <c r="T139" s="39"/>
    </row>
    <row r="140" spans="1:20" s="2" customFormat="1" ht="12.75">
      <c r="A140" s="52"/>
      <c r="B140" s="35" t="s">
        <v>111</v>
      </c>
      <c r="C140" s="36">
        <f>+'Entrate tot e finalizzati'!C140-'Entrate tot e finalizzati'!D140</f>
        <v>0</v>
      </c>
      <c r="D140" s="36">
        <f>+'Entrate tot e finalizzati'!E140-'Entrate tot e finalizzati'!F140</f>
        <v>0</v>
      </c>
      <c r="E140" s="36">
        <f>+'Entrate tot e finalizzati'!G140-'Entrate tot e finalizzati'!H140</f>
        <v>0</v>
      </c>
      <c r="F140" s="36">
        <f>+'Entrate tot e finalizzati'!I140-'Entrate tot e finalizzati'!J140</f>
        <v>0</v>
      </c>
      <c r="G140" s="36">
        <f>+'Entrate tot e finalizzati'!K140-'Entrate tot e finalizzati'!L140</f>
        <v>0</v>
      </c>
      <c r="H140" s="36">
        <f>+'Entrate tot e finalizzati'!M140-'Entrate tot e finalizzati'!N140</f>
        <v>0</v>
      </c>
      <c r="I140" s="36">
        <f>+'Entrate tot e finalizzati'!O140-'Entrate tot e finalizzati'!P140</f>
        <v>0</v>
      </c>
      <c r="J140" s="36">
        <f>+'Entrate tot e finalizzati'!Q140-'Entrate tot e finalizzati'!R140</f>
        <v>0</v>
      </c>
      <c r="K140" s="36">
        <f>+'Entrate tot e finalizzati'!S140-'Entrate tot e finalizzati'!T140</f>
        <v>0</v>
      </c>
      <c r="L140" s="36">
        <f>+'Entrate tot e finalizzati'!U140-'Entrate tot e finalizzati'!V140</f>
        <v>0</v>
      </c>
      <c r="M140" s="39"/>
      <c r="N140" s="39"/>
      <c r="O140" s="39"/>
      <c r="P140" s="39"/>
      <c r="Q140" s="39"/>
      <c r="R140" s="39"/>
      <c r="S140" s="39"/>
      <c r="T140" s="39"/>
    </row>
    <row r="141" spans="1:20" s="2" customFormat="1" ht="12.75">
      <c r="A141" s="52"/>
      <c r="B141" s="35" t="s">
        <v>66</v>
      </c>
      <c r="C141" s="36">
        <f>+'Entrate tot e finalizzati'!C141-'Entrate tot e finalizzati'!D141</f>
        <v>0</v>
      </c>
      <c r="D141" s="36">
        <f>+'Entrate tot e finalizzati'!E141-'Entrate tot e finalizzati'!F141</f>
        <v>0</v>
      </c>
      <c r="E141" s="36">
        <f>+'Entrate tot e finalizzati'!G141-'Entrate tot e finalizzati'!H141</f>
        <v>0</v>
      </c>
      <c r="F141" s="36">
        <f>+'Entrate tot e finalizzati'!I141-'Entrate tot e finalizzati'!J141</f>
        <v>0</v>
      </c>
      <c r="G141" s="36">
        <f>+'Entrate tot e finalizzati'!K141-'Entrate tot e finalizzati'!L141</f>
        <v>0</v>
      </c>
      <c r="H141" s="36">
        <f>+'Entrate tot e finalizzati'!M141-'Entrate tot e finalizzati'!N141</f>
        <v>21</v>
      </c>
      <c r="I141" s="36">
        <f>+'Entrate tot e finalizzati'!O141-'Entrate tot e finalizzati'!P141</f>
        <v>29</v>
      </c>
      <c r="J141" s="36">
        <f>+'Entrate tot e finalizzati'!Q141-'Entrate tot e finalizzati'!R141</f>
        <v>29</v>
      </c>
      <c r="K141" s="36">
        <f>+'Entrate tot e finalizzati'!S141-'Entrate tot e finalizzati'!T141</f>
        <v>0</v>
      </c>
      <c r="L141" s="36">
        <f>+'Entrate tot e finalizzati'!U141-'Entrate tot e finalizzati'!V141</f>
        <v>0</v>
      </c>
      <c r="M141" s="39"/>
      <c r="N141" s="39"/>
      <c r="O141" s="39"/>
      <c r="P141" s="39"/>
      <c r="Q141" s="39"/>
      <c r="R141" s="39"/>
      <c r="S141" s="39"/>
      <c r="T141" s="39"/>
    </row>
    <row r="142" spans="1:20" s="2" customFormat="1" ht="12.75">
      <c r="A142" s="52"/>
      <c r="B142" s="34" t="s">
        <v>108</v>
      </c>
      <c r="C142" s="36">
        <f>+'Entrate tot e finalizzati'!C142-'Entrate tot e finalizzati'!D142</f>
        <v>1241</v>
      </c>
      <c r="D142" s="36">
        <f>+'Entrate tot e finalizzati'!E142-'Entrate tot e finalizzati'!F142</f>
        <v>1437</v>
      </c>
      <c r="E142" s="36">
        <f>+'Entrate tot e finalizzati'!G142-'Entrate tot e finalizzati'!H142</f>
        <v>1862</v>
      </c>
      <c r="F142" s="36">
        <f>+'Entrate tot e finalizzati'!I142-'Entrate tot e finalizzati'!J142</f>
        <v>1773</v>
      </c>
      <c r="G142" s="36">
        <f>+'Entrate tot e finalizzati'!K142-'Entrate tot e finalizzati'!L142</f>
        <v>2155</v>
      </c>
      <c r="H142" s="36">
        <f>+'Entrate tot e finalizzati'!M142-'Entrate tot e finalizzati'!N142</f>
        <v>2327</v>
      </c>
      <c r="I142" s="36">
        <f>+'Entrate tot e finalizzati'!O142-'Entrate tot e finalizzati'!P142</f>
        <v>2302</v>
      </c>
      <c r="J142" s="36">
        <f>+'Entrate tot e finalizzati'!Q142-'Entrate tot e finalizzati'!R142</f>
        <v>2746</v>
      </c>
      <c r="K142" s="36">
        <f>+'Entrate tot e finalizzati'!S142-'Entrate tot e finalizzati'!T142</f>
        <v>2485</v>
      </c>
      <c r="L142" s="36">
        <f>+'Entrate tot e finalizzati'!U142-'Entrate tot e finalizzati'!V142</f>
        <v>2723</v>
      </c>
      <c r="M142" s="39"/>
      <c r="N142" s="39"/>
      <c r="O142" s="39"/>
      <c r="P142" s="39"/>
      <c r="Q142" s="39"/>
      <c r="R142" s="39"/>
      <c r="S142" s="39"/>
      <c r="T142" s="39"/>
    </row>
    <row r="143" spans="1:20" s="2" customFormat="1" ht="12.75">
      <c r="A143" s="52"/>
      <c r="B143" s="34" t="s">
        <v>94</v>
      </c>
      <c r="C143" s="36">
        <f>+'Entrate tot e finalizzati'!C143-'Entrate tot e finalizzati'!D143</f>
        <v>0</v>
      </c>
      <c r="D143" s="36">
        <f>+'Entrate tot e finalizzati'!E143-'Entrate tot e finalizzati'!F143</f>
        <v>0</v>
      </c>
      <c r="E143" s="36">
        <f>+'Entrate tot e finalizzati'!G143-'Entrate tot e finalizzati'!H143</f>
        <v>0</v>
      </c>
      <c r="F143" s="36">
        <f>+'Entrate tot e finalizzati'!I143-'Entrate tot e finalizzati'!J143</f>
        <v>0</v>
      </c>
      <c r="G143" s="36">
        <f>+'Entrate tot e finalizzati'!K143-'Entrate tot e finalizzati'!L143</f>
        <v>0</v>
      </c>
      <c r="H143" s="36">
        <f>+'Entrate tot e finalizzati'!M143-'Entrate tot e finalizzati'!N143</f>
        <v>380</v>
      </c>
      <c r="I143" s="36">
        <f>+'Entrate tot e finalizzati'!O143-'Entrate tot e finalizzati'!P143</f>
        <v>361</v>
      </c>
      <c r="J143" s="36">
        <f>+'Entrate tot e finalizzati'!Q143-'Entrate tot e finalizzati'!R143</f>
        <v>300</v>
      </c>
      <c r="K143" s="36">
        <f>+'Entrate tot e finalizzati'!S143-'Entrate tot e finalizzati'!T143</f>
        <v>317</v>
      </c>
      <c r="L143" s="36">
        <f>+'Entrate tot e finalizzati'!U143-'Entrate tot e finalizzati'!V143</f>
        <v>330</v>
      </c>
      <c r="M143" s="39"/>
      <c r="N143" s="39"/>
      <c r="O143" s="39"/>
      <c r="P143" s="39"/>
      <c r="Q143" s="39"/>
      <c r="R143" s="39"/>
      <c r="S143" s="39"/>
      <c r="T143" s="39"/>
    </row>
    <row r="144" spans="1:20" s="2" customFormat="1" ht="12.75">
      <c r="A144" s="52"/>
      <c r="B144" s="35" t="s">
        <v>46</v>
      </c>
      <c r="C144" s="36">
        <f>+'Entrate tot e finalizzati'!C144-'Entrate tot e finalizzati'!D144</f>
        <v>0</v>
      </c>
      <c r="D144" s="36">
        <f>+'Entrate tot e finalizzati'!E144-'Entrate tot e finalizzati'!F144</f>
        <v>0</v>
      </c>
      <c r="E144" s="36">
        <f>+'Entrate tot e finalizzati'!G144-'Entrate tot e finalizzati'!H144</f>
        <v>0</v>
      </c>
      <c r="F144" s="36">
        <f>+'Entrate tot e finalizzati'!I144-'Entrate tot e finalizzati'!J144</f>
        <v>0</v>
      </c>
      <c r="G144" s="36">
        <f>+'Entrate tot e finalizzati'!K144-'Entrate tot e finalizzati'!L144</f>
        <v>0</v>
      </c>
      <c r="H144" s="36">
        <f>+'Entrate tot e finalizzati'!M144-'Entrate tot e finalizzati'!N144</f>
        <v>0</v>
      </c>
      <c r="I144" s="36">
        <f>+'Entrate tot e finalizzati'!O144-'Entrate tot e finalizzati'!P144</f>
        <v>0</v>
      </c>
      <c r="J144" s="36">
        <f>+'Entrate tot e finalizzati'!Q144-'Entrate tot e finalizzati'!R144</f>
        <v>0</v>
      </c>
      <c r="K144" s="36">
        <f>+'Entrate tot e finalizzati'!S144-'Entrate tot e finalizzati'!T144</f>
        <v>0</v>
      </c>
      <c r="L144" s="36">
        <f>+'Entrate tot e finalizzati'!U144-'Entrate tot e finalizzati'!V144</f>
        <v>0</v>
      </c>
      <c r="M144" s="39"/>
      <c r="N144" s="39"/>
      <c r="O144" s="39"/>
      <c r="P144" s="39"/>
      <c r="Q144" s="39"/>
      <c r="R144" s="39"/>
      <c r="S144" s="39"/>
      <c r="T144" s="39"/>
    </row>
    <row r="145" spans="1:20" s="2" customFormat="1" ht="12.75">
      <c r="A145" s="52"/>
      <c r="B145" s="34" t="s">
        <v>16</v>
      </c>
      <c r="C145" s="36">
        <f>+'Entrate tot e finalizzati'!C145-'Entrate tot e finalizzati'!D145</f>
        <v>516</v>
      </c>
      <c r="D145" s="36">
        <f>+'Entrate tot e finalizzati'!E145-'Entrate tot e finalizzati'!F145</f>
        <v>638</v>
      </c>
      <c r="E145" s="36">
        <f>+'Entrate tot e finalizzati'!G145-'Entrate tot e finalizzati'!H145</f>
        <v>516</v>
      </c>
      <c r="F145" s="36">
        <f>+'Entrate tot e finalizzati'!I145-'Entrate tot e finalizzati'!J145</f>
        <v>697</v>
      </c>
      <c r="G145" s="36">
        <f>+'Entrate tot e finalizzati'!K145-'Entrate tot e finalizzati'!L145</f>
        <v>697</v>
      </c>
      <c r="H145" s="36">
        <f>+'Entrate tot e finalizzati'!M145-'Entrate tot e finalizzati'!N145</f>
        <v>490</v>
      </c>
      <c r="I145" s="36">
        <f>+'Entrate tot e finalizzati'!O145-'Entrate tot e finalizzati'!P145</f>
        <v>550</v>
      </c>
      <c r="J145" s="36">
        <f>+'Entrate tot e finalizzati'!Q145-'Entrate tot e finalizzati'!R145</f>
        <v>425</v>
      </c>
      <c r="K145" s="36">
        <f>+'Entrate tot e finalizzati'!S145-'Entrate tot e finalizzati'!T145</f>
        <v>480</v>
      </c>
      <c r="L145" s="36">
        <f>+'Entrate tot e finalizzati'!U145-'Entrate tot e finalizzati'!V145</f>
        <v>430</v>
      </c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2.75">
      <c r="A146" s="52"/>
      <c r="B146" s="34" t="s">
        <v>17</v>
      </c>
      <c r="C146" s="36">
        <f>+'Entrate tot e finalizzati'!C146-'Entrate tot e finalizzati'!D146</f>
        <v>0</v>
      </c>
      <c r="D146" s="36">
        <f>+'Entrate tot e finalizzati'!E146-'Entrate tot e finalizzati'!F146</f>
        <v>0</v>
      </c>
      <c r="E146" s="36">
        <f>+'Entrate tot e finalizzati'!G146-'Entrate tot e finalizzati'!H146</f>
        <v>0</v>
      </c>
      <c r="F146" s="36">
        <f>+'Entrate tot e finalizzati'!I146-'Entrate tot e finalizzati'!J146</f>
        <v>0</v>
      </c>
      <c r="G146" s="36">
        <f>+'Entrate tot e finalizzati'!K146-'Entrate tot e finalizzati'!L146</f>
        <v>0</v>
      </c>
      <c r="H146" s="36">
        <f>+'Entrate tot e finalizzati'!M146-'Entrate tot e finalizzati'!N146</f>
        <v>0</v>
      </c>
      <c r="I146" s="36">
        <f>+'Entrate tot e finalizzati'!O146-'Entrate tot e finalizzati'!P146</f>
        <v>0</v>
      </c>
      <c r="J146" s="36">
        <f>+'Entrate tot e finalizzati'!Q146-'Entrate tot e finalizzati'!R146</f>
        <v>0</v>
      </c>
      <c r="K146" s="36">
        <f>+'Entrate tot e finalizzati'!S146-'Entrate tot e finalizzati'!T146</f>
        <v>0</v>
      </c>
      <c r="L146" s="36">
        <f>+'Entrate tot e finalizzati'!U146-'Entrate tot e finalizzati'!V146</f>
        <v>0</v>
      </c>
      <c r="M146" s="39"/>
      <c r="N146" s="39"/>
      <c r="O146" s="39"/>
      <c r="P146" s="39"/>
      <c r="Q146" s="39"/>
      <c r="R146" s="39"/>
      <c r="S146" s="39"/>
      <c r="T146" s="39"/>
    </row>
    <row r="147" spans="1:20" s="2" customFormat="1" ht="12.75">
      <c r="A147" s="52"/>
      <c r="B147" s="34" t="s">
        <v>14</v>
      </c>
      <c r="C147" s="36">
        <f>+'Entrate tot e finalizzati'!C147-'Entrate tot e finalizzati'!D147</f>
        <v>0</v>
      </c>
      <c r="D147" s="36">
        <f>+'Entrate tot e finalizzati'!E147-'Entrate tot e finalizzati'!F147</f>
        <v>0</v>
      </c>
      <c r="E147" s="36">
        <f>+'Entrate tot e finalizzati'!G147-'Entrate tot e finalizzati'!H147</f>
        <v>0</v>
      </c>
      <c r="F147" s="36">
        <f>+'Entrate tot e finalizzati'!I147-'Entrate tot e finalizzati'!J147</f>
        <v>0</v>
      </c>
      <c r="G147" s="36">
        <f>+'Entrate tot e finalizzati'!K147-'Entrate tot e finalizzati'!L147</f>
        <v>0</v>
      </c>
      <c r="H147" s="36">
        <f>+'Entrate tot e finalizzati'!M147-'Entrate tot e finalizzati'!N147</f>
        <v>0</v>
      </c>
      <c r="I147" s="36">
        <f>+'Entrate tot e finalizzati'!O147-'Entrate tot e finalizzati'!P147</f>
        <v>0</v>
      </c>
      <c r="J147" s="36">
        <f>+'Entrate tot e finalizzati'!Q147-'Entrate tot e finalizzati'!R147</f>
        <v>0</v>
      </c>
      <c r="K147" s="36">
        <f>+'Entrate tot e finalizzati'!S147-'Entrate tot e finalizzati'!T147</f>
        <v>0</v>
      </c>
      <c r="L147" s="36">
        <f>+'Entrate tot e finalizzati'!U147-'Entrate tot e finalizzati'!V147</f>
        <v>0</v>
      </c>
      <c r="M147" s="39"/>
      <c r="N147" s="39"/>
      <c r="O147" s="39"/>
      <c r="P147" s="39"/>
      <c r="Q147" s="39"/>
      <c r="R147" s="39"/>
      <c r="S147" s="39"/>
      <c r="T147" s="39"/>
    </row>
    <row r="148" spans="1:20" s="2" customFormat="1" ht="12.75">
      <c r="A148" s="52"/>
      <c r="B148" s="34" t="s">
        <v>65</v>
      </c>
      <c r="C148" s="36">
        <f>+'Entrate tot e finalizzati'!C148-'Entrate tot e finalizzati'!D148</f>
        <v>104</v>
      </c>
      <c r="D148" s="36">
        <f>+'Entrate tot e finalizzati'!E148-'Entrate tot e finalizzati'!F148</f>
        <v>181</v>
      </c>
      <c r="E148" s="36">
        <f>+'Entrate tot e finalizzati'!G148-'Entrate tot e finalizzati'!H148</f>
        <v>88</v>
      </c>
      <c r="F148" s="36">
        <f>+'Entrate tot e finalizzati'!I148-'Entrate tot e finalizzati'!J148</f>
        <v>467</v>
      </c>
      <c r="G148" s="36">
        <f>+'Entrate tot e finalizzati'!K148-'Entrate tot e finalizzati'!L148</f>
        <v>470</v>
      </c>
      <c r="H148" s="36">
        <f>+'Entrate tot e finalizzati'!M148-'Entrate tot e finalizzati'!N148</f>
        <v>794</v>
      </c>
      <c r="I148" s="36">
        <f>+'Entrate tot e finalizzati'!O148-'Entrate tot e finalizzati'!P148</f>
        <v>745</v>
      </c>
      <c r="J148" s="36">
        <f>+'Entrate tot e finalizzati'!Q148-'Entrate tot e finalizzati'!R148</f>
        <v>851</v>
      </c>
      <c r="K148" s="36">
        <f>+'Entrate tot e finalizzati'!S148-'Entrate tot e finalizzati'!T148</f>
        <v>877</v>
      </c>
      <c r="L148" s="36">
        <f>+'Entrate tot e finalizzati'!U148-'Entrate tot e finalizzati'!V148</f>
        <v>929</v>
      </c>
      <c r="M148" s="39"/>
      <c r="N148" s="39"/>
      <c r="O148" s="39"/>
      <c r="P148" s="39"/>
      <c r="Q148" s="39"/>
      <c r="R148" s="39"/>
      <c r="S148" s="39"/>
      <c r="T148" s="39"/>
    </row>
    <row r="149" spans="1:20" s="2" customFormat="1" ht="12.75">
      <c r="A149" s="52"/>
      <c r="B149" s="34" t="s">
        <v>60</v>
      </c>
      <c r="C149" s="36">
        <f>+'Entrate tot e finalizzati'!C149-'Entrate tot e finalizzati'!D149</f>
        <v>3258</v>
      </c>
      <c r="D149" s="36">
        <f>+'Entrate tot e finalizzati'!E149-'Entrate tot e finalizzati'!F149</f>
        <v>3206</v>
      </c>
      <c r="E149" s="36">
        <f>+'Entrate tot e finalizzati'!G149-'Entrate tot e finalizzati'!H149</f>
        <v>2763</v>
      </c>
      <c r="F149" s="36">
        <f>+'Entrate tot e finalizzati'!I149-'Entrate tot e finalizzati'!J149</f>
        <v>2868</v>
      </c>
      <c r="G149" s="36">
        <f>+'Entrate tot e finalizzati'!K149-'Entrate tot e finalizzati'!L149</f>
        <v>3326</v>
      </c>
      <c r="H149" s="36">
        <f>+'Entrate tot e finalizzati'!M149-'Entrate tot e finalizzati'!N149</f>
        <v>0</v>
      </c>
      <c r="I149" s="36">
        <f>+'Entrate tot e finalizzati'!O149-'Entrate tot e finalizzati'!P149</f>
        <v>0</v>
      </c>
      <c r="J149" s="36">
        <f>+'Entrate tot e finalizzati'!Q149-'Entrate tot e finalizzati'!R149</f>
        <v>0</v>
      </c>
      <c r="K149" s="36">
        <f>+'Entrate tot e finalizzati'!S149-'Entrate tot e finalizzati'!T149</f>
        <v>0</v>
      </c>
      <c r="L149" s="36">
        <f>+'Entrate tot e finalizzati'!U149-'Entrate tot e finalizzati'!V149</f>
        <v>0</v>
      </c>
      <c r="M149" s="39"/>
      <c r="N149" s="39"/>
      <c r="O149" s="39"/>
      <c r="P149" s="39"/>
      <c r="Q149" s="39"/>
      <c r="R149" s="39"/>
      <c r="S149" s="39"/>
      <c r="T149" s="39"/>
    </row>
    <row r="150" spans="1:20" s="2" customFormat="1" ht="12.75">
      <c r="A150" s="52"/>
      <c r="B150" s="34" t="s">
        <v>61</v>
      </c>
      <c r="C150" s="36">
        <f>+'Entrate tot e finalizzati'!C150-'Entrate tot e finalizzati'!D150</f>
        <v>1644</v>
      </c>
      <c r="D150" s="36">
        <f>+'Entrate tot e finalizzati'!E150-'Entrate tot e finalizzati'!F150</f>
        <v>1647</v>
      </c>
      <c r="E150" s="36">
        <f>+'Entrate tot e finalizzati'!G150-'Entrate tot e finalizzati'!H150</f>
        <v>1455</v>
      </c>
      <c r="F150" s="36">
        <f>+'Entrate tot e finalizzati'!I150-'Entrate tot e finalizzati'!J150</f>
        <v>1241</v>
      </c>
      <c r="G150" s="36">
        <f>+'Entrate tot e finalizzati'!K150-'Entrate tot e finalizzati'!L150</f>
        <v>974</v>
      </c>
      <c r="H150" s="36">
        <f>+'Entrate tot e finalizzati'!M150-'Entrate tot e finalizzati'!N150</f>
        <v>0</v>
      </c>
      <c r="I150" s="36">
        <f>+'Entrate tot e finalizzati'!O150-'Entrate tot e finalizzati'!P150</f>
        <v>0</v>
      </c>
      <c r="J150" s="36">
        <f>+'Entrate tot e finalizzati'!Q150-'Entrate tot e finalizzati'!R150</f>
        <v>0</v>
      </c>
      <c r="K150" s="36">
        <f>+'Entrate tot e finalizzati'!S150-'Entrate tot e finalizzati'!T150</f>
        <v>0</v>
      </c>
      <c r="L150" s="36">
        <f>+'Entrate tot e finalizzati'!U150-'Entrate tot e finalizzati'!V150</f>
        <v>0</v>
      </c>
      <c r="M150" s="39"/>
      <c r="N150" s="39"/>
      <c r="O150" s="39"/>
      <c r="P150" s="39"/>
      <c r="Q150" s="39"/>
      <c r="R150" s="39"/>
      <c r="S150" s="39"/>
      <c r="T150" s="39"/>
    </row>
    <row r="151" spans="1:20" s="2" customFormat="1" ht="12.75">
      <c r="A151" s="52"/>
      <c r="B151" s="34" t="s">
        <v>62</v>
      </c>
      <c r="C151" s="36">
        <f>+'Entrate tot e finalizzati'!C151-'Entrate tot e finalizzati'!D151</f>
        <v>573</v>
      </c>
      <c r="D151" s="36">
        <f>+'Entrate tot e finalizzati'!E151-'Entrate tot e finalizzati'!F151</f>
        <v>573</v>
      </c>
      <c r="E151" s="36">
        <f>+'Entrate tot e finalizzati'!G151-'Entrate tot e finalizzati'!H151</f>
        <v>688</v>
      </c>
      <c r="F151" s="36">
        <f>+'Entrate tot e finalizzati'!I151-'Entrate tot e finalizzati'!J151</f>
        <v>989</v>
      </c>
      <c r="G151" s="36">
        <f>+'Entrate tot e finalizzati'!K151-'Entrate tot e finalizzati'!L151</f>
        <v>0</v>
      </c>
      <c r="H151" s="36">
        <f>+'Entrate tot e finalizzati'!M151-'Entrate tot e finalizzati'!N151</f>
        <v>0</v>
      </c>
      <c r="I151" s="36">
        <f>+'Entrate tot e finalizzati'!O151-'Entrate tot e finalizzati'!P151</f>
        <v>0</v>
      </c>
      <c r="J151" s="36">
        <f>+'Entrate tot e finalizzati'!Q151-'Entrate tot e finalizzati'!R151</f>
        <v>0</v>
      </c>
      <c r="K151" s="36">
        <f>+'Entrate tot e finalizzati'!S151-'Entrate tot e finalizzati'!T151</f>
        <v>0</v>
      </c>
      <c r="L151" s="36">
        <f>+'Entrate tot e finalizzati'!U151-'Entrate tot e finalizzati'!V151</f>
        <v>0</v>
      </c>
      <c r="M151" s="39"/>
      <c r="N151" s="39"/>
      <c r="O151" s="39"/>
      <c r="P151" s="39"/>
      <c r="Q151" s="39"/>
      <c r="R151" s="39"/>
      <c r="S151" s="39"/>
      <c r="T151" s="39"/>
    </row>
    <row r="152" spans="1:20" s="2" customFormat="1" ht="12.75">
      <c r="A152" s="52"/>
      <c r="B152" s="34" t="s">
        <v>63</v>
      </c>
      <c r="C152" s="36">
        <f>+'Entrate tot e finalizzati'!C152-'Entrate tot e finalizzati'!D152</f>
        <v>1911</v>
      </c>
      <c r="D152" s="36">
        <f>+'Entrate tot e finalizzati'!E152-'Entrate tot e finalizzati'!F152</f>
        <v>2339</v>
      </c>
      <c r="E152" s="36">
        <f>+'Entrate tot e finalizzati'!G152-'Entrate tot e finalizzati'!H152</f>
        <v>3306</v>
      </c>
      <c r="F152" s="36">
        <f>+'Entrate tot e finalizzati'!I152-'Entrate tot e finalizzati'!J152</f>
        <v>3149</v>
      </c>
      <c r="G152" s="36">
        <f>+'Entrate tot e finalizzati'!K152-'Entrate tot e finalizzati'!L152</f>
        <v>2942</v>
      </c>
      <c r="H152" s="36">
        <f>+'Entrate tot e finalizzati'!M152-'Entrate tot e finalizzati'!N152</f>
        <v>0</v>
      </c>
      <c r="I152" s="36">
        <f>+'Entrate tot e finalizzati'!O152-'Entrate tot e finalizzati'!P152</f>
        <v>0</v>
      </c>
      <c r="J152" s="36">
        <f>+'Entrate tot e finalizzati'!Q152-'Entrate tot e finalizzati'!R152</f>
        <v>0</v>
      </c>
      <c r="K152" s="36">
        <f>+'Entrate tot e finalizzati'!S152-'Entrate tot e finalizzati'!T152</f>
        <v>0</v>
      </c>
      <c r="L152" s="36">
        <f>+'Entrate tot e finalizzati'!U152-'Entrate tot e finalizzati'!V152</f>
        <v>0</v>
      </c>
      <c r="M152" s="39"/>
      <c r="N152" s="39"/>
      <c r="O152" s="39"/>
      <c r="P152" s="39"/>
      <c r="Q152" s="39"/>
      <c r="R152" s="39"/>
      <c r="S152" s="39"/>
      <c r="T152" s="39"/>
    </row>
    <row r="153" spans="1:20" s="2" customFormat="1" ht="12.75">
      <c r="A153" s="52"/>
      <c r="B153" s="34" t="s">
        <v>64</v>
      </c>
      <c r="C153" s="36">
        <f>+'Entrate tot e finalizzati'!C153-'Entrate tot e finalizzati'!D153</f>
        <v>0</v>
      </c>
      <c r="D153" s="36">
        <f>+'Entrate tot e finalizzati'!E153-'Entrate tot e finalizzati'!F153</f>
        <v>0</v>
      </c>
      <c r="E153" s="36">
        <f>+'Entrate tot e finalizzati'!G153-'Entrate tot e finalizzati'!H153</f>
        <v>0</v>
      </c>
      <c r="F153" s="36">
        <f>+'Entrate tot e finalizzati'!I153-'Entrate tot e finalizzati'!J153</f>
        <v>29</v>
      </c>
      <c r="G153" s="36">
        <f>+'Entrate tot e finalizzati'!K153-'Entrate tot e finalizzati'!L153</f>
        <v>0</v>
      </c>
      <c r="H153" s="36">
        <f>+'Entrate tot e finalizzati'!M153-'Entrate tot e finalizzati'!N153</f>
        <v>0</v>
      </c>
      <c r="I153" s="36">
        <f>+'Entrate tot e finalizzati'!O153-'Entrate tot e finalizzati'!P153</f>
        <v>0</v>
      </c>
      <c r="J153" s="36">
        <f>+'Entrate tot e finalizzati'!Q153-'Entrate tot e finalizzati'!R153</f>
        <v>0</v>
      </c>
      <c r="K153" s="36">
        <f>+'Entrate tot e finalizzati'!S153-'Entrate tot e finalizzati'!T153</f>
        <v>0</v>
      </c>
      <c r="L153" s="36">
        <f>+'Entrate tot e finalizzati'!U153-'Entrate tot e finalizzati'!V153</f>
        <v>0</v>
      </c>
      <c r="M153" s="39"/>
      <c r="N153" s="39"/>
      <c r="O153" s="39"/>
      <c r="P153" s="39"/>
      <c r="Q153" s="39"/>
      <c r="R153" s="39"/>
      <c r="S153" s="39"/>
      <c r="T153" s="39"/>
    </row>
    <row r="154" spans="1:20" s="2" customFormat="1" ht="12.75">
      <c r="A154" s="27" t="s">
        <v>133</v>
      </c>
      <c r="B154" s="28"/>
      <c r="C154" s="29">
        <f>+'Entrate tot e finalizzati'!C154-'Entrate tot e finalizzati'!D154</f>
        <v>13650</v>
      </c>
      <c r="D154" s="29">
        <f>+'Entrate tot e finalizzati'!E154-'Entrate tot e finalizzati'!F154</f>
        <v>13510</v>
      </c>
      <c r="E154" s="29">
        <f>+'Entrate tot e finalizzati'!G154-'Entrate tot e finalizzati'!H154</f>
        <v>12940</v>
      </c>
      <c r="F154" s="29">
        <f>+'Entrate tot e finalizzati'!I154-'Entrate tot e finalizzati'!J154</f>
        <v>16476</v>
      </c>
      <c r="G154" s="29">
        <f>+'Entrate tot e finalizzati'!K154-'Entrate tot e finalizzati'!L154</f>
        <v>16524</v>
      </c>
      <c r="H154" s="29">
        <f>+'Entrate tot e finalizzati'!M154-'Entrate tot e finalizzati'!N154</f>
        <v>17964</v>
      </c>
      <c r="I154" s="29">
        <f>+'Entrate tot e finalizzati'!O154-'Entrate tot e finalizzati'!P154</f>
        <v>20158</v>
      </c>
      <c r="J154" s="29">
        <f>+'Entrate tot e finalizzati'!Q154-'Entrate tot e finalizzati'!R154</f>
        <v>20117</v>
      </c>
      <c r="K154" s="29">
        <f>+'Entrate tot e finalizzati'!S154-'Entrate tot e finalizzati'!T154</f>
        <v>7937</v>
      </c>
      <c r="L154" s="29">
        <f>+'Entrate tot e finalizzati'!U154-'Entrate tot e finalizzati'!V154</f>
        <v>8048</v>
      </c>
      <c r="M154" s="39"/>
      <c r="N154" s="39"/>
      <c r="O154" s="39"/>
      <c r="P154" s="39"/>
      <c r="Q154" s="39"/>
      <c r="R154" s="39"/>
      <c r="S154" s="39"/>
      <c r="T154" s="39"/>
    </row>
    <row r="155" spans="1:20" s="2" customFormat="1" ht="12.75">
      <c r="A155" s="52"/>
      <c r="B155" s="6" t="s">
        <v>67</v>
      </c>
      <c r="C155" s="66">
        <f>+'Entrate tot e finalizzati'!C155-'Entrate tot e finalizzati'!D155</f>
        <v>0</v>
      </c>
      <c r="D155" s="66">
        <f>+'Entrate tot e finalizzati'!E155-'Entrate tot e finalizzati'!F155</f>
        <v>0</v>
      </c>
      <c r="E155" s="66">
        <f>+'Entrate tot e finalizzati'!G155-'Entrate tot e finalizzati'!H155</f>
        <v>0</v>
      </c>
      <c r="F155" s="66">
        <f>+'Entrate tot e finalizzati'!I155-'Entrate tot e finalizzati'!J155</f>
        <v>0</v>
      </c>
      <c r="G155" s="73">
        <f>+'Entrate tot e finalizzati'!K155-'Entrate tot e finalizzati'!L155</f>
        <v>0</v>
      </c>
      <c r="H155" s="73">
        <f>+'Entrate tot e finalizzati'!M155-'Entrate tot e finalizzati'!N155</f>
        <v>0</v>
      </c>
      <c r="I155" s="73">
        <f>+'Entrate tot e finalizzati'!O155-'Entrate tot e finalizzati'!P155</f>
        <v>0</v>
      </c>
      <c r="J155" s="73">
        <f>+'Entrate tot e finalizzati'!Q155-'Entrate tot e finalizzati'!R155</f>
        <v>0</v>
      </c>
      <c r="K155" s="73">
        <f>+'Entrate tot e finalizzati'!S155-'Entrate tot e finalizzati'!T155</f>
        <v>0</v>
      </c>
      <c r="L155" s="73">
        <f>+'Entrate tot e finalizzati'!U155-'Entrate tot e finalizzati'!V155</f>
        <v>0</v>
      </c>
      <c r="M155" s="39"/>
      <c r="N155" s="39"/>
      <c r="O155" s="39"/>
      <c r="P155" s="39"/>
      <c r="Q155" s="39"/>
      <c r="R155" s="39"/>
      <c r="S155" s="39"/>
      <c r="T155" s="39"/>
    </row>
    <row r="156" spans="1:20" s="2" customFormat="1" ht="12.75">
      <c r="A156" s="52"/>
      <c r="B156" s="6" t="s">
        <v>17</v>
      </c>
      <c r="C156" s="66">
        <f>+'Entrate tot e finalizzati'!C156-'Entrate tot e finalizzati'!D156</f>
        <v>0</v>
      </c>
      <c r="D156" s="66">
        <f>+'Entrate tot e finalizzati'!E156-'Entrate tot e finalizzati'!F156</f>
        <v>0</v>
      </c>
      <c r="E156" s="66">
        <f>+'Entrate tot e finalizzati'!G156-'Entrate tot e finalizzati'!H156</f>
        <v>0</v>
      </c>
      <c r="F156" s="66">
        <f>+'Entrate tot e finalizzati'!I156-'Entrate tot e finalizzati'!J156</f>
        <v>0</v>
      </c>
      <c r="G156" s="73">
        <f>+'Entrate tot e finalizzati'!K156-'Entrate tot e finalizzati'!L156</f>
        <v>0</v>
      </c>
      <c r="H156" s="73">
        <f>+'Entrate tot e finalizzati'!M156-'Entrate tot e finalizzati'!N156</f>
        <v>0</v>
      </c>
      <c r="I156" s="73">
        <f>+'Entrate tot e finalizzati'!O156-'Entrate tot e finalizzati'!P156</f>
        <v>0</v>
      </c>
      <c r="J156" s="73">
        <f>+'Entrate tot e finalizzati'!Q156-'Entrate tot e finalizzati'!R156</f>
        <v>0</v>
      </c>
      <c r="K156" s="73">
        <f>+'Entrate tot e finalizzati'!S156-'Entrate tot e finalizzati'!T156</f>
        <v>0</v>
      </c>
      <c r="L156" s="73">
        <f>+'Entrate tot e finalizzati'!U156-'Entrate tot e finalizzati'!V156</f>
        <v>0</v>
      </c>
      <c r="M156" s="39"/>
      <c r="N156" s="39"/>
      <c r="O156" s="39"/>
      <c r="P156" s="39"/>
      <c r="Q156" s="39"/>
      <c r="R156" s="39"/>
      <c r="S156" s="39"/>
      <c r="T156" s="39"/>
    </row>
    <row r="157" spans="1:20" s="2" customFormat="1" ht="12.75">
      <c r="A157" s="52"/>
      <c r="B157" s="6" t="s">
        <v>111</v>
      </c>
      <c r="C157" s="66">
        <f>+'Entrate tot e finalizzati'!C157-'Entrate tot e finalizzati'!D157</f>
        <v>0</v>
      </c>
      <c r="D157" s="66">
        <f>+'Entrate tot e finalizzati'!E157-'Entrate tot e finalizzati'!F157</f>
        <v>0</v>
      </c>
      <c r="E157" s="66">
        <f>+'Entrate tot e finalizzati'!G157-'Entrate tot e finalizzati'!H157</f>
        <v>0</v>
      </c>
      <c r="F157" s="66">
        <f>+'Entrate tot e finalizzati'!I157-'Entrate tot e finalizzati'!J157</f>
        <v>0</v>
      </c>
      <c r="G157" s="73">
        <f>+'Entrate tot e finalizzati'!K157-'Entrate tot e finalizzati'!L157</f>
        <v>0</v>
      </c>
      <c r="H157" s="73">
        <f>+'Entrate tot e finalizzati'!M157-'Entrate tot e finalizzati'!N157</f>
        <v>0</v>
      </c>
      <c r="I157" s="73">
        <f>+'Entrate tot e finalizzati'!O157-'Entrate tot e finalizzati'!P157</f>
        <v>0</v>
      </c>
      <c r="J157" s="73">
        <f>+'Entrate tot e finalizzati'!Q157-'Entrate tot e finalizzati'!R157</f>
        <v>0</v>
      </c>
      <c r="K157" s="73">
        <f>+'Entrate tot e finalizzati'!S157-'Entrate tot e finalizzati'!T157</f>
        <v>0</v>
      </c>
      <c r="L157" s="73">
        <f>+'Entrate tot e finalizzati'!U157-'Entrate tot e finalizzati'!V157</f>
        <v>0</v>
      </c>
      <c r="M157" s="39"/>
      <c r="N157" s="39"/>
      <c r="O157" s="39"/>
      <c r="P157" s="39"/>
      <c r="Q157" s="39"/>
      <c r="R157" s="39"/>
      <c r="S157" s="39"/>
      <c r="T157" s="39"/>
    </row>
    <row r="158" spans="1:20" s="2" customFormat="1" ht="12.75">
      <c r="A158" s="52"/>
      <c r="B158" s="6" t="s">
        <v>22</v>
      </c>
      <c r="C158" s="66">
        <f>+'Entrate tot e finalizzati'!C158-'Entrate tot e finalizzati'!D158</f>
        <v>3852</v>
      </c>
      <c r="D158" s="66">
        <f>+'Entrate tot e finalizzati'!E158-'Entrate tot e finalizzati'!F158</f>
        <v>3682</v>
      </c>
      <c r="E158" s="66">
        <f>+'Entrate tot e finalizzati'!G158-'Entrate tot e finalizzati'!H158</f>
        <v>2987</v>
      </c>
      <c r="F158" s="66">
        <f>+'Entrate tot e finalizzati'!I158-'Entrate tot e finalizzati'!J158</f>
        <v>2849</v>
      </c>
      <c r="G158" s="73">
        <f>+'Entrate tot e finalizzati'!K158-'Entrate tot e finalizzati'!L158</f>
        <v>2993</v>
      </c>
      <c r="H158" s="73">
        <f>+'Entrate tot e finalizzati'!M158-'Entrate tot e finalizzati'!N158</f>
        <v>2900</v>
      </c>
      <c r="I158" s="73">
        <f>+'Entrate tot e finalizzati'!O158-'Entrate tot e finalizzati'!P158</f>
        <v>3100</v>
      </c>
      <c r="J158" s="73">
        <f>+'Entrate tot e finalizzati'!Q158-'Entrate tot e finalizzati'!R158</f>
        <v>3450</v>
      </c>
      <c r="K158" s="73">
        <f>+'Entrate tot e finalizzati'!S158-'Entrate tot e finalizzati'!T158</f>
        <v>3600</v>
      </c>
      <c r="L158" s="73">
        <f>+'Entrate tot e finalizzati'!U158-'Entrate tot e finalizzati'!V158</f>
        <v>3650</v>
      </c>
      <c r="M158" s="39"/>
      <c r="N158" s="39"/>
      <c r="O158" s="39"/>
      <c r="P158" s="39"/>
      <c r="Q158" s="39"/>
      <c r="R158" s="39"/>
      <c r="S158" s="39"/>
      <c r="T158" s="39"/>
    </row>
    <row r="159" spans="1:20" s="2" customFormat="1" ht="12.75">
      <c r="A159" s="52"/>
      <c r="B159" s="6" t="s">
        <v>66</v>
      </c>
      <c r="C159" s="66">
        <f>+'Entrate tot e finalizzati'!C159-'Entrate tot e finalizzati'!D159</f>
        <v>168</v>
      </c>
      <c r="D159" s="66">
        <f>+'Entrate tot e finalizzati'!E159-'Entrate tot e finalizzati'!F159</f>
        <v>156</v>
      </c>
      <c r="E159" s="66">
        <f>+'Entrate tot e finalizzati'!G159-'Entrate tot e finalizzati'!H159</f>
        <v>168</v>
      </c>
      <c r="F159" s="66">
        <f>+'Entrate tot e finalizzati'!I159-'Entrate tot e finalizzati'!J159</f>
        <v>2276</v>
      </c>
      <c r="G159" s="73">
        <f>+'Entrate tot e finalizzati'!K159-'Entrate tot e finalizzati'!L159</f>
        <v>2374</v>
      </c>
      <c r="H159" s="73">
        <f>+'Entrate tot e finalizzati'!M159-'Entrate tot e finalizzati'!N159</f>
        <v>3104</v>
      </c>
      <c r="I159" s="73">
        <f>+'Entrate tot e finalizzati'!O159-'Entrate tot e finalizzati'!P159</f>
        <v>5115</v>
      </c>
      <c r="J159" s="73">
        <f>+'Entrate tot e finalizzati'!Q159-'Entrate tot e finalizzati'!R159</f>
        <v>3409</v>
      </c>
      <c r="K159" s="73">
        <f>+'Entrate tot e finalizzati'!S159-'Entrate tot e finalizzati'!T159</f>
        <v>2692</v>
      </c>
      <c r="L159" s="73">
        <f>+'Entrate tot e finalizzati'!U159-'Entrate tot e finalizzati'!V159</f>
        <v>2700</v>
      </c>
      <c r="M159" s="39"/>
      <c r="N159" s="39"/>
      <c r="O159" s="39"/>
      <c r="P159" s="39"/>
      <c r="Q159" s="39"/>
      <c r="R159" s="39"/>
      <c r="S159" s="39"/>
      <c r="T159" s="39"/>
    </row>
    <row r="160" spans="1:20" s="2" customFormat="1" ht="12.75">
      <c r="A160" s="52"/>
      <c r="B160" s="6" t="s">
        <v>23</v>
      </c>
      <c r="C160" s="66">
        <f>+'Entrate tot e finalizzati'!C160-'Entrate tot e finalizzati'!D160</f>
        <v>362</v>
      </c>
      <c r="D160" s="66">
        <f>+'Entrate tot e finalizzati'!E160-'Entrate tot e finalizzati'!F160</f>
        <v>0</v>
      </c>
      <c r="E160" s="66">
        <f>+'Entrate tot e finalizzati'!G160-'Entrate tot e finalizzati'!H160</f>
        <v>0</v>
      </c>
      <c r="F160" s="66">
        <f>+'Entrate tot e finalizzati'!I160-'Entrate tot e finalizzati'!J160</f>
        <v>0</v>
      </c>
      <c r="G160" s="73">
        <f>+'Entrate tot e finalizzati'!K160-'Entrate tot e finalizzati'!L160</f>
        <v>0</v>
      </c>
      <c r="H160" s="73">
        <f>+'Entrate tot e finalizzati'!M160-'Entrate tot e finalizzati'!N160</f>
        <v>0</v>
      </c>
      <c r="I160" s="73">
        <f>+'Entrate tot e finalizzati'!O160-'Entrate tot e finalizzati'!P160</f>
        <v>0</v>
      </c>
      <c r="J160" s="73">
        <f>+'Entrate tot e finalizzati'!Q160-'Entrate tot e finalizzati'!R160</f>
        <v>350</v>
      </c>
      <c r="K160" s="73">
        <f>+'Entrate tot e finalizzati'!S160-'Entrate tot e finalizzati'!T160</f>
        <v>0</v>
      </c>
      <c r="L160" s="73">
        <f>+'Entrate tot e finalizzati'!U160-'Entrate tot e finalizzati'!V160</f>
        <v>0</v>
      </c>
      <c r="M160" s="39"/>
      <c r="N160" s="39"/>
      <c r="O160" s="39"/>
      <c r="P160" s="39"/>
      <c r="Q160" s="39"/>
      <c r="R160" s="39"/>
      <c r="S160" s="39"/>
      <c r="T160" s="39"/>
    </row>
    <row r="161" spans="1:20" s="2" customFormat="1" ht="12.75">
      <c r="A161" s="52"/>
      <c r="B161" s="6" t="s">
        <v>68</v>
      </c>
      <c r="C161" s="66">
        <f>+'Entrate tot e finalizzati'!C161-'Entrate tot e finalizzati'!D161</f>
        <v>830</v>
      </c>
      <c r="D161" s="66">
        <f>+'Entrate tot e finalizzati'!E161-'Entrate tot e finalizzati'!F161</f>
        <v>992</v>
      </c>
      <c r="E161" s="66">
        <f>+'Entrate tot e finalizzati'!G161-'Entrate tot e finalizzati'!H161</f>
        <v>904</v>
      </c>
      <c r="F161" s="66">
        <f>+'Entrate tot e finalizzati'!I161-'Entrate tot e finalizzati'!J161</f>
        <v>864</v>
      </c>
      <c r="G161" s="73">
        <f>+'Entrate tot e finalizzati'!K161-'Entrate tot e finalizzati'!L161</f>
        <v>897</v>
      </c>
      <c r="H161" s="73">
        <f>+'Entrate tot e finalizzati'!M161-'Entrate tot e finalizzati'!N161</f>
        <v>949</v>
      </c>
      <c r="I161" s="73">
        <f>+'Entrate tot e finalizzati'!O161-'Entrate tot e finalizzati'!P161</f>
        <v>885</v>
      </c>
      <c r="J161" s="73">
        <f>+'Entrate tot e finalizzati'!Q161-'Entrate tot e finalizzati'!R161</f>
        <v>960</v>
      </c>
      <c r="K161" s="73">
        <f>+'Entrate tot e finalizzati'!S161-'Entrate tot e finalizzati'!T161</f>
        <v>863</v>
      </c>
      <c r="L161" s="73">
        <f>+'Entrate tot e finalizzati'!U161-'Entrate tot e finalizzati'!V161</f>
        <v>894</v>
      </c>
      <c r="M161" s="39"/>
      <c r="N161" s="39"/>
      <c r="O161" s="39"/>
      <c r="P161" s="39"/>
      <c r="Q161" s="39"/>
      <c r="R161" s="39"/>
      <c r="S161" s="39"/>
      <c r="T161" s="39"/>
    </row>
    <row r="162" spans="1:20" s="2" customFormat="1" ht="12.75">
      <c r="A162" s="52"/>
      <c r="B162" s="6" t="s">
        <v>16</v>
      </c>
      <c r="C162" s="66">
        <f>+'Entrate tot e finalizzati'!C162-'Entrate tot e finalizzati'!D162</f>
        <v>306</v>
      </c>
      <c r="D162" s="66">
        <f>+'Entrate tot e finalizzati'!E162-'Entrate tot e finalizzati'!F162</f>
        <v>310</v>
      </c>
      <c r="E162" s="66">
        <f>+'Entrate tot e finalizzati'!G162-'Entrate tot e finalizzati'!H162</f>
        <v>0</v>
      </c>
      <c r="F162" s="66">
        <f>+'Entrate tot e finalizzati'!I162-'Entrate tot e finalizzati'!J162</f>
        <v>310</v>
      </c>
      <c r="G162" s="73">
        <f>+'Entrate tot e finalizzati'!K162-'Entrate tot e finalizzati'!L162</f>
        <v>310</v>
      </c>
      <c r="H162" s="73">
        <f>+'Entrate tot e finalizzati'!M162-'Entrate tot e finalizzati'!N162</f>
        <v>436</v>
      </c>
      <c r="I162" s="73">
        <f>+'Entrate tot e finalizzati'!O162-'Entrate tot e finalizzati'!P162</f>
        <v>444</v>
      </c>
      <c r="J162" s="73">
        <f>+'Entrate tot e finalizzati'!Q162-'Entrate tot e finalizzati'!R162</f>
        <v>423</v>
      </c>
      <c r="K162" s="73">
        <f>+'Entrate tot e finalizzati'!S162-'Entrate tot e finalizzati'!T162</f>
        <v>432</v>
      </c>
      <c r="L162" s="73">
        <f>+'Entrate tot e finalizzati'!U162-'Entrate tot e finalizzati'!V162</f>
        <v>474</v>
      </c>
      <c r="M162" s="39"/>
      <c r="N162" s="39"/>
      <c r="O162" s="39"/>
      <c r="P162" s="39"/>
      <c r="Q162" s="39"/>
      <c r="R162" s="39"/>
      <c r="S162" s="39"/>
      <c r="T162" s="39"/>
    </row>
    <row r="163" spans="1:20" s="2" customFormat="1" ht="12.75">
      <c r="A163" s="52"/>
      <c r="B163" s="6" t="s">
        <v>69</v>
      </c>
      <c r="C163" s="66">
        <f>+'Entrate tot e finalizzati'!C163-'Entrate tot e finalizzati'!D163</f>
        <v>0</v>
      </c>
      <c r="D163" s="66">
        <f>+'Entrate tot e finalizzati'!E163-'Entrate tot e finalizzati'!F163</f>
        <v>0</v>
      </c>
      <c r="E163" s="66">
        <f>+'Entrate tot e finalizzati'!G163-'Entrate tot e finalizzati'!H163</f>
        <v>0</v>
      </c>
      <c r="F163" s="66">
        <f>+'Entrate tot e finalizzati'!I163-'Entrate tot e finalizzati'!J163</f>
        <v>0</v>
      </c>
      <c r="G163" s="73">
        <f>+'Entrate tot e finalizzati'!K163-'Entrate tot e finalizzati'!L163</f>
        <v>0</v>
      </c>
      <c r="H163" s="73">
        <f>+'Entrate tot e finalizzati'!M163-'Entrate tot e finalizzati'!N163</f>
        <v>0</v>
      </c>
      <c r="I163" s="73">
        <f>+'Entrate tot e finalizzati'!O163-'Entrate tot e finalizzati'!P163</f>
        <v>0</v>
      </c>
      <c r="J163" s="73">
        <f>+'Entrate tot e finalizzati'!Q163-'Entrate tot e finalizzati'!R163</f>
        <v>0</v>
      </c>
      <c r="K163" s="73">
        <f>+'Entrate tot e finalizzati'!S163-'Entrate tot e finalizzati'!T163</f>
        <v>0</v>
      </c>
      <c r="L163" s="73">
        <f>+'Entrate tot e finalizzati'!U163-'Entrate tot e finalizzati'!V163</f>
        <v>0</v>
      </c>
      <c r="M163" s="39"/>
      <c r="N163" s="39"/>
      <c r="O163" s="39"/>
      <c r="P163" s="39"/>
      <c r="Q163" s="39"/>
      <c r="R163" s="39"/>
      <c r="S163" s="39"/>
      <c r="T163" s="39"/>
    </row>
    <row r="164" spans="1:20" s="2" customFormat="1" ht="12.75">
      <c r="A164" s="52"/>
      <c r="B164" s="6" t="s">
        <v>70</v>
      </c>
      <c r="C164" s="66">
        <f>+'Entrate tot e finalizzati'!C164-'Entrate tot e finalizzati'!D164</f>
        <v>8031</v>
      </c>
      <c r="D164" s="66">
        <f>+'Entrate tot e finalizzati'!E164-'Entrate tot e finalizzati'!F164</f>
        <v>8326</v>
      </c>
      <c r="E164" s="66">
        <f>+'Entrate tot e finalizzati'!G164-'Entrate tot e finalizzati'!H164</f>
        <v>8881</v>
      </c>
      <c r="F164" s="66">
        <f>+'Entrate tot e finalizzati'!I164-'Entrate tot e finalizzati'!J164</f>
        <v>9296</v>
      </c>
      <c r="G164" s="73">
        <f>+'Entrate tot e finalizzati'!K164-'Entrate tot e finalizzati'!L164</f>
        <v>9640</v>
      </c>
      <c r="H164" s="73">
        <f>+'Entrate tot e finalizzati'!M164-'Entrate tot e finalizzati'!N164</f>
        <v>10270</v>
      </c>
      <c r="I164" s="73">
        <f>+'Entrate tot e finalizzati'!O164-'Entrate tot e finalizzati'!P164</f>
        <v>10270</v>
      </c>
      <c r="J164" s="73">
        <f>+'Entrate tot e finalizzati'!Q164-'Entrate tot e finalizzati'!R164</f>
        <v>11150</v>
      </c>
      <c r="K164" s="73">
        <f>+'Entrate tot e finalizzati'!S164-'Entrate tot e finalizzati'!T164</f>
        <v>0</v>
      </c>
      <c r="L164" s="73">
        <f>+'Entrate tot e finalizzati'!U164-'Entrate tot e finalizzati'!V164</f>
        <v>0</v>
      </c>
      <c r="M164" s="39"/>
      <c r="N164" s="39"/>
      <c r="O164" s="39"/>
      <c r="P164" s="39"/>
      <c r="Q164" s="39"/>
      <c r="R164" s="39"/>
      <c r="S164" s="39"/>
      <c r="T164" s="39"/>
    </row>
    <row r="165" spans="1:20" s="2" customFormat="1" ht="12.75">
      <c r="A165" s="52"/>
      <c r="B165" s="6" t="s">
        <v>64</v>
      </c>
      <c r="C165" s="66">
        <f>+'Entrate tot e finalizzati'!C165-'Entrate tot e finalizzati'!D165</f>
        <v>101</v>
      </c>
      <c r="D165" s="66">
        <f>+'Entrate tot e finalizzati'!E165-'Entrate tot e finalizzati'!F165</f>
        <v>44</v>
      </c>
      <c r="E165" s="66">
        <f>+'Entrate tot e finalizzati'!G165-'Entrate tot e finalizzati'!H165</f>
        <v>0</v>
      </c>
      <c r="F165" s="66">
        <f>+'Entrate tot e finalizzati'!I165-'Entrate tot e finalizzati'!J165</f>
        <v>0</v>
      </c>
      <c r="G165" s="73">
        <f>+'Entrate tot e finalizzati'!K165-'Entrate tot e finalizzati'!L165</f>
        <v>0</v>
      </c>
      <c r="H165" s="73">
        <f>+'Entrate tot e finalizzati'!M165-'Entrate tot e finalizzati'!N165</f>
        <v>0</v>
      </c>
      <c r="I165" s="73">
        <f>+'Entrate tot e finalizzati'!O165-'Entrate tot e finalizzati'!P165</f>
        <v>0</v>
      </c>
      <c r="J165" s="73">
        <f>+'Entrate tot e finalizzati'!Q165-'Entrate tot e finalizzati'!R165</f>
        <v>0</v>
      </c>
      <c r="K165" s="73">
        <f>+'Entrate tot e finalizzati'!S165-'Entrate tot e finalizzati'!T165</f>
        <v>0</v>
      </c>
      <c r="L165" s="73">
        <f>+'Entrate tot e finalizzati'!U165-'Entrate tot e finalizzati'!V165</f>
        <v>0</v>
      </c>
      <c r="M165" s="39"/>
      <c r="N165" s="39"/>
      <c r="O165" s="39"/>
      <c r="P165" s="39"/>
      <c r="Q165" s="39"/>
      <c r="R165" s="39"/>
      <c r="S165" s="39"/>
      <c r="T165" s="39"/>
    </row>
    <row r="166" spans="1:20" s="2" customFormat="1" ht="12.75">
      <c r="A166" s="52"/>
      <c r="B166" s="6" t="s">
        <v>65</v>
      </c>
      <c r="C166" s="66">
        <f>+'Entrate tot e finalizzati'!C166-'Entrate tot e finalizzati'!D166</f>
        <v>0</v>
      </c>
      <c r="D166" s="66">
        <f>+'Entrate tot e finalizzati'!E166-'Entrate tot e finalizzati'!F166</f>
        <v>0</v>
      </c>
      <c r="E166" s="66">
        <f>+'Entrate tot e finalizzati'!G166-'Entrate tot e finalizzati'!H166</f>
        <v>0</v>
      </c>
      <c r="F166" s="66">
        <f>+'Entrate tot e finalizzati'!I166-'Entrate tot e finalizzati'!J166</f>
        <v>881</v>
      </c>
      <c r="G166" s="73">
        <f>+'Entrate tot e finalizzati'!K166-'Entrate tot e finalizzati'!L166</f>
        <v>310</v>
      </c>
      <c r="H166" s="73">
        <f>+'Entrate tot e finalizzati'!M166-'Entrate tot e finalizzati'!N166</f>
        <v>305</v>
      </c>
      <c r="I166" s="73">
        <f>+'Entrate tot e finalizzati'!O166-'Entrate tot e finalizzati'!P166</f>
        <v>344</v>
      </c>
      <c r="J166" s="73">
        <f>+'Entrate tot e finalizzati'!Q166-'Entrate tot e finalizzati'!R166</f>
        <v>375</v>
      </c>
      <c r="K166" s="73">
        <f>+'Entrate tot e finalizzati'!S166-'Entrate tot e finalizzati'!T166</f>
        <v>350</v>
      </c>
      <c r="L166" s="73">
        <f>+'Entrate tot e finalizzati'!U166-'Entrate tot e finalizzati'!V166</f>
        <v>330</v>
      </c>
      <c r="M166" s="39"/>
      <c r="N166" s="39"/>
      <c r="O166" s="39"/>
      <c r="P166" s="39"/>
      <c r="Q166" s="39"/>
      <c r="R166" s="39"/>
      <c r="S166" s="39"/>
      <c r="T166" s="39"/>
    </row>
    <row r="167" spans="1:20" s="2" customFormat="1" ht="12.75">
      <c r="A167" s="27" t="s">
        <v>134</v>
      </c>
      <c r="B167" s="28"/>
      <c r="C167" s="29">
        <f>+'Entrate tot e finalizzati'!C167-'Entrate tot e finalizzati'!D167</f>
        <v>3015</v>
      </c>
      <c r="D167" s="29">
        <f>+'Entrate tot e finalizzati'!E167-'Entrate tot e finalizzati'!F167</f>
        <v>338</v>
      </c>
      <c r="E167" s="29">
        <f>+'Entrate tot e finalizzati'!G167-'Entrate tot e finalizzati'!H167</f>
        <v>484</v>
      </c>
      <c r="F167" s="29">
        <f>+'Entrate tot e finalizzati'!I167-'Entrate tot e finalizzati'!J167</f>
        <v>329</v>
      </c>
      <c r="G167" s="29">
        <f>+'Entrate tot e finalizzati'!K167-'Entrate tot e finalizzati'!L167</f>
        <v>1740</v>
      </c>
      <c r="H167" s="29">
        <f>+'Entrate tot e finalizzati'!M167-'Entrate tot e finalizzati'!N167</f>
        <v>2778</v>
      </c>
      <c r="I167" s="29">
        <f>+'Entrate tot e finalizzati'!O167-'Entrate tot e finalizzati'!P167</f>
        <v>3119</v>
      </c>
      <c r="J167" s="29">
        <f>+'Entrate tot e finalizzati'!Q167-'Entrate tot e finalizzati'!R167</f>
        <v>3298</v>
      </c>
      <c r="K167" s="29">
        <f>+'Entrate tot e finalizzati'!S167-'Entrate tot e finalizzati'!T167</f>
        <v>1234</v>
      </c>
      <c r="L167" s="29">
        <f>+'Entrate tot e finalizzati'!U167-'Entrate tot e finalizzati'!V167</f>
        <v>1128</v>
      </c>
      <c r="M167" s="39"/>
      <c r="N167" s="39"/>
      <c r="O167" s="39"/>
      <c r="P167" s="39"/>
      <c r="Q167" s="39"/>
      <c r="R167" s="39"/>
      <c r="S167" s="39"/>
      <c r="T167" s="39"/>
    </row>
    <row r="168" spans="1:20" s="54" customFormat="1" ht="12.75">
      <c r="A168" s="52"/>
      <c r="B168" s="35" t="s">
        <v>66</v>
      </c>
      <c r="C168" s="22">
        <f>+'Entrate tot e finalizzati'!C168-'Entrate tot e finalizzati'!D168</f>
        <v>0</v>
      </c>
      <c r="D168" s="22">
        <f>+'Entrate tot e finalizzati'!E168-'Entrate tot e finalizzati'!F168</f>
        <v>0</v>
      </c>
      <c r="E168" s="22">
        <f>+'Entrate tot e finalizzati'!G168-'Entrate tot e finalizzati'!H168</f>
        <v>0</v>
      </c>
      <c r="F168" s="22">
        <f>+'Entrate tot e finalizzati'!I168-'Entrate tot e finalizzati'!J168</f>
        <v>0</v>
      </c>
      <c r="G168" s="22">
        <f>+'Entrate tot e finalizzati'!K168-'Entrate tot e finalizzati'!L168</f>
        <v>0</v>
      </c>
      <c r="H168" s="22">
        <f>+'Entrate tot e finalizzati'!M168-'Entrate tot e finalizzati'!N168</f>
        <v>0</v>
      </c>
      <c r="I168" s="22">
        <f>+'Entrate tot e finalizzati'!O168-'Entrate tot e finalizzati'!P168</f>
        <v>0</v>
      </c>
      <c r="J168" s="22">
        <f>+'Entrate tot e finalizzati'!Q168-'Entrate tot e finalizzati'!R168</f>
        <v>0</v>
      </c>
      <c r="K168" s="22">
        <f>+'Entrate tot e finalizzati'!S168-'Entrate tot e finalizzati'!T168</f>
        <v>0</v>
      </c>
      <c r="L168" s="22">
        <f>+'Entrate tot e finalizzati'!U168-'Entrate tot e finalizzati'!V168</f>
        <v>0</v>
      </c>
      <c r="M168" s="90"/>
      <c r="N168" s="90"/>
      <c r="O168" s="90"/>
      <c r="P168" s="90"/>
      <c r="Q168" s="90"/>
      <c r="R168" s="90"/>
      <c r="S168" s="90"/>
      <c r="T168" s="90"/>
    </row>
    <row r="169" spans="1:20" s="54" customFormat="1" ht="12.75">
      <c r="A169" s="52"/>
      <c r="B169" s="35" t="s">
        <v>71</v>
      </c>
      <c r="C169" s="22">
        <f>+'Entrate tot e finalizzati'!C169-'Entrate tot e finalizzati'!D169</f>
        <v>226</v>
      </c>
      <c r="D169" s="22">
        <f>+'Entrate tot e finalizzati'!E169-'Entrate tot e finalizzati'!F169</f>
        <v>230</v>
      </c>
      <c r="E169" s="22">
        <f>+'Entrate tot e finalizzati'!G169-'Entrate tot e finalizzati'!H169</f>
        <v>236</v>
      </c>
      <c r="F169" s="22">
        <f>+'Entrate tot e finalizzati'!I169-'Entrate tot e finalizzati'!J169</f>
        <v>314</v>
      </c>
      <c r="G169" s="22">
        <f>+'Entrate tot e finalizzati'!K169-'Entrate tot e finalizzati'!L169</f>
        <v>137</v>
      </c>
      <c r="H169" s="22">
        <f>+'Entrate tot e finalizzati'!M169-'Entrate tot e finalizzati'!N169</f>
        <v>139</v>
      </c>
      <c r="I169" s="22">
        <f>+'Entrate tot e finalizzati'!O169-'Entrate tot e finalizzati'!P169</f>
        <v>151</v>
      </c>
      <c r="J169" s="22">
        <f>+'Entrate tot e finalizzati'!Q169-'Entrate tot e finalizzati'!R169</f>
        <v>167</v>
      </c>
      <c r="K169" s="22">
        <f>+'Entrate tot e finalizzati'!S169-'Entrate tot e finalizzati'!T169</f>
        <v>116</v>
      </c>
      <c r="L169" s="22">
        <f>+'Entrate tot e finalizzati'!U169-'Entrate tot e finalizzati'!V169</f>
        <v>4</v>
      </c>
      <c r="M169" s="90"/>
      <c r="N169" s="90"/>
      <c r="O169" s="90"/>
      <c r="P169" s="90"/>
      <c r="Q169" s="90"/>
      <c r="R169" s="90"/>
      <c r="S169" s="90"/>
      <c r="T169" s="90"/>
    </row>
    <row r="170" spans="1:20" s="54" customFormat="1" ht="12.75">
      <c r="A170" s="52"/>
      <c r="B170" s="35" t="s">
        <v>111</v>
      </c>
      <c r="C170" s="22">
        <f>+'Entrate tot e finalizzati'!C170-'Entrate tot e finalizzati'!D170</f>
        <v>0</v>
      </c>
      <c r="D170" s="22">
        <f>+'Entrate tot e finalizzati'!E170-'Entrate tot e finalizzati'!F170</f>
        <v>0</v>
      </c>
      <c r="E170" s="22">
        <f>+'Entrate tot e finalizzati'!G170-'Entrate tot e finalizzati'!H170</f>
        <v>0</v>
      </c>
      <c r="F170" s="22">
        <f>+'Entrate tot e finalizzati'!I170-'Entrate tot e finalizzati'!J170</f>
        <v>0</v>
      </c>
      <c r="G170" s="22">
        <f>+'Entrate tot e finalizzati'!K170-'Entrate tot e finalizzati'!L170</f>
        <v>0</v>
      </c>
      <c r="H170" s="22">
        <f>+'Entrate tot e finalizzati'!M170-'Entrate tot e finalizzati'!N170</f>
        <v>0</v>
      </c>
      <c r="I170" s="22">
        <f>+'Entrate tot e finalizzati'!O170-'Entrate tot e finalizzati'!P170</f>
        <v>0</v>
      </c>
      <c r="J170" s="22">
        <f>+'Entrate tot e finalizzati'!Q170-'Entrate tot e finalizzati'!R170</f>
        <v>0</v>
      </c>
      <c r="K170" s="22">
        <f>+'Entrate tot e finalizzati'!S170-'Entrate tot e finalizzati'!T170</f>
        <v>0</v>
      </c>
      <c r="L170" s="22">
        <f>+'Entrate tot e finalizzati'!U170-'Entrate tot e finalizzati'!V170</f>
        <v>0</v>
      </c>
      <c r="M170" s="90"/>
      <c r="N170" s="90"/>
      <c r="O170" s="90"/>
      <c r="P170" s="90"/>
      <c r="Q170" s="90"/>
      <c r="R170" s="90"/>
      <c r="S170" s="90"/>
      <c r="T170" s="90"/>
    </row>
    <row r="171" spans="1:20" s="54" customFormat="1" ht="12.75">
      <c r="A171" s="52"/>
      <c r="B171" s="35" t="s">
        <v>67</v>
      </c>
      <c r="C171" s="22">
        <f>+'Entrate tot e finalizzati'!C171-'Entrate tot e finalizzati'!D171</f>
        <v>2789</v>
      </c>
      <c r="D171" s="22">
        <f>+'Entrate tot e finalizzati'!E171-'Entrate tot e finalizzati'!F171</f>
        <v>108</v>
      </c>
      <c r="E171" s="22">
        <f>+'Entrate tot e finalizzati'!G171-'Entrate tot e finalizzati'!H171</f>
        <v>248</v>
      </c>
      <c r="F171" s="22">
        <f>+'Entrate tot e finalizzati'!I171-'Entrate tot e finalizzati'!J171</f>
        <v>15</v>
      </c>
      <c r="G171" s="22">
        <f>+'Entrate tot e finalizzati'!K171-'Entrate tot e finalizzati'!L171</f>
        <v>1032</v>
      </c>
      <c r="H171" s="22">
        <f>+'Entrate tot e finalizzati'!M171-'Entrate tot e finalizzati'!N171</f>
        <v>1432</v>
      </c>
      <c r="I171" s="22">
        <f>+'Entrate tot e finalizzati'!O171-'Entrate tot e finalizzati'!P171</f>
        <v>1522</v>
      </c>
      <c r="J171" s="22">
        <f>+'Entrate tot e finalizzati'!Q171-'Entrate tot e finalizzati'!R171</f>
        <v>1150</v>
      </c>
      <c r="K171" s="22">
        <f>+'Entrate tot e finalizzati'!S171-'Entrate tot e finalizzati'!T171</f>
        <v>600</v>
      </c>
      <c r="L171" s="22">
        <f>+'Entrate tot e finalizzati'!U171-'Entrate tot e finalizzati'!V171</f>
        <v>600</v>
      </c>
      <c r="M171" s="90"/>
      <c r="N171" s="90"/>
      <c r="O171" s="90"/>
      <c r="P171" s="90"/>
      <c r="Q171" s="90"/>
      <c r="R171" s="90"/>
      <c r="S171" s="90"/>
      <c r="T171" s="90"/>
    </row>
    <row r="172" spans="1:20" s="54" customFormat="1" ht="12.75">
      <c r="A172" s="52"/>
      <c r="B172" s="35" t="s">
        <v>17</v>
      </c>
      <c r="C172" s="22">
        <f>+'Entrate tot e finalizzati'!C172-'Entrate tot e finalizzati'!D172</f>
        <v>0</v>
      </c>
      <c r="D172" s="22">
        <f>+'Entrate tot e finalizzati'!E172-'Entrate tot e finalizzati'!F172</f>
        <v>0</v>
      </c>
      <c r="E172" s="22">
        <f>+'Entrate tot e finalizzati'!G172-'Entrate tot e finalizzati'!H172</f>
        <v>0</v>
      </c>
      <c r="F172" s="22">
        <f>+'Entrate tot e finalizzati'!I172-'Entrate tot e finalizzati'!J172</f>
        <v>0</v>
      </c>
      <c r="G172" s="22">
        <f>+'Entrate tot e finalizzati'!K172-'Entrate tot e finalizzati'!L172</f>
        <v>0</v>
      </c>
      <c r="H172" s="22">
        <f>+'Entrate tot e finalizzati'!M172-'Entrate tot e finalizzati'!N172</f>
        <v>0</v>
      </c>
      <c r="I172" s="22">
        <f>+'Entrate tot e finalizzati'!O172-'Entrate tot e finalizzati'!P172</f>
        <v>0</v>
      </c>
      <c r="J172" s="22">
        <f>+'Entrate tot e finalizzati'!Q172-'Entrate tot e finalizzati'!R172</f>
        <v>0</v>
      </c>
      <c r="K172" s="22">
        <f>+'Entrate tot e finalizzati'!S172-'Entrate tot e finalizzati'!T172</f>
        <v>0</v>
      </c>
      <c r="L172" s="22">
        <f>+'Entrate tot e finalizzati'!U172-'Entrate tot e finalizzati'!V172</f>
        <v>0</v>
      </c>
      <c r="M172" s="90"/>
      <c r="N172" s="90"/>
      <c r="O172" s="90"/>
      <c r="P172" s="90"/>
      <c r="Q172" s="90"/>
      <c r="R172" s="90"/>
      <c r="S172" s="90"/>
      <c r="T172" s="90"/>
    </row>
    <row r="173" spans="1:20" s="54" customFormat="1" ht="12.75">
      <c r="A173" s="52"/>
      <c r="B173" s="35" t="s">
        <v>64</v>
      </c>
      <c r="C173" s="22">
        <f>+'Entrate tot e finalizzati'!C173-'Entrate tot e finalizzati'!D173</f>
        <v>0</v>
      </c>
      <c r="D173" s="22">
        <f>+'Entrate tot e finalizzati'!E173-'Entrate tot e finalizzati'!F173</f>
        <v>0</v>
      </c>
      <c r="E173" s="22">
        <f>+'Entrate tot e finalizzati'!G173-'Entrate tot e finalizzati'!H173</f>
        <v>0</v>
      </c>
      <c r="F173" s="22">
        <f>+'Entrate tot e finalizzati'!I173-'Entrate tot e finalizzati'!J173</f>
        <v>0</v>
      </c>
      <c r="G173" s="22">
        <f>+'Entrate tot e finalizzati'!K173-'Entrate tot e finalizzati'!L173</f>
        <v>0</v>
      </c>
      <c r="H173" s="22">
        <f>+'Entrate tot e finalizzati'!M173-'Entrate tot e finalizzati'!N173</f>
        <v>0</v>
      </c>
      <c r="I173" s="22">
        <f>+'Entrate tot e finalizzati'!O173-'Entrate tot e finalizzati'!P173</f>
        <v>0</v>
      </c>
      <c r="J173" s="22">
        <f>+'Entrate tot e finalizzati'!Q173-'Entrate tot e finalizzati'!R173</f>
        <v>0</v>
      </c>
      <c r="K173" s="22">
        <f>+'Entrate tot e finalizzati'!S173-'Entrate tot e finalizzati'!T173</f>
        <v>0</v>
      </c>
      <c r="L173" s="22">
        <f>+'Entrate tot e finalizzati'!U173-'Entrate tot e finalizzati'!V173</f>
        <v>0</v>
      </c>
      <c r="M173" s="90"/>
      <c r="N173" s="90"/>
      <c r="O173" s="90"/>
      <c r="P173" s="90"/>
      <c r="Q173" s="90"/>
      <c r="R173" s="90"/>
      <c r="S173" s="90"/>
      <c r="T173" s="90"/>
    </row>
    <row r="174" spans="1:20" s="54" customFormat="1" ht="12.75">
      <c r="A174" s="52"/>
      <c r="B174" s="35" t="s">
        <v>113</v>
      </c>
      <c r="C174" s="22">
        <f>+'Entrate tot e finalizzati'!C174-'Entrate tot e finalizzati'!D174</f>
        <v>0</v>
      </c>
      <c r="D174" s="22">
        <f>+'Entrate tot e finalizzati'!E174-'Entrate tot e finalizzati'!F174</f>
        <v>0</v>
      </c>
      <c r="E174" s="22">
        <f>+'Entrate tot e finalizzati'!G174-'Entrate tot e finalizzati'!H174</f>
        <v>0</v>
      </c>
      <c r="F174" s="22">
        <f>+'Entrate tot e finalizzati'!I174-'Entrate tot e finalizzati'!J174</f>
        <v>0</v>
      </c>
      <c r="G174" s="22">
        <f>+'Entrate tot e finalizzati'!K174-'Entrate tot e finalizzati'!L174</f>
        <v>0</v>
      </c>
      <c r="H174" s="22">
        <f>+'Entrate tot e finalizzati'!M174-'Entrate tot e finalizzati'!N174</f>
        <v>0</v>
      </c>
      <c r="I174" s="22">
        <f>+'Entrate tot e finalizzati'!O174-'Entrate tot e finalizzati'!P174</f>
        <v>0</v>
      </c>
      <c r="J174" s="22">
        <f>+'Entrate tot e finalizzati'!Q174-'Entrate tot e finalizzati'!R174</f>
        <v>0</v>
      </c>
      <c r="K174" s="22">
        <f>+'Entrate tot e finalizzati'!S174-'Entrate tot e finalizzati'!T174</f>
        <v>0</v>
      </c>
      <c r="L174" s="22">
        <f>+'Entrate tot e finalizzati'!U174-'Entrate tot e finalizzati'!V174</f>
        <v>0</v>
      </c>
      <c r="M174" s="90"/>
      <c r="N174" s="90"/>
      <c r="O174" s="90"/>
      <c r="P174" s="90"/>
      <c r="Q174" s="90"/>
      <c r="R174" s="90"/>
      <c r="S174" s="90"/>
      <c r="T174" s="90"/>
    </row>
    <row r="175" spans="1:20" s="54" customFormat="1" ht="12.75">
      <c r="A175" s="52"/>
      <c r="B175" s="35" t="s">
        <v>72</v>
      </c>
      <c r="C175" s="22">
        <f>+'Entrate tot e finalizzati'!C175-'Entrate tot e finalizzati'!D175</f>
        <v>0</v>
      </c>
      <c r="D175" s="22">
        <f>+'Entrate tot e finalizzati'!E175-'Entrate tot e finalizzati'!F175</f>
        <v>0</v>
      </c>
      <c r="E175" s="22">
        <f>+'Entrate tot e finalizzati'!G175-'Entrate tot e finalizzati'!H175</f>
        <v>0</v>
      </c>
      <c r="F175" s="22">
        <f>+'Entrate tot e finalizzati'!I175-'Entrate tot e finalizzati'!J175</f>
        <v>0</v>
      </c>
      <c r="G175" s="22">
        <f>+'Entrate tot e finalizzati'!K175-'Entrate tot e finalizzati'!L175</f>
        <v>516</v>
      </c>
      <c r="H175" s="22">
        <f>+'Entrate tot e finalizzati'!M175-'Entrate tot e finalizzati'!N175</f>
        <v>517</v>
      </c>
      <c r="I175" s="22">
        <f>+'Entrate tot e finalizzati'!O175-'Entrate tot e finalizzati'!P175</f>
        <v>516</v>
      </c>
      <c r="J175" s="22">
        <f>+'Entrate tot e finalizzati'!Q175-'Entrate tot e finalizzati'!R175</f>
        <v>515</v>
      </c>
      <c r="K175" s="22">
        <f>+'Entrate tot e finalizzati'!S175-'Entrate tot e finalizzati'!T175</f>
        <v>516</v>
      </c>
      <c r="L175" s="22">
        <f>+'Entrate tot e finalizzati'!U175-'Entrate tot e finalizzati'!V175</f>
        <v>517</v>
      </c>
      <c r="M175" s="90"/>
      <c r="N175" s="90"/>
      <c r="O175" s="90"/>
      <c r="P175" s="90"/>
      <c r="Q175" s="90"/>
      <c r="R175" s="90"/>
      <c r="S175" s="90"/>
      <c r="T175" s="90"/>
    </row>
    <row r="176" spans="1:20" s="54" customFormat="1" ht="12.75">
      <c r="A176" s="52"/>
      <c r="B176" s="35" t="s">
        <v>65</v>
      </c>
      <c r="C176" s="22">
        <f>+'Entrate tot e finalizzati'!C176-'Entrate tot e finalizzati'!D176</f>
        <v>0</v>
      </c>
      <c r="D176" s="22">
        <f>+'Entrate tot e finalizzati'!E176-'Entrate tot e finalizzati'!F176</f>
        <v>0</v>
      </c>
      <c r="E176" s="22">
        <f>+'Entrate tot e finalizzati'!G176-'Entrate tot e finalizzati'!H176</f>
        <v>0</v>
      </c>
      <c r="F176" s="22">
        <f>+'Entrate tot e finalizzati'!I176-'Entrate tot e finalizzati'!J176</f>
        <v>0</v>
      </c>
      <c r="G176" s="22">
        <f>+'Entrate tot e finalizzati'!K176-'Entrate tot e finalizzati'!L176</f>
        <v>55</v>
      </c>
      <c r="H176" s="22">
        <f>+'Entrate tot e finalizzati'!M176-'Entrate tot e finalizzati'!N176</f>
        <v>90</v>
      </c>
      <c r="I176" s="22">
        <f>+'Entrate tot e finalizzati'!O176-'Entrate tot e finalizzati'!P176</f>
        <v>181</v>
      </c>
      <c r="J176" s="22">
        <f>+'Entrate tot e finalizzati'!Q176-'Entrate tot e finalizzati'!R176</f>
        <v>0</v>
      </c>
      <c r="K176" s="22">
        <f>+'Entrate tot e finalizzati'!S176-'Entrate tot e finalizzati'!T176</f>
        <v>2</v>
      </c>
      <c r="L176" s="22">
        <f>+'Entrate tot e finalizzati'!U176-'Entrate tot e finalizzati'!V176</f>
        <v>7</v>
      </c>
      <c r="M176" s="90"/>
      <c r="N176" s="90"/>
      <c r="O176" s="90"/>
      <c r="P176" s="90"/>
      <c r="Q176" s="90"/>
      <c r="R176" s="90"/>
      <c r="S176" s="90"/>
      <c r="T176" s="90"/>
    </row>
    <row r="177" spans="1:20" s="54" customFormat="1" ht="12.75">
      <c r="A177" s="52"/>
      <c r="B177" s="35" t="s">
        <v>95</v>
      </c>
      <c r="C177" s="22">
        <f>+'Entrate tot e finalizzati'!C177-'Entrate tot e finalizzati'!D177</f>
        <v>0</v>
      </c>
      <c r="D177" s="22">
        <f>+'Entrate tot e finalizzati'!E177-'Entrate tot e finalizzati'!F177</f>
        <v>0</v>
      </c>
      <c r="E177" s="22">
        <f>+'Entrate tot e finalizzati'!G177-'Entrate tot e finalizzati'!H177</f>
        <v>0</v>
      </c>
      <c r="F177" s="22">
        <f>+'Entrate tot e finalizzati'!I177-'Entrate tot e finalizzati'!J177</f>
        <v>0</v>
      </c>
      <c r="G177" s="22">
        <f>+'Entrate tot e finalizzati'!K177-'Entrate tot e finalizzati'!L177</f>
        <v>0</v>
      </c>
      <c r="H177" s="22">
        <f>+'Entrate tot e finalizzati'!M177-'Entrate tot e finalizzati'!N177</f>
        <v>600</v>
      </c>
      <c r="I177" s="22">
        <f>+'Entrate tot e finalizzati'!O177-'Entrate tot e finalizzati'!P177</f>
        <v>749</v>
      </c>
      <c r="J177" s="22">
        <f>+'Entrate tot e finalizzati'!Q177-'Entrate tot e finalizzati'!R177</f>
        <v>1466</v>
      </c>
      <c r="K177" s="22">
        <f>+'Entrate tot e finalizzati'!S177-'Entrate tot e finalizzati'!T177</f>
        <v>0</v>
      </c>
      <c r="L177" s="22">
        <f>+'Entrate tot e finalizzati'!U177-'Entrate tot e finalizzati'!V177</f>
        <v>0</v>
      </c>
      <c r="M177" s="90"/>
      <c r="N177" s="90"/>
      <c r="O177" s="90"/>
      <c r="P177" s="90"/>
      <c r="Q177" s="90"/>
      <c r="R177" s="90"/>
      <c r="S177" s="90"/>
      <c r="T177" s="90"/>
    </row>
    <row r="178" spans="1:20" s="54" customFormat="1" ht="12.75">
      <c r="A178" s="52"/>
      <c r="B178" s="35" t="s">
        <v>73</v>
      </c>
      <c r="C178" s="22">
        <f>+'Entrate tot e finalizzati'!C178-'Entrate tot e finalizzati'!D178</f>
        <v>0</v>
      </c>
      <c r="D178" s="22">
        <f>+'Entrate tot e finalizzati'!E178-'Entrate tot e finalizzati'!F178</f>
        <v>0</v>
      </c>
      <c r="E178" s="22">
        <f>+'Entrate tot e finalizzati'!G178-'Entrate tot e finalizzati'!H178</f>
        <v>0</v>
      </c>
      <c r="F178" s="22">
        <f>+'Entrate tot e finalizzati'!I178-'Entrate tot e finalizzati'!J178</f>
        <v>0</v>
      </c>
      <c r="G178" s="22">
        <f>+'Entrate tot e finalizzati'!K178-'Entrate tot e finalizzati'!L178</f>
        <v>0</v>
      </c>
      <c r="H178" s="22">
        <f>+'Entrate tot e finalizzati'!M178-'Entrate tot e finalizzati'!N178</f>
        <v>0</v>
      </c>
      <c r="I178" s="22">
        <f>+'Entrate tot e finalizzati'!O178-'Entrate tot e finalizzati'!P178</f>
        <v>0</v>
      </c>
      <c r="J178" s="22">
        <f>+'Entrate tot e finalizzati'!Q178-'Entrate tot e finalizzati'!R178</f>
        <v>0</v>
      </c>
      <c r="K178" s="22">
        <f>+'Entrate tot e finalizzati'!S178-'Entrate tot e finalizzati'!T178</f>
        <v>0</v>
      </c>
      <c r="L178" s="22">
        <f>+'Entrate tot e finalizzati'!U178-'Entrate tot e finalizzati'!V178</f>
        <v>0</v>
      </c>
      <c r="M178" s="90"/>
      <c r="N178" s="90"/>
      <c r="O178" s="90"/>
      <c r="P178" s="90"/>
      <c r="Q178" s="90"/>
      <c r="R178" s="90"/>
      <c r="S178" s="90"/>
      <c r="T178" s="90"/>
    </row>
    <row r="179" spans="1:20" s="2" customFormat="1" ht="12.75">
      <c r="A179" s="27" t="s">
        <v>135</v>
      </c>
      <c r="B179" s="28"/>
      <c r="C179" s="29">
        <f>+'Entrate tot e finalizzati'!C179-'Entrate tot e finalizzati'!D179</f>
        <v>1</v>
      </c>
      <c r="D179" s="29">
        <f>+'Entrate tot e finalizzati'!E179-'Entrate tot e finalizzati'!F179</f>
        <v>0</v>
      </c>
      <c r="E179" s="29">
        <f>+'Entrate tot e finalizzati'!G179-'Entrate tot e finalizzati'!H179</f>
        <v>0</v>
      </c>
      <c r="F179" s="29">
        <f>+'Entrate tot e finalizzati'!I179-'Entrate tot e finalizzati'!J179</f>
        <v>0</v>
      </c>
      <c r="G179" s="29">
        <f>+'Entrate tot e finalizzati'!K179-'Entrate tot e finalizzati'!L179</f>
        <v>0</v>
      </c>
      <c r="H179" s="29">
        <f>+'Entrate tot e finalizzati'!M179-'Entrate tot e finalizzati'!N179</f>
        <v>0</v>
      </c>
      <c r="I179" s="29">
        <f>+'Entrate tot e finalizzati'!O179-'Entrate tot e finalizzati'!P179</f>
        <v>44</v>
      </c>
      <c r="J179" s="29">
        <f>+'Entrate tot e finalizzati'!Q179-'Entrate tot e finalizzati'!R179</f>
        <v>356</v>
      </c>
      <c r="K179" s="29">
        <f>+'Entrate tot e finalizzati'!S179-'Entrate tot e finalizzati'!T179</f>
        <v>48</v>
      </c>
      <c r="L179" s="29">
        <f>+'Entrate tot e finalizzati'!U179-'Entrate tot e finalizzati'!V179</f>
        <v>33</v>
      </c>
      <c r="M179" s="39"/>
      <c r="N179" s="39"/>
      <c r="O179" s="39"/>
      <c r="P179" s="39"/>
      <c r="Q179" s="39"/>
      <c r="R179" s="39"/>
      <c r="S179" s="39"/>
      <c r="T179" s="39"/>
    </row>
    <row r="180" spans="1:20" s="2" customFormat="1" ht="12.75">
      <c r="A180" s="52"/>
      <c r="B180" s="35" t="s">
        <v>64</v>
      </c>
      <c r="C180" s="61">
        <f>+'Entrate tot e finalizzati'!C180-'Entrate tot e finalizzati'!D180</f>
        <v>0</v>
      </c>
      <c r="D180" s="37">
        <f>+'Entrate tot e finalizzati'!E180-'Entrate tot e finalizzati'!F180</f>
        <v>0</v>
      </c>
      <c r="E180" s="61">
        <f>+'Entrate tot e finalizzati'!G180-'Entrate tot e finalizzati'!H180</f>
        <v>0</v>
      </c>
      <c r="F180" s="61">
        <f>+'Entrate tot e finalizzati'!I180-'Entrate tot e finalizzati'!J180</f>
        <v>0</v>
      </c>
      <c r="G180" s="66">
        <f>+'Entrate tot e finalizzati'!K180-'Entrate tot e finalizzati'!L180</f>
        <v>0</v>
      </c>
      <c r="H180" s="66">
        <f>+'Entrate tot e finalizzati'!M180-'Entrate tot e finalizzati'!N180</f>
        <v>0</v>
      </c>
      <c r="I180" s="66">
        <f>+'Entrate tot e finalizzati'!O180-'Entrate tot e finalizzati'!P180</f>
        <v>0</v>
      </c>
      <c r="J180" s="66">
        <f>+'Entrate tot e finalizzati'!Q180-'Entrate tot e finalizzati'!R180</f>
        <v>0</v>
      </c>
      <c r="K180" s="66">
        <f>+'Entrate tot e finalizzati'!S180-'Entrate tot e finalizzati'!T180</f>
        <v>0</v>
      </c>
      <c r="L180" s="66">
        <f>+'Entrate tot e finalizzati'!U180-'Entrate tot e finalizzati'!V180</f>
        <v>0</v>
      </c>
      <c r="M180" s="39"/>
      <c r="N180" s="39"/>
      <c r="O180" s="39"/>
      <c r="P180" s="39"/>
      <c r="Q180" s="39"/>
      <c r="R180" s="39"/>
      <c r="S180" s="39"/>
      <c r="T180" s="39"/>
    </row>
    <row r="181" spans="1:20" s="2" customFormat="1" ht="12.75">
      <c r="A181" s="52"/>
      <c r="B181" s="35" t="s">
        <v>66</v>
      </c>
      <c r="C181" s="61">
        <f>+'Entrate tot e finalizzati'!C181-'Entrate tot e finalizzati'!D181</f>
        <v>0</v>
      </c>
      <c r="D181" s="37">
        <f>+'Entrate tot e finalizzati'!E181-'Entrate tot e finalizzati'!F181</f>
        <v>0</v>
      </c>
      <c r="E181" s="61">
        <f>+'Entrate tot e finalizzati'!G181-'Entrate tot e finalizzati'!H181</f>
        <v>0</v>
      </c>
      <c r="F181" s="61">
        <f>+'Entrate tot e finalizzati'!I181-'Entrate tot e finalizzati'!J181</f>
        <v>0</v>
      </c>
      <c r="G181" s="66">
        <f>+'Entrate tot e finalizzati'!K181-'Entrate tot e finalizzati'!L181</f>
        <v>0</v>
      </c>
      <c r="H181" s="66">
        <f>+'Entrate tot e finalizzati'!M181-'Entrate tot e finalizzati'!N181</f>
        <v>0</v>
      </c>
      <c r="I181" s="66">
        <f>+'Entrate tot e finalizzati'!O181-'Entrate tot e finalizzati'!P181</f>
        <v>0</v>
      </c>
      <c r="J181" s="66">
        <f>+'Entrate tot e finalizzati'!Q181-'Entrate tot e finalizzati'!R181</f>
        <v>0</v>
      </c>
      <c r="K181" s="66">
        <f>+'Entrate tot e finalizzati'!S181-'Entrate tot e finalizzati'!T181</f>
        <v>0</v>
      </c>
      <c r="L181" s="66">
        <f>+'Entrate tot e finalizzati'!U181-'Entrate tot e finalizzati'!V181</f>
        <v>0</v>
      </c>
      <c r="M181" s="39"/>
      <c r="N181" s="39"/>
      <c r="O181" s="39"/>
      <c r="P181" s="39"/>
      <c r="Q181" s="39"/>
      <c r="R181" s="39"/>
      <c r="S181" s="39"/>
      <c r="T181" s="39"/>
    </row>
    <row r="182" spans="1:20" s="2" customFormat="1" ht="12.75">
      <c r="A182" s="52"/>
      <c r="B182" s="35" t="s">
        <v>69</v>
      </c>
      <c r="C182" s="61">
        <f>+'Entrate tot e finalizzati'!C182-'Entrate tot e finalizzati'!D182</f>
        <v>0</v>
      </c>
      <c r="D182" s="37">
        <f>+'Entrate tot e finalizzati'!E182-'Entrate tot e finalizzati'!F182</f>
        <v>0</v>
      </c>
      <c r="E182" s="61">
        <f>+'Entrate tot e finalizzati'!G182-'Entrate tot e finalizzati'!H182</f>
        <v>0</v>
      </c>
      <c r="F182" s="61">
        <f>+'Entrate tot e finalizzati'!I182-'Entrate tot e finalizzati'!J182</f>
        <v>0</v>
      </c>
      <c r="G182" s="66">
        <f>+'Entrate tot e finalizzati'!K182-'Entrate tot e finalizzati'!L182</f>
        <v>0</v>
      </c>
      <c r="H182" s="66">
        <f>+'Entrate tot e finalizzati'!M182-'Entrate tot e finalizzati'!N182</f>
        <v>0</v>
      </c>
      <c r="I182" s="66">
        <f>+'Entrate tot e finalizzati'!O182-'Entrate tot e finalizzati'!P182</f>
        <v>0</v>
      </c>
      <c r="J182" s="66">
        <f>+'Entrate tot e finalizzati'!Q182-'Entrate tot e finalizzati'!R182</f>
        <v>0</v>
      </c>
      <c r="K182" s="66">
        <f>+'Entrate tot e finalizzati'!S182-'Entrate tot e finalizzati'!T182</f>
        <v>0</v>
      </c>
      <c r="L182" s="66">
        <f>+'Entrate tot e finalizzati'!U182-'Entrate tot e finalizzati'!V182</f>
        <v>0</v>
      </c>
      <c r="M182" s="39"/>
      <c r="N182" s="39"/>
      <c r="O182" s="39"/>
      <c r="P182" s="39"/>
      <c r="Q182" s="39"/>
      <c r="R182" s="39"/>
      <c r="S182" s="39"/>
      <c r="T182" s="39"/>
    </row>
    <row r="183" spans="1:20" s="2" customFormat="1" ht="12.75">
      <c r="A183" s="52"/>
      <c r="B183" s="35" t="s">
        <v>17</v>
      </c>
      <c r="C183" s="61">
        <f>+'Entrate tot e finalizzati'!C183-'Entrate tot e finalizzati'!D183</f>
        <v>0</v>
      </c>
      <c r="D183" s="37">
        <f>+'Entrate tot e finalizzati'!E183-'Entrate tot e finalizzati'!F183</f>
        <v>0</v>
      </c>
      <c r="E183" s="61">
        <f>+'Entrate tot e finalizzati'!G183-'Entrate tot e finalizzati'!H183</f>
        <v>0</v>
      </c>
      <c r="F183" s="61">
        <f>+'Entrate tot e finalizzati'!I183-'Entrate tot e finalizzati'!J183</f>
        <v>0</v>
      </c>
      <c r="G183" s="66">
        <f>+'Entrate tot e finalizzati'!K183-'Entrate tot e finalizzati'!L183</f>
        <v>0</v>
      </c>
      <c r="H183" s="66">
        <f>+'Entrate tot e finalizzati'!M183-'Entrate tot e finalizzati'!N183</f>
        <v>0</v>
      </c>
      <c r="I183" s="66">
        <f>+'Entrate tot e finalizzati'!O183-'Entrate tot e finalizzati'!P183</f>
        <v>0</v>
      </c>
      <c r="J183" s="66">
        <f>+'Entrate tot e finalizzati'!Q183-'Entrate tot e finalizzati'!R183</f>
        <v>0</v>
      </c>
      <c r="K183" s="66">
        <f>+'Entrate tot e finalizzati'!S183-'Entrate tot e finalizzati'!T183</f>
        <v>0</v>
      </c>
      <c r="L183" s="66">
        <f>+'Entrate tot e finalizzati'!U183-'Entrate tot e finalizzati'!V183</f>
        <v>0</v>
      </c>
      <c r="M183" s="39"/>
      <c r="N183" s="39"/>
      <c r="O183" s="39"/>
      <c r="P183" s="39"/>
      <c r="Q183" s="39"/>
      <c r="R183" s="39"/>
      <c r="S183" s="39"/>
      <c r="T183" s="39"/>
    </row>
    <row r="184" spans="1:20" s="2" customFormat="1" ht="12.75">
      <c r="A184" s="52"/>
      <c r="B184" s="35" t="s">
        <v>21</v>
      </c>
      <c r="C184" s="61">
        <f>+'Entrate tot e finalizzati'!C184-'Entrate tot e finalizzati'!D184</f>
        <v>0</v>
      </c>
      <c r="D184" s="37">
        <f>+'Entrate tot e finalizzati'!E184-'Entrate tot e finalizzati'!F184</f>
        <v>0</v>
      </c>
      <c r="E184" s="61">
        <f>+'Entrate tot e finalizzati'!G184-'Entrate tot e finalizzati'!H184</f>
        <v>0</v>
      </c>
      <c r="F184" s="61">
        <f>+'Entrate tot e finalizzati'!I184-'Entrate tot e finalizzati'!J184</f>
        <v>0</v>
      </c>
      <c r="G184" s="66">
        <f>+'Entrate tot e finalizzati'!K184-'Entrate tot e finalizzati'!L184</f>
        <v>0</v>
      </c>
      <c r="H184" s="66">
        <f>+'Entrate tot e finalizzati'!M184-'Entrate tot e finalizzati'!N184</f>
        <v>0</v>
      </c>
      <c r="I184" s="66">
        <f>+'Entrate tot e finalizzati'!O184-'Entrate tot e finalizzati'!P184</f>
        <v>44</v>
      </c>
      <c r="J184" s="66">
        <f>+'Entrate tot e finalizzati'!Q184-'Entrate tot e finalizzati'!R184</f>
        <v>41</v>
      </c>
      <c r="K184" s="66">
        <f>+'Entrate tot e finalizzati'!S184-'Entrate tot e finalizzati'!T184</f>
        <v>47</v>
      </c>
      <c r="L184" s="66">
        <f>+'Entrate tot e finalizzati'!U184-'Entrate tot e finalizzati'!V184</f>
        <v>33</v>
      </c>
      <c r="M184" s="39"/>
      <c r="N184" s="39"/>
      <c r="O184" s="39"/>
      <c r="P184" s="39"/>
      <c r="Q184" s="39"/>
      <c r="R184" s="39"/>
      <c r="S184" s="39"/>
      <c r="T184" s="39"/>
    </row>
    <row r="185" spans="1:20" s="2" customFormat="1" ht="12.75">
      <c r="A185" s="52"/>
      <c r="B185" s="35" t="s">
        <v>65</v>
      </c>
      <c r="C185" s="61">
        <f>+'Entrate tot e finalizzati'!C185-'Entrate tot e finalizzati'!D185</f>
        <v>1</v>
      </c>
      <c r="D185" s="37">
        <f>+'Entrate tot e finalizzati'!E185-'Entrate tot e finalizzati'!F185</f>
        <v>0</v>
      </c>
      <c r="E185" s="61">
        <f>+'Entrate tot e finalizzati'!G185-'Entrate tot e finalizzati'!H185</f>
        <v>0</v>
      </c>
      <c r="F185" s="61">
        <f>+'Entrate tot e finalizzati'!I185-'Entrate tot e finalizzati'!J185</f>
        <v>0</v>
      </c>
      <c r="G185" s="66">
        <f>+'Entrate tot e finalizzati'!K185-'Entrate tot e finalizzati'!L185</f>
        <v>0</v>
      </c>
      <c r="H185" s="66">
        <f>+'Entrate tot e finalizzati'!M185-'Entrate tot e finalizzati'!N185</f>
        <v>0</v>
      </c>
      <c r="I185" s="66">
        <f>+'Entrate tot e finalizzati'!O185-'Entrate tot e finalizzati'!P185</f>
        <v>0</v>
      </c>
      <c r="J185" s="66">
        <f>+'Entrate tot e finalizzati'!Q185-'Entrate tot e finalizzati'!R185</f>
        <v>315</v>
      </c>
      <c r="K185" s="66">
        <f>+'Entrate tot e finalizzati'!S185-'Entrate tot e finalizzati'!T185</f>
        <v>1</v>
      </c>
      <c r="L185" s="66">
        <f>+'Entrate tot e finalizzati'!U185-'Entrate tot e finalizzati'!V185</f>
        <v>0</v>
      </c>
      <c r="M185" s="39"/>
      <c r="N185" s="39"/>
      <c r="O185" s="39"/>
      <c r="P185" s="39"/>
      <c r="Q185" s="39"/>
      <c r="R185" s="39"/>
      <c r="S185" s="39"/>
      <c r="T185" s="39"/>
    </row>
    <row r="186" spans="1:20" s="2" customFormat="1" ht="12.75">
      <c r="A186" s="52"/>
      <c r="B186" s="35" t="s">
        <v>72</v>
      </c>
      <c r="C186" s="61">
        <f>+'Entrate tot e finalizzati'!C186-'Entrate tot e finalizzati'!D186</f>
        <v>0</v>
      </c>
      <c r="D186" s="37">
        <f>+'Entrate tot e finalizzati'!E186-'Entrate tot e finalizzati'!F186</f>
        <v>0</v>
      </c>
      <c r="E186" s="61">
        <f>+'Entrate tot e finalizzati'!G186-'Entrate tot e finalizzati'!H186</f>
        <v>0</v>
      </c>
      <c r="F186" s="61">
        <f>+'Entrate tot e finalizzati'!I186-'Entrate tot e finalizzati'!J186</f>
        <v>0</v>
      </c>
      <c r="G186" s="66">
        <f>+'Entrate tot e finalizzati'!K186-'Entrate tot e finalizzati'!L186</f>
        <v>0</v>
      </c>
      <c r="H186" s="66">
        <f>+'Entrate tot e finalizzati'!M186-'Entrate tot e finalizzati'!N186</f>
        <v>0</v>
      </c>
      <c r="I186" s="66">
        <f>+'Entrate tot e finalizzati'!O186-'Entrate tot e finalizzati'!P186</f>
        <v>0</v>
      </c>
      <c r="J186" s="66">
        <f>+'Entrate tot e finalizzati'!Q186-'Entrate tot e finalizzati'!R186</f>
        <v>0</v>
      </c>
      <c r="K186" s="66">
        <f>+'Entrate tot e finalizzati'!S186-'Entrate tot e finalizzati'!T186</f>
        <v>0</v>
      </c>
      <c r="L186" s="66">
        <f>+'Entrate tot e finalizzati'!U186-'Entrate tot e finalizzati'!V186</f>
        <v>0</v>
      </c>
      <c r="M186" s="39"/>
      <c r="N186" s="39"/>
      <c r="O186" s="39"/>
      <c r="P186" s="39"/>
      <c r="Q186" s="39"/>
      <c r="R186" s="39"/>
      <c r="S186" s="39"/>
      <c r="T186" s="39"/>
    </row>
    <row r="187" spans="1:20" s="2" customFormat="1" ht="12.75">
      <c r="A187" s="52"/>
      <c r="B187" s="35" t="s">
        <v>67</v>
      </c>
      <c r="C187" s="61">
        <f>+'Entrate tot e finalizzati'!C187-'Entrate tot e finalizzati'!D187</f>
        <v>0</v>
      </c>
      <c r="D187" s="37">
        <f>+'Entrate tot e finalizzati'!E187-'Entrate tot e finalizzati'!F187</f>
        <v>0</v>
      </c>
      <c r="E187" s="61">
        <f>+'Entrate tot e finalizzati'!G187-'Entrate tot e finalizzati'!H187</f>
        <v>0</v>
      </c>
      <c r="F187" s="61">
        <f>+'Entrate tot e finalizzati'!I187-'Entrate tot e finalizzati'!J187</f>
        <v>0</v>
      </c>
      <c r="G187" s="66">
        <f>+'Entrate tot e finalizzati'!K187-'Entrate tot e finalizzati'!L187</f>
        <v>0</v>
      </c>
      <c r="H187" s="66">
        <f>+'Entrate tot e finalizzati'!M187-'Entrate tot e finalizzati'!N187</f>
        <v>0</v>
      </c>
      <c r="I187" s="66">
        <f>+'Entrate tot e finalizzati'!O187-'Entrate tot e finalizzati'!P187</f>
        <v>0</v>
      </c>
      <c r="J187" s="66">
        <f>+'Entrate tot e finalizzati'!Q187-'Entrate tot e finalizzati'!R187</f>
        <v>0</v>
      </c>
      <c r="K187" s="66">
        <f>+'Entrate tot e finalizzati'!S187-'Entrate tot e finalizzati'!T187</f>
        <v>0</v>
      </c>
      <c r="L187" s="66">
        <f>+'Entrate tot e finalizzati'!U187-'Entrate tot e finalizzati'!V187</f>
        <v>0</v>
      </c>
      <c r="M187" s="39"/>
      <c r="N187" s="39"/>
      <c r="O187" s="39"/>
      <c r="P187" s="39"/>
      <c r="Q187" s="39"/>
      <c r="R187" s="39"/>
      <c r="S187" s="39"/>
      <c r="T187" s="39"/>
    </row>
    <row r="188" spans="1:20" s="2" customFormat="1" ht="12.75">
      <c r="A188" s="27" t="s">
        <v>136</v>
      </c>
      <c r="B188" s="28"/>
      <c r="C188" s="29">
        <f>+'Entrate tot e finalizzati'!C188-'Entrate tot e finalizzati'!D188</f>
        <v>1885</v>
      </c>
      <c r="D188" s="29">
        <f>+'Entrate tot e finalizzati'!E188-'Entrate tot e finalizzati'!F188</f>
        <v>2010</v>
      </c>
      <c r="E188" s="29">
        <f>+'Entrate tot e finalizzati'!G188-'Entrate tot e finalizzati'!H188</f>
        <v>1893</v>
      </c>
      <c r="F188" s="29">
        <f>+'Entrate tot e finalizzati'!I188-'Entrate tot e finalizzati'!J188</f>
        <v>1693</v>
      </c>
      <c r="G188" s="29">
        <f>+'Entrate tot e finalizzati'!K188-'Entrate tot e finalizzati'!L188</f>
        <v>1861</v>
      </c>
      <c r="H188" s="29">
        <f>+'Entrate tot e finalizzati'!M188-'Entrate tot e finalizzati'!N188</f>
        <v>1447</v>
      </c>
      <c r="I188" s="29">
        <f>+'Entrate tot e finalizzati'!O188-'Entrate tot e finalizzati'!P188</f>
        <v>1133</v>
      </c>
      <c r="J188" s="29">
        <f>+'Entrate tot e finalizzati'!Q188-'Entrate tot e finalizzati'!R188</f>
        <v>1216</v>
      </c>
      <c r="K188" s="29">
        <f>+'Entrate tot e finalizzati'!S188-'Entrate tot e finalizzati'!T188</f>
        <v>901</v>
      </c>
      <c r="L188" s="29">
        <f>+'Entrate tot e finalizzati'!U188-'Entrate tot e finalizzati'!V188</f>
        <v>739</v>
      </c>
      <c r="M188" s="39"/>
      <c r="N188" s="39"/>
      <c r="O188" s="39"/>
      <c r="P188" s="39"/>
      <c r="Q188" s="39"/>
      <c r="R188" s="39"/>
      <c r="S188" s="39"/>
      <c r="T188" s="39"/>
    </row>
    <row r="189" spans="1:20" s="2" customFormat="1" ht="12.75">
      <c r="A189" s="52"/>
      <c r="B189" s="35" t="s">
        <v>66</v>
      </c>
      <c r="C189" s="61">
        <f>+'Entrate tot e finalizzati'!C189-'Entrate tot e finalizzati'!D189</f>
        <v>0</v>
      </c>
      <c r="D189" s="37">
        <f>+'Entrate tot e finalizzati'!E189-'Entrate tot e finalizzati'!F189</f>
        <v>0</v>
      </c>
      <c r="E189" s="61">
        <f>+'Entrate tot e finalizzati'!G189-'Entrate tot e finalizzati'!H189</f>
        <v>0</v>
      </c>
      <c r="F189" s="61">
        <f>+'Entrate tot e finalizzati'!I189-'Entrate tot e finalizzati'!J189</f>
        <v>0</v>
      </c>
      <c r="G189" s="66">
        <f>+'Entrate tot e finalizzati'!K189-'Entrate tot e finalizzati'!L189</f>
        <v>0</v>
      </c>
      <c r="H189" s="66">
        <f>+'Entrate tot e finalizzati'!M189-'Entrate tot e finalizzati'!N189</f>
        <v>0</v>
      </c>
      <c r="I189" s="66">
        <f>+'Entrate tot e finalizzati'!O189-'Entrate tot e finalizzati'!P189</f>
        <v>0</v>
      </c>
      <c r="J189" s="66">
        <f>+'Entrate tot e finalizzati'!Q189-'Entrate tot e finalizzati'!R189</f>
        <v>0</v>
      </c>
      <c r="K189" s="66">
        <f>+'Entrate tot e finalizzati'!S189-'Entrate tot e finalizzati'!T189</f>
        <v>0</v>
      </c>
      <c r="L189" s="66">
        <f>+'Entrate tot e finalizzati'!U189-'Entrate tot e finalizzati'!V189</f>
        <v>0</v>
      </c>
      <c r="M189" s="39"/>
      <c r="N189" s="39"/>
      <c r="O189" s="39"/>
      <c r="P189" s="39"/>
      <c r="Q189" s="39"/>
      <c r="R189" s="39"/>
      <c r="S189" s="39"/>
      <c r="T189" s="39"/>
    </row>
    <row r="190" spans="1:20" s="2" customFormat="1" ht="12.75">
      <c r="A190" s="52"/>
      <c r="B190" s="35" t="s">
        <v>111</v>
      </c>
      <c r="C190" s="61">
        <f>+'Entrate tot e finalizzati'!C190-'Entrate tot e finalizzati'!D190</f>
        <v>0</v>
      </c>
      <c r="D190" s="37">
        <f>+'Entrate tot e finalizzati'!E190-'Entrate tot e finalizzati'!F190</f>
        <v>0</v>
      </c>
      <c r="E190" s="61">
        <f>+'Entrate tot e finalizzati'!G190-'Entrate tot e finalizzati'!H190</f>
        <v>0</v>
      </c>
      <c r="F190" s="61">
        <f>+'Entrate tot e finalizzati'!I190-'Entrate tot e finalizzati'!J190</f>
        <v>0</v>
      </c>
      <c r="G190" s="66">
        <f>+'Entrate tot e finalizzati'!K190-'Entrate tot e finalizzati'!L190</f>
        <v>0</v>
      </c>
      <c r="H190" s="66">
        <f>+'Entrate tot e finalizzati'!M190-'Entrate tot e finalizzati'!N190</f>
        <v>0</v>
      </c>
      <c r="I190" s="66">
        <f>+'Entrate tot e finalizzati'!O190-'Entrate tot e finalizzati'!P190</f>
        <v>0</v>
      </c>
      <c r="J190" s="66">
        <f>+'Entrate tot e finalizzati'!Q190-'Entrate tot e finalizzati'!R190</f>
        <v>0</v>
      </c>
      <c r="K190" s="66">
        <f>+'Entrate tot e finalizzati'!S190-'Entrate tot e finalizzati'!T190</f>
        <v>0</v>
      </c>
      <c r="L190" s="66">
        <f>+'Entrate tot e finalizzati'!U190-'Entrate tot e finalizzati'!V190</f>
        <v>0</v>
      </c>
      <c r="M190" s="39"/>
      <c r="N190" s="39"/>
      <c r="O190" s="39"/>
      <c r="P190" s="39"/>
      <c r="Q190" s="39"/>
      <c r="R190" s="39"/>
      <c r="S190" s="39"/>
      <c r="T190" s="39"/>
    </row>
    <row r="191" spans="1:20" s="2" customFormat="1" ht="12.75">
      <c r="A191" s="52"/>
      <c r="B191" s="35" t="s">
        <v>72</v>
      </c>
      <c r="C191" s="61">
        <f>+'Entrate tot e finalizzati'!C191-'Entrate tot e finalizzati'!D191</f>
        <v>0</v>
      </c>
      <c r="D191" s="37">
        <f>+'Entrate tot e finalizzati'!E191-'Entrate tot e finalizzati'!F191</f>
        <v>0</v>
      </c>
      <c r="E191" s="61">
        <f>+'Entrate tot e finalizzati'!G191-'Entrate tot e finalizzati'!H191</f>
        <v>0</v>
      </c>
      <c r="F191" s="61">
        <f>+'Entrate tot e finalizzati'!I191-'Entrate tot e finalizzati'!J191</f>
        <v>0</v>
      </c>
      <c r="G191" s="66">
        <f>+'Entrate tot e finalizzati'!K191-'Entrate tot e finalizzati'!L191</f>
        <v>0</v>
      </c>
      <c r="H191" s="66">
        <f>+'Entrate tot e finalizzati'!M191-'Entrate tot e finalizzati'!N191</f>
        <v>0</v>
      </c>
      <c r="I191" s="66">
        <f>+'Entrate tot e finalizzati'!O191-'Entrate tot e finalizzati'!P191</f>
        <v>0</v>
      </c>
      <c r="J191" s="66">
        <f>+'Entrate tot e finalizzati'!Q191-'Entrate tot e finalizzati'!R191</f>
        <v>0</v>
      </c>
      <c r="K191" s="66">
        <f>+'Entrate tot e finalizzati'!S191-'Entrate tot e finalizzati'!T191</f>
        <v>0</v>
      </c>
      <c r="L191" s="66">
        <f>+'Entrate tot e finalizzati'!U191-'Entrate tot e finalizzati'!V191</f>
        <v>0</v>
      </c>
      <c r="M191" s="39"/>
      <c r="N191" s="39"/>
      <c r="O191" s="39"/>
      <c r="P191" s="39"/>
      <c r="Q191" s="39"/>
      <c r="R191" s="39"/>
      <c r="S191" s="39"/>
      <c r="T191" s="39"/>
    </row>
    <row r="192" spans="1:20" s="2" customFormat="1" ht="12.75">
      <c r="A192" s="52"/>
      <c r="B192" s="35" t="s">
        <v>67</v>
      </c>
      <c r="C192" s="61">
        <f>+'Entrate tot e finalizzati'!C192-'Entrate tot e finalizzati'!D192</f>
        <v>0</v>
      </c>
      <c r="D192" s="37">
        <f>+'Entrate tot e finalizzati'!E192-'Entrate tot e finalizzati'!F192</f>
        <v>0</v>
      </c>
      <c r="E192" s="61">
        <f>+'Entrate tot e finalizzati'!G192-'Entrate tot e finalizzati'!H192</f>
        <v>0</v>
      </c>
      <c r="F192" s="61">
        <f>+'Entrate tot e finalizzati'!I192-'Entrate tot e finalizzati'!J192</f>
        <v>0</v>
      </c>
      <c r="G192" s="66">
        <f>+'Entrate tot e finalizzati'!K192-'Entrate tot e finalizzati'!L192</f>
        <v>0</v>
      </c>
      <c r="H192" s="66">
        <f>+'Entrate tot e finalizzati'!M192-'Entrate tot e finalizzati'!N192</f>
        <v>0</v>
      </c>
      <c r="I192" s="66">
        <f>+'Entrate tot e finalizzati'!O192-'Entrate tot e finalizzati'!P192</f>
        <v>0</v>
      </c>
      <c r="J192" s="66">
        <f>+'Entrate tot e finalizzati'!Q192-'Entrate tot e finalizzati'!R192</f>
        <v>0</v>
      </c>
      <c r="K192" s="66">
        <f>+'Entrate tot e finalizzati'!S192-'Entrate tot e finalizzati'!T192</f>
        <v>0</v>
      </c>
      <c r="L192" s="66">
        <f>+'Entrate tot e finalizzati'!U192-'Entrate tot e finalizzati'!V192</f>
        <v>0</v>
      </c>
      <c r="M192" s="39"/>
      <c r="N192" s="39"/>
      <c r="O192" s="39"/>
      <c r="P192" s="39"/>
      <c r="Q192" s="39"/>
      <c r="R192" s="39"/>
      <c r="S192" s="39"/>
      <c r="T192" s="39"/>
    </row>
    <row r="193" spans="1:20" s="2" customFormat="1" ht="12.75">
      <c r="A193" s="52"/>
      <c r="B193" s="35" t="s">
        <v>75</v>
      </c>
      <c r="C193" s="61">
        <f>+'Entrate tot e finalizzati'!C193-'Entrate tot e finalizzati'!D193</f>
        <v>868</v>
      </c>
      <c r="D193" s="37">
        <f>+'Entrate tot e finalizzati'!E193-'Entrate tot e finalizzati'!F193</f>
        <v>853</v>
      </c>
      <c r="E193" s="61">
        <f>+'Entrate tot e finalizzati'!G193-'Entrate tot e finalizzati'!H193</f>
        <v>803</v>
      </c>
      <c r="F193" s="61">
        <f>+'Entrate tot e finalizzati'!I193-'Entrate tot e finalizzati'!J193</f>
        <v>880</v>
      </c>
      <c r="G193" s="66">
        <f>+'Entrate tot e finalizzati'!K193-'Entrate tot e finalizzati'!L193</f>
        <v>1100</v>
      </c>
      <c r="H193" s="66">
        <f>+'Entrate tot e finalizzati'!M193-'Entrate tot e finalizzati'!N193</f>
        <v>884</v>
      </c>
      <c r="I193" s="66">
        <f>+'Entrate tot e finalizzati'!O193-'Entrate tot e finalizzati'!P193</f>
        <v>488</v>
      </c>
      <c r="J193" s="66">
        <f>+'Entrate tot e finalizzati'!Q193-'Entrate tot e finalizzati'!R193</f>
        <v>435</v>
      </c>
      <c r="K193" s="66">
        <f>+'Entrate tot e finalizzati'!S193-'Entrate tot e finalizzati'!T193</f>
        <v>218</v>
      </c>
      <c r="L193" s="66">
        <f>+'Entrate tot e finalizzati'!U193-'Entrate tot e finalizzati'!V193</f>
        <v>145</v>
      </c>
      <c r="M193" s="39">
        <f>+'Entrate tot e finalizzati'!T192-'Entrate tot e finalizzati'!U176</f>
        <v>-10</v>
      </c>
      <c r="N193" s="39">
        <f>+'Entrate tot e finalizzati'!V176-'Entrate tot e finalizzati'!W176</f>
        <v>3</v>
      </c>
      <c r="O193" s="39"/>
      <c r="P193" s="39"/>
      <c r="Q193" s="39"/>
      <c r="R193" s="39"/>
      <c r="S193" s="39"/>
      <c r="T193" s="39"/>
    </row>
    <row r="194" spans="1:20" s="2" customFormat="1" ht="12.75">
      <c r="A194" s="52"/>
      <c r="B194" s="35" t="s">
        <v>74</v>
      </c>
      <c r="C194" s="61">
        <f>+'Entrate tot e finalizzati'!C194-'Entrate tot e finalizzati'!D194</f>
        <v>236</v>
      </c>
      <c r="D194" s="37">
        <f>+'Entrate tot e finalizzati'!E194-'Entrate tot e finalizzati'!F194</f>
        <v>1045</v>
      </c>
      <c r="E194" s="61">
        <f>+'Entrate tot e finalizzati'!G194-'Entrate tot e finalizzati'!H194</f>
        <v>991</v>
      </c>
      <c r="F194" s="61">
        <f>+'Entrate tot e finalizzati'!I194-'Entrate tot e finalizzati'!J194</f>
        <v>742</v>
      </c>
      <c r="G194" s="66">
        <f>+'Entrate tot e finalizzati'!K194-'Entrate tot e finalizzati'!L194</f>
        <v>689</v>
      </c>
      <c r="H194" s="66">
        <f>+'Entrate tot e finalizzati'!M194-'Entrate tot e finalizzati'!N194</f>
        <v>501</v>
      </c>
      <c r="I194" s="66">
        <f>+'Entrate tot e finalizzati'!O194-'Entrate tot e finalizzati'!P194</f>
        <v>571</v>
      </c>
      <c r="J194" s="66">
        <f>+'Entrate tot e finalizzati'!Q194-'Entrate tot e finalizzati'!R194</f>
        <v>721</v>
      </c>
      <c r="K194" s="66">
        <f>+'Entrate tot e finalizzati'!S194-'Entrate tot e finalizzati'!T194</f>
        <v>562</v>
      </c>
      <c r="L194" s="66">
        <f>+'Entrate tot e finalizzati'!U194-'Entrate tot e finalizzati'!V194</f>
        <v>511</v>
      </c>
      <c r="M194" s="39"/>
      <c r="N194" s="39"/>
      <c r="O194" s="39"/>
      <c r="P194" s="39"/>
      <c r="Q194" s="39"/>
      <c r="R194" s="39"/>
      <c r="S194" s="39"/>
      <c r="T194" s="39"/>
    </row>
    <row r="195" spans="1:20" s="2" customFormat="1" ht="12.75">
      <c r="A195" s="52"/>
      <c r="B195" s="35" t="s">
        <v>17</v>
      </c>
      <c r="C195" s="61">
        <f>+'Entrate tot e finalizzati'!C195-'Entrate tot e finalizzati'!D195</f>
        <v>0</v>
      </c>
      <c r="D195" s="37">
        <f>+'Entrate tot e finalizzati'!E195-'Entrate tot e finalizzati'!F195</f>
        <v>0</v>
      </c>
      <c r="E195" s="61">
        <f>+'Entrate tot e finalizzati'!G195-'Entrate tot e finalizzati'!H195</f>
        <v>0</v>
      </c>
      <c r="F195" s="61">
        <f>+'Entrate tot e finalizzati'!I195-'Entrate tot e finalizzati'!J195</f>
        <v>0</v>
      </c>
      <c r="G195" s="66">
        <f>+'Entrate tot e finalizzati'!K195-'Entrate tot e finalizzati'!L195</f>
        <v>0</v>
      </c>
      <c r="H195" s="66">
        <f>+'Entrate tot e finalizzati'!M195-'Entrate tot e finalizzati'!N195</f>
        <v>0</v>
      </c>
      <c r="I195" s="66">
        <f>+'Entrate tot e finalizzati'!O195-'Entrate tot e finalizzati'!P195</f>
        <v>0</v>
      </c>
      <c r="J195" s="66">
        <f>+'Entrate tot e finalizzati'!Q195-'Entrate tot e finalizzati'!R195</f>
        <v>0</v>
      </c>
      <c r="K195" s="66">
        <f>+'Entrate tot e finalizzati'!S195-'Entrate tot e finalizzati'!T195</f>
        <v>0</v>
      </c>
      <c r="L195" s="66">
        <f>+'Entrate tot e finalizzati'!U195-'Entrate tot e finalizzati'!V195</f>
        <v>0</v>
      </c>
      <c r="M195" s="39"/>
      <c r="N195" s="39"/>
      <c r="O195" s="39"/>
      <c r="P195" s="39"/>
      <c r="Q195" s="39"/>
      <c r="R195" s="39"/>
      <c r="S195" s="39"/>
      <c r="T195" s="39"/>
    </row>
    <row r="196" spans="1:20" s="2" customFormat="1" ht="12.75">
      <c r="A196" s="56"/>
      <c r="B196" s="16" t="s">
        <v>65</v>
      </c>
      <c r="C196" s="61">
        <f>+'Entrate tot e finalizzati'!C196-'Entrate tot e finalizzati'!D196</f>
        <v>781</v>
      </c>
      <c r="D196" s="61">
        <f>+'Entrate tot e finalizzati'!E196-'Entrate tot e finalizzati'!F196</f>
        <v>112</v>
      </c>
      <c r="E196" s="61">
        <f>+'Entrate tot e finalizzati'!G196-'Entrate tot e finalizzati'!H196</f>
        <v>99</v>
      </c>
      <c r="F196" s="61">
        <f>+'Entrate tot e finalizzati'!I196-'Entrate tot e finalizzati'!J196</f>
        <v>71</v>
      </c>
      <c r="G196" s="73">
        <f>+'Entrate tot e finalizzati'!K196-'Entrate tot e finalizzati'!L196</f>
        <v>72</v>
      </c>
      <c r="H196" s="73">
        <f>+'Entrate tot e finalizzati'!M196-'Entrate tot e finalizzati'!N196</f>
        <v>62</v>
      </c>
      <c r="I196" s="73">
        <f>+'Entrate tot e finalizzati'!O196-'Entrate tot e finalizzati'!P196</f>
        <v>74</v>
      </c>
      <c r="J196" s="73">
        <f>+'Entrate tot e finalizzati'!Q196-'Entrate tot e finalizzati'!R196</f>
        <v>60</v>
      </c>
      <c r="K196" s="73">
        <f>+'Entrate tot e finalizzati'!S196-'Entrate tot e finalizzati'!T196</f>
        <v>121</v>
      </c>
      <c r="L196" s="73">
        <f>+'Entrate tot e finalizzati'!U196-'Entrate tot e finalizzati'!V196</f>
        <v>83</v>
      </c>
      <c r="M196" s="39"/>
      <c r="N196" s="39"/>
      <c r="O196" s="39"/>
      <c r="P196" s="39"/>
      <c r="Q196" s="39"/>
      <c r="R196" s="39"/>
      <c r="S196" s="39"/>
      <c r="T196" s="39"/>
    </row>
    <row r="197" spans="1:20" s="2" customFormat="1" ht="12.75">
      <c r="A197" s="27" t="s">
        <v>137</v>
      </c>
      <c r="B197" s="28"/>
      <c r="C197" s="29">
        <f>+'Entrate tot e finalizzati'!C197-'Entrate tot e finalizzati'!D197</f>
        <v>2175</v>
      </c>
      <c r="D197" s="29">
        <f>+'Entrate tot e finalizzati'!E197-'Entrate tot e finalizzati'!F197</f>
        <v>1698</v>
      </c>
      <c r="E197" s="29">
        <f>+'Entrate tot e finalizzati'!G197-'Entrate tot e finalizzati'!H197</f>
        <v>730</v>
      </c>
      <c r="F197" s="29">
        <f>+'Entrate tot e finalizzati'!I197-'Entrate tot e finalizzati'!J197</f>
        <v>727</v>
      </c>
      <c r="G197" s="29">
        <f>+'Entrate tot e finalizzati'!K197-'Entrate tot e finalizzati'!L197</f>
        <v>744</v>
      </c>
      <c r="H197" s="29">
        <f>+'Entrate tot e finalizzati'!M197-'Entrate tot e finalizzati'!N197</f>
        <v>771</v>
      </c>
      <c r="I197" s="29">
        <f>+'Entrate tot e finalizzati'!O197-'Entrate tot e finalizzati'!P197</f>
        <v>691</v>
      </c>
      <c r="J197" s="29">
        <f>+'Entrate tot e finalizzati'!Q197-'Entrate tot e finalizzati'!R197</f>
        <v>559</v>
      </c>
      <c r="K197" s="29">
        <f>+'Entrate tot e finalizzati'!S197-'Entrate tot e finalizzati'!T197</f>
        <v>1219</v>
      </c>
      <c r="L197" s="29">
        <f>+'Entrate tot e finalizzati'!U197-'Entrate tot e finalizzati'!V197</f>
        <v>1203</v>
      </c>
      <c r="M197" s="39"/>
      <c r="N197" s="39"/>
      <c r="O197" s="39"/>
      <c r="P197" s="39"/>
      <c r="Q197" s="39"/>
      <c r="R197" s="39"/>
      <c r="S197" s="39"/>
      <c r="T197" s="39"/>
    </row>
    <row r="198" spans="1:20" s="2" customFormat="1" ht="12.75">
      <c r="A198" s="52"/>
      <c r="B198" s="35" t="s">
        <v>17</v>
      </c>
      <c r="C198" s="61">
        <f>+'Entrate tot e finalizzati'!C198-'Entrate tot e finalizzati'!D198</f>
        <v>0</v>
      </c>
      <c r="D198" s="37">
        <f>+'Entrate tot e finalizzati'!E198-'Entrate tot e finalizzati'!F198</f>
        <v>0</v>
      </c>
      <c r="E198" s="61">
        <f>+'Entrate tot e finalizzati'!G198-'Entrate tot e finalizzati'!H198</f>
        <v>0</v>
      </c>
      <c r="F198" s="61">
        <f>+'Entrate tot e finalizzati'!I198-'Entrate tot e finalizzati'!J198</f>
        <v>0</v>
      </c>
      <c r="G198" s="66">
        <f>+'Entrate tot e finalizzati'!K198-'Entrate tot e finalizzati'!L198</f>
        <v>0</v>
      </c>
      <c r="H198" s="66">
        <f>+'Entrate tot e finalizzati'!M198-'Entrate tot e finalizzati'!N198</f>
        <v>0</v>
      </c>
      <c r="I198" s="66">
        <f>+'Entrate tot e finalizzati'!O198-'Entrate tot e finalizzati'!P198</f>
        <v>0</v>
      </c>
      <c r="J198" s="66">
        <f>+'Entrate tot e finalizzati'!Q198-'Entrate tot e finalizzati'!R198</f>
        <v>0</v>
      </c>
      <c r="K198" s="66">
        <f>+'Entrate tot e finalizzati'!S198-'Entrate tot e finalizzati'!T198</f>
        <v>0</v>
      </c>
      <c r="L198" s="66">
        <f>+'Entrate tot e finalizzati'!U198-'Entrate tot e finalizzati'!V198</f>
        <v>0</v>
      </c>
      <c r="M198" s="39"/>
      <c r="N198" s="39"/>
      <c r="O198" s="39"/>
      <c r="P198" s="39"/>
      <c r="Q198" s="39"/>
      <c r="R198" s="39"/>
      <c r="S198" s="39"/>
      <c r="T198" s="39"/>
    </row>
    <row r="199" spans="1:20" s="2" customFormat="1" ht="12.75">
      <c r="A199" s="52"/>
      <c r="B199" s="35" t="s">
        <v>64</v>
      </c>
      <c r="C199" s="61">
        <f>+'Entrate tot e finalizzati'!C199-'Entrate tot e finalizzati'!D199</f>
        <v>2</v>
      </c>
      <c r="D199" s="37">
        <f>+'Entrate tot e finalizzati'!E199-'Entrate tot e finalizzati'!F199</f>
        <v>11</v>
      </c>
      <c r="E199" s="61">
        <f>+'Entrate tot e finalizzati'!G199-'Entrate tot e finalizzati'!H199</f>
        <v>6</v>
      </c>
      <c r="F199" s="61">
        <f>+'Entrate tot e finalizzati'!I199-'Entrate tot e finalizzati'!J199</f>
        <v>10</v>
      </c>
      <c r="G199" s="66">
        <f>+'Entrate tot e finalizzati'!K199-'Entrate tot e finalizzati'!L199</f>
        <v>10</v>
      </c>
      <c r="H199" s="66">
        <f>+'Entrate tot e finalizzati'!M199-'Entrate tot e finalizzati'!N199</f>
        <v>12</v>
      </c>
      <c r="I199" s="66">
        <f>+'Entrate tot e finalizzati'!O199-'Entrate tot e finalizzati'!P199</f>
        <v>10</v>
      </c>
      <c r="J199" s="66">
        <f>+'Entrate tot e finalizzati'!Q199-'Entrate tot e finalizzati'!R199</f>
        <v>11</v>
      </c>
      <c r="K199" s="66">
        <f>+'Entrate tot e finalizzati'!S199-'Entrate tot e finalizzati'!T199</f>
        <v>0</v>
      </c>
      <c r="L199" s="66">
        <f>+'Entrate tot e finalizzati'!U199-'Entrate tot e finalizzati'!V199</f>
        <v>0</v>
      </c>
      <c r="M199" s="39"/>
      <c r="N199" s="39"/>
      <c r="O199" s="39"/>
      <c r="P199" s="39"/>
      <c r="Q199" s="39"/>
      <c r="R199" s="39"/>
      <c r="S199" s="39"/>
      <c r="T199" s="39"/>
    </row>
    <row r="200" spans="1:20" s="2" customFormat="1" ht="12.75">
      <c r="A200" s="52"/>
      <c r="B200" s="35" t="s">
        <v>67</v>
      </c>
      <c r="C200" s="61">
        <f>+'Entrate tot e finalizzati'!C200-'Entrate tot e finalizzati'!D200</f>
        <v>0</v>
      </c>
      <c r="D200" s="37">
        <f>+'Entrate tot e finalizzati'!E200-'Entrate tot e finalizzati'!F200</f>
        <v>0</v>
      </c>
      <c r="E200" s="61">
        <f>+'Entrate tot e finalizzati'!G200-'Entrate tot e finalizzati'!H200</f>
        <v>0</v>
      </c>
      <c r="F200" s="61">
        <f>+'Entrate tot e finalizzati'!I200-'Entrate tot e finalizzati'!J200</f>
        <v>0</v>
      </c>
      <c r="G200" s="66">
        <f>+'Entrate tot e finalizzati'!K200-'Entrate tot e finalizzati'!L200</f>
        <v>0</v>
      </c>
      <c r="H200" s="66">
        <f>+'Entrate tot e finalizzati'!M200-'Entrate tot e finalizzati'!N200</f>
        <v>136</v>
      </c>
      <c r="I200" s="66">
        <f>+'Entrate tot e finalizzati'!O200-'Entrate tot e finalizzati'!P200</f>
        <v>0</v>
      </c>
      <c r="J200" s="66">
        <f>+'Entrate tot e finalizzati'!Q200-'Entrate tot e finalizzati'!R200</f>
        <v>0</v>
      </c>
      <c r="K200" s="66">
        <f>+'Entrate tot e finalizzati'!S200-'Entrate tot e finalizzati'!T200</f>
        <v>0</v>
      </c>
      <c r="L200" s="66">
        <f>+'Entrate tot e finalizzati'!U200-'Entrate tot e finalizzati'!V200</f>
        <v>0</v>
      </c>
      <c r="M200" s="39"/>
      <c r="N200" s="39"/>
      <c r="O200" s="39"/>
      <c r="P200" s="39"/>
      <c r="Q200" s="39"/>
      <c r="R200" s="39"/>
      <c r="S200" s="39"/>
      <c r="T200" s="39"/>
    </row>
    <row r="201" spans="1:20" s="2" customFormat="1" ht="12.75">
      <c r="A201" s="52"/>
      <c r="B201" s="35" t="s">
        <v>66</v>
      </c>
      <c r="C201" s="61">
        <f>+'Entrate tot e finalizzati'!C201-'Entrate tot e finalizzati'!D201</f>
        <v>0</v>
      </c>
      <c r="D201" s="37">
        <f>+'Entrate tot e finalizzati'!E201-'Entrate tot e finalizzati'!F201</f>
        <v>0</v>
      </c>
      <c r="E201" s="61">
        <f>+'Entrate tot e finalizzati'!G201-'Entrate tot e finalizzati'!H201</f>
        <v>0</v>
      </c>
      <c r="F201" s="61">
        <f>+'Entrate tot e finalizzati'!I201-'Entrate tot e finalizzati'!J201</f>
        <v>0</v>
      </c>
      <c r="G201" s="66">
        <f>+'Entrate tot e finalizzati'!K201-'Entrate tot e finalizzati'!L201</f>
        <v>0</v>
      </c>
      <c r="H201" s="66">
        <f>+'Entrate tot e finalizzati'!M201-'Entrate tot e finalizzati'!N201</f>
        <v>0</v>
      </c>
      <c r="I201" s="66">
        <f>+'Entrate tot e finalizzati'!O201-'Entrate tot e finalizzati'!P201</f>
        <v>0</v>
      </c>
      <c r="J201" s="66">
        <f>+'Entrate tot e finalizzati'!Q201-'Entrate tot e finalizzati'!R201</f>
        <v>0</v>
      </c>
      <c r="K201" s="66">
        <f>+'Entrate tot e finalizzati'!S201-'Entrate tot e finalizzati'!T201</f>
        <v>0</v>
      </c>
      <c r="L201" s="66">
        <f>+'Entrate tot e finalizzati'!U201-'Entrate tot e finalizzati'!V201</f>
        <v>0</v>
      </c>
      <c r="M201" s="39"/>
      <c r="N201" s="39"/>
      <c r="O201" s="39"/>
      <c r="P201" s="39"/>
      <c r="Q201" s="39"/>
      <c r="R201" s="39"/>
      <c r="S201" s="39"/>
      <c r="T201" s="39"/>
    </row>
    <row r="202" spans="1:20" s="2" customFormat="1" ht="12.75">
      <c r="A202" s="52"/>
      <c r="B202" s="35" t="s">
        <v>111</v>
      </c>
      <c r="C202" s="61">
        <f>+'Entrate tot e finalizzati'!C202-'Entrate tot e finalizzati'!D202</f>
        <v>0</v>
      </c>
      <c r="D202" s="37">
        <f>+'Entrate tot e finalizzati'!E202-'Entrate tot e finalizzati'!F202</f>
        <v>0</v>
      </c>
      <c r="E202" s="61">
        <f>+'Entrate tot e finalizzati'!G202-'Entrate tot e finalizzati'!H202</f>
        <v>0</v>
      </c>
      <c r="F202" s="61">
        <f>+'Entrate tot e finalizzati'!I202-'Entrate tot e finalizzati'!J202</f>
        <v>0</v>
      </c>
      <c r="G202" s="66">
        <f>+'Entrate tot e finalizzati'!K202-'Entrate tot e finalizzati'!L202</f>
        <v>0</v>
      </c>
      <c r="H202" s="66">
        <f>+'Entrate tot e finalizzati'!M202-'Entrate tot e finalizzati'!N202</f>
        <v>0</v>
      </c>
      <c r="I202" s="66">
        <f>+'Entrate tot e finalizzati'!O202-'Entrate tot e finalizzati'!P202</f>
        <v>0</v>
      </c>
      <c r="J202" s="66">
        <f>+'Entrate tot e finalizzati'!Q202-'Entrate tot e finalizzati'!R202</f>
        <v>0</v>
      </c>
      <c r="K202" s="66">
        <f>+'Entrate tot e finalizzati'!S202-'Entrate tot e finalizzati'!T202</f>
        <v>0</v>
      </c>
      <c r="L202" s="66">
        <f>+'Entrate tot e finalizzati'!U202-'Entrate tot e finalizzati'!V202</f>
        <v>0</v>
      </c>
      <c r="M202" s="39"/>
      <c r="N202" s="39"/>
      <c r="O202" s="39"/>
      <c r="P202" s="39"/>
      <c r="Q202" s="39"/>
      <c r="R202" s="39"/>
      <c r="S202" s="39"/>
      <c r="T202" s="39"/>
    </row>
    <row r="203" spans="1:20" s="2" customFormat="1" ht="12.75">
      <c r="A203" s="52"/>
      <c r="B203" s="35" t="s">
        <v>65</v>
      </c>
      <c r="C203" s="61">
        <f>+'Entrate tot e finalizzati'!C203-'Entrate tot e finalizzati'!D203</f>
        <v>0</v>
      </c>
      <c r="D203" s="37">
        <f>+'Entrate tot e finalizzati'!E203-'Entrate tot e finalizzati'!F203</f>
        <v>0</v>
      </c>
      <c r="E203" s="61">
        <f>+'Entrate tot e finalizzati'!G203-'Entrate tot e finalizzati'!H203</f>
        <v>0</v>
      </c>
      <c r="F203" s="61">
        <f>+'Entrate tot e finalizzati'!I203-'Entrate tot e finalizzati'!J203</f>
        <v>0</v>
      </c>
      <c r="G203" s="66">
        <f>+'Entrate tot e finalizzati'!K203-'Entrate tot e finalizzati'!L203</f>
        <v>0</v>
      </c>
      <c r="H203" s="66">
        <f>+'Entrate tot e finalizzati'!M203-'Entrate tot e finalizzati'!N203</f>
        <v>0</v>
      </c>
      <c r="I203" s="66">
        <f>+'Entrate tot e finalizzati'!O203-'Entrate tot e finalizzati'!P203</f>
        <v>0</v>
      </c>
      <c r="J203" s="66">
        <f>+'Entrate tot e finalizzati'!Q203-'Entrate tot e finalizzati'!R203</f>
        <v>0</v>
      </c>
      <c r="K203" s="66">
        <f>+'Entrate tot e finalizzati'!S203-'Entrate tot e finalizzati'!T203</f>
        <v>0</v>
      </c>
      <c r="L203" s="66">
        <f>+'Entrate tot e finalizzati'!U203-'Entrate tot e finalizzati'!V203</f>
        <v>0</v>
      </c>
      <c r="M203" s="39"/>
      <c r="N203" s="39"/>
      <c r="O203" s="39"/>
      <c r="P203" s="39"/>
      <c r="Q203" s="39"/>
      <c r="R203" s="39"/>
      <c r="S203" s="39"/>
      <c r="T203" s="39"/>
    </row>
    <row r="204" spans="1:20" s="2" customFormat="1" ht="12.75">
      <c r="A204" s="52"/>
      <c r="B204" s="35" t="s">
        <v>109</v>
      </c>
      <c r="C204" s="61">
        <f>+'Entrate tot e finalizzati'!C204-'Entrate tot e finalizzati'!D204</f>
        <v>0</v>
      </c>
      <c r="D204" s="37">
        <f>+'Entrate tot e finalizzati'!E204-'Entrate tot e finalizzati'!F204</f>
        <v>0</v>
      </c>
      <c r="E204" s="61">
        <f>+'Entrate tot e finalizzati'!G204-'Entrate tot e finalizzati'!H204</f>
        <v>0</v>
      </c>
      <c r="F204" s="61">
        <f>+'Entrate tot e finalizzati'!I204-'Entrate tot e finalizzati'!J204</f>
        <v>0</v>
      </c>
      <c r="G204" s="66">
        <f>+'Entrate tot e finalizzati'!K204-'Entrate tot e finalizzati'!L204</f>
        <v>0</v>
      </c>
      <c r="H204" s="66">
        <f>+'Entrate tot e finalizzati'!M204-'Entrate tot e finalizzati'!N204</f>
        <v>0</v>
      </c>
      <c r="I204" s="66">
        <f>+'Entrate tot e finalizzati'!O204-'Entrate tot e finalizzati'!P204</f>
        <v>0</v>
      </c>
      <c r="J204" s="66">
        <f>+'Entrate tot e finalizzati'!Q204-'Entrate tot e finalizzati'!R204</f>
        <v>0</v>
      </c>
      <c r="K204" s="66">
        <f>+'Entrate tot e finalizzati'!S204-'Entrate tot e finalizzati'!T204</f>
        <v>0</v>
      </c>
      <c r="L204" s="66">
        <f>+'Entrate tot e finalizzati'!U204-'Entrate tot e finalizzati'!V204</f>
        <v>0</v>
      </c>
      <c r="M204" s="39"/>
      <c r="N204" s="39"/>
      <c r="O204" s="39"/>
      <c r="P204" s="39"/>
      <c r="Q204" s="39"/>
      <c r="R204" s="39"/>
      <c r="S204" s="39"/>
      <c r="T204" s="39"/>
    </row>
    <row r="205" spans="1:20" s="2" customFormat="1" ht="12.75">
      <c r="A205" s="52"/>
      <c r="B205" s="35" t="s">
        <v>76</v>
      </c>
      <c r="C205" s="61">
        <f>+'Entrate tot e finalizzati'!C205-'Entrate tot e finalizzati'!D205</f>
        <v>2173</v>
      </c>
      <c r="D205" s="37">
        <f>+'Entrate tot e finalizzati'!E205-'Entrate tot e finalizzati'!F205</f>
        <v>1687</v>
      </c>
      <c r="E205" s="61">
        <f>+'Entrate tot e finalizzati'!G205-'Entrate tot e finalizzati'!H205</f>
        <v>724</v>
      </c>
      <c r="F205" s="61">
        <f>+'Entrate tot e finalizzati'!I205-'Entrate tot e finalizzati'!J205</f>
        <v>717</v>
      </c>
      <c r="G205" s="66">
        <f>+'Entrate tot e finalizzati'!K205-'Entrate tot e finalizzati'!L205</f>
        <v>734</v>
      </c>
      <c r="H205" s="66">
        <f>+'Entrate tot e finalizzati'!M205-'Entrate tot e finalizzati'!N205</f>
        <v>623</v>
      </c>
      <c r="I205" s="66">
        <f>+'Entrate tot e finalizzati'!O205-'Entrate tot e finalizzati'!P205</f>
        <v>681</v>
      </c>
      <c r="J205" s="66">
        <f>+'Entrate tot e finalizzati'!Q205-'Entrate tot e finalizzati'!R205</f>
        <v>548</v>
      </c>
      <c r="K205" s="66">
        <f>+'Entrate tot e finalizzati'!S205-'Entrate tot e finalizzati'!T205</f>
        <v>1219</v>
      </c>
      <c r="L205" s="66">
        <f>+'Entrate tot e finalizzati'!U205-'Entrate tot e finalizzati'!V205</f>
        <v>1203</v>
      </c>
      <c r="M205" s="39"/>
      <c r="N205" s="39"/>
      <c r="O205" s="39"/>
      <c r="P205" s="39"/>
      <c r="Q205" s="39"/>
      <c r="R205" s="39"/>
      <c r="S205" s="39"/>
      <c r="T205" s="39"/>
    </row>
    <row r="206" spans="1:20" s="2" customFormat="1" ht="12.75">
      <c r="A206" s="27" t="s">
        <v>85</v>
      </c>
      <c r="B206" s="28"/>
      <c r="C206" s="29">
        <f>+'Entrate tot e finalizzati'!C206-'Entrate tot e finalizzati'!D206</f>
        <v>1405</v>
      </c>
      <c r="D206" s="29">
        <f>+'Entrate tot e finalizzati'!E206-'Entrate tot e finalizzati'!F206</f>
        <v>3027</v>
      </c>
      <c r="E206" s="29">
        <f>+'Entrate tot e finalizzati'!G206-'Entrate tot e finalizzati'!H206</f>
        <v>3229</v>
      </c>
      <c r="F206" s="29">
        <f>+'Entrate tot e finalizzati'!I206-'Entrate tot e finalizzati'!J206</f>
        <v>3939</v>
      </c>
      <c r="G206" s="29">
        <f>+'Entrate tot e finalizzati'!K206-'Entrate tot e finalizzati'!L206</f>
        <v>4905</v>
      </c>
      <c r="H206" s="29">
        <f>+'Entrate tot e finalizzati'!M206-'Entrate tot e finalizzati'!N206</f>
        <v>3863</v>
      </c>
      <c r="I206" s="29">
        <f>+'Entrate tot e finalizzati'!O206-'Entrate tot e finalizzati'!P206</f>
        <v>3111</v>
      </c>
      <c r="J206" s="29">
        <f>+'Entrate tot e finalizzati'!Q206-'Entrate tot e finalizzati'!R206</f>
        <v>4225</v>
      </c>
      <c r="K206" s="29">
        <f>+'Entrate tot e finalizzati'!S206-'Entrate tot e finalizzati'!T206</f>
        <v>3702</v>
      </c>
      <c r="L206" s="29">
        <f>+'Entrate tot e finalizzati'!U206-'Entrate tot e finalizzati'!V206</f>
        <v>2912</v>
      </c>
      <c r="M206" s="39"/>
      <c r="N206" s="39"/>
      <c r="O206" s="39"/>
      <c r="P206" s="39"/>
      <c r="Q206" s="39"/>
      <c r="R206" s="39"/>
      <c r="S206" s="39"/>
      <c r="T206" s="39"/>
    </row>
    <row r="207" spans="1:20" s="2" customFormat="1" ht="12.75">
      <c r="A207" s="52"/>
      <c r="B207" s="10" t="s">
        <v>65</v>
      </c>
      <c r="C207" s="36">
        <f>+'Entrate tot e finalizzati'!C207-'Entrate tot e finalizzati'!D207</f>
        <v>0</v>
      </c>
      <c r="D207" s="36">
        <f>+'Entrate tot e finalizzati'!E207-'Entrate tot e finalizzati'!F207</f>
        <v>50</v>
      </c>
      <c r="E207" s="36">
        <f>+'Entrate tot e finalizzati'!G207-'Entrate tot e finalizzati'!H207</f>
        <v>2</v>
      </c>
      <c r="F207" s="36">
        <f>+'Entrate tot e finalizzati'!I207-'Entrate tot e finalizzati'!J207</f>
        <v>32</v>
      </c>
      <c r="G207" s="36">
        <f>+'Entrate tot e finalizzati'!K207-'Entrate tot e finalizzati'!L207</f>
        <v>10</v>
      </c>
      <c r="H207" s="36">
        <f>+'Entrate tot e finalizzati'!M207-'Entrate tot e finalizzati'!N207</f>
        <v>2</v>
      </c>
      <c r="I207" s="36">
        <f>+'Entrate tot e finalizzati'!O207-'Entrate tot e finalizzati'!P207</f>
        <v>0</v>
      </c>
      <c r="J207" s="36">
        <f>+'Entrate tot e finalizzati'!Q207-'Entrate tot e finalizzati'!R207</f>
        <v>0</v>
      </c>
      <c r="K207" s="36">
        <f>+'Entrate tot e finalizzati'!S207-'Entrate tot e finalizzati'!T207</f>
        <v>0</v>
      </c>
      <c r="L207" s="36">
        <f>+'Entrate tot e finalizzati'!U207-'Entrate tot e finalizzati'!V207</f>
        <v>0</v>
      </c>
      <c r="M207" s="39"/>
      <c r="N207" s="39"/>
      <c r="O207" s="39"/>
      <c r="P207" s="39"/>
      <c r="Q207" s="39"/>
      <c r="R207" s="39"/>
      <c r="S207" s="39"/>
      <c r="T207" s="39"/>
    </row>
    <row r="208" spans="1:20" s="2" customFormat="1" ht="12.75">
      <c r="A208" s="52"/>
      <c r="B208" s="35" t="s">
        <v>64</v>
      </c>
      <c r="C208" s="36">
        <f>+'Entrate tot e finalizzati'!C208-'Entrate tot e finalizzati'!D208</f>
        <v>0</v>
      </c>
      <c r="D208" s="36">
        <f>+'Entrate tot e finalizzati'!E208-'Entrate tot e finalizzati'!F208</f>
        <v>0</v>
      </c>
      <c r="E208" s="36">
        <f>+'Entrate tot e finalizzati'!G208-'Entrate tot e finalizzati'!H208</f>
        <v>0</v>
      </c>
      <c r="F208" s="36">
        <f>+'Entrate tot e finalizzati'!I208-'Entrate tot e finalizzati'!J208</f>
        <v>1</v>
      </c>
      <c r="G208" s="36">
        <f>+'Entrate tot e finalizzati'!K208-'Entrate tot e finalizzati'!L208</f>
        <v>1</v>
      </c>
      <c r="H208" s="36">
        <f>+'Entrate tot e finalizzati'!M208-'Entrate tot e finalizzati'!N208</f>
        <v>1</v>
      </c>
      <c r="I208" s="36">
        <f>+'Entrate tot e finalizzati'!O208-'Entrate tot e finalizzati'!P208</f>
        <v>1</v>
      </c>
      <c r="J208" s="36">
        <f>+'Entrate tot e finalizzati'!Q208-'Entrate tot e finalizzati'!R208</f>
        <v>1</v>
      </c>
      <c r="K208" s="36">
        <f>+'Entrate tot e finalizzati'!S208-'Entrate tot e finalizzati'!T208</f>
        <v>1</v>
      </c>
      <c r="L208" s="36">
        <f>+'Entrate tot e finalizzati'!U208-'Entrate tot e finalizzati'!V208</f>
        <v>1</v>
      </c>
      <c r="M208" s="39"/>
      <c r="N208" s="39"/>
      <c r="O208" s="39"/>
      <c r="P208" s="39"/>
      <c r="Q208" s="39"/>
      <c r="R208" s="39"/>
      <c r="S208" s="39"/>
      <c r="T208" s="39"/>
    </row>
    <row r="209" spans="1:20" s="2" customFormat="1" ht="12.75">
      <c r="A209" s="52"/>
      <c r="B209" s="35" t="s">
        <v>109</v>
      </c>
      <c r="C209" s="36">
        <f>+'Entrate tot e finalizzati'!C209-'Entrate tot e finalizzati'!D209</f>
        <v>0</v>
      </c>
      <c r="D209" s="36">
        <f>+'Entrate tot e finalizzati'!E209-'Entrate tot e finalizzati'!F209</f>
        <v>0</v>
      </c>
      <c r="E209" s="36">
        <f>+'Entrate tot e finalizzati'!G209-'Entrate tot e finalizzati'!H209</f>
        <v>0</v>
      </c>
      <c r="F209" s="36">
        <f>+'Entrate tot e finalizzati'!I209-'Entrate tot e finalizzati'!J209</f>
        <v>0</v>
      </c>
      <c r="G209" s="36">
        <f>+'Entrate tot e finalizzati'!K209-'Entrate tot e finalizzati'!L209</f>
        <v>0</v>
      </c>
      <c r="H209" s="36">
        <f>+'Entrate tot e finalizzati'!M209-'Entrate tot e finalizzati'!N209</f>
        <v>0</v>
      </c>
      <c r="I209" s="36">
        <f>+'Entrate tot e finalizzati'!O209-'Entrate tot e finalizzati'!P209</f>
        <v>0</v>
      </c>
      <c r="J209" s="36">
        <f>+'Entrate tot e finalizzati'!Q209-'Entrate tot e finalizzati'!R209</f>
        <v>7</v>
      </c>
      <c r="K209" s="36">
        <f>+'Entrate tot e finalizzati'!S209-'Entrate tot e finalizzati'!T209</f>
        <v>31</v>
      </c>
      <c r="L209" s="36">
        <f>+'Entrate tot e finalizzati'!U209-'Entrate tot e finalizzati'!V209</f>
        <v>22</v>
      </c>
      <c r="M209" s="39"/>
      <c r="N209" s="39"/>
      <c r="O209" s="39"/>
      <c r="P209" s="39"/>
      <c r="Q209" s="39"/>
      <c r="R209" s="39"/>
      <c r="S209" s="39"/>
      <c r="T209" s="39"/>
    </row>
    <row r="210" spans="1:20" s="2" customFormat="1" ht="12.75">
      <c r="A210" s="52"/>
      <c r="B210" s="35" t="s">
        <v>114</v>
      </c>
      <c r="C210" s="36">
        <f>+'Entrate tot e finalizzati'!C210-'Entrate tot e finalizzati'!D210</f>
        <v>0</v>
      </c>
      <c r="D210" s="36">
        <f>+'Entrate tot e finalizzati'!E210-'Entrate tot e finalizzati'!F210</f>
        <v>0</v>
      </c>
      <c r="E210" s="36">
        <f>+'Entrate tot e finalizzati'!G210-'Entrate tot e finalizzati'!H210</f>
        <v>0</v>
      </c>
      <c r="F210" s="36">
        <f>+'Entrate tot e finalizzati'!I210-'Entrate tot e finalizzati'!J210</f>
        <v>0</v>
      </c>
      <c r="G210" s="36">
        <f>+'Entrate tot e finalizzati'!K210-'Entrate tot e finalizzati'!L210</f>
        <v>0</v>
      </c>
      <c r="H210" s="36">
        <f>+'Entrate tot e finalizzati'!M210-'Entrate tot e finalizzati'!N210</f>
        <v>10</v>
      </c>
      <c r="I210" s="36">
        <f>+'Entrate tot e finalizzati'!O210-'Entrate tot e finalizzati'!P210</f>
        <v>0</v>
      </c>
      <c r="J210" s="36">
        <f>+'Entrate tot e finalizzati'!Q210-'Entrate tot e finalizzati'!R210</f>
        <v>0</v>
      </c>
      <c r="K210" s="36">
        <f>+'Entrate tot e finalizzati'!S210-'Entrate tot e finalizzati'!T210</f>
        <v>0</v>
      </c>
      <c r="L210" s="36">
        <f>+'Entrate tot e finalizzati'!U210-'Entrate tot e finalizzati'!V210</f>
        <v>0</v>
      </c>
      <c r="M210" s="39"/>
      <c r="N210" s="39"/>
      <c r="O210" s="39"/>
      <c r="P210" s="39"/>
      <c r="Q210" s="39"/>
      <c r="R210" s="39"/>
      <c r="S210" s="39"/>
      <c r="T210" s="39"/>
    </row>
    <row r="211" spans="1:20" s="2" customFormat="1" ht="12.75">
      <c r="A211" s="52"/>
      <c r="B211" s="35" t="s">
        <v>115</v>
      </c>
      <c r="C211" s="36">
        <f>+'Entrate tot e finalizzati'!C211-'Entrate tot e finalizzati'!D211</f>
        <v>0</v>
      </c>
      <c r="D211" s="36">
        <f>+'Entrate tot e finalizzati'!E211-'Entrate tot e finalizzati'!F211</f>
        <v>0</v>
      </c>
      <c r="E211" s="36">
        <f>+'Entrate tot e finalizzati'!G211-'Entrate tot e finalizzati'!H211</f>
        <v>0</v>
      </c>
      <c r="F211" s="36">
        <f>+'Entrate tot e finalizzati'!I211-'Entrate tot e finalizzati'!J211</f>
        <v>0</v>
      </c>
      <c r="G211" s="36">
        <f>+'Entrate tot e finalizzati'!K211-'Entrate tot e finalizzati'!L211</f>
        <v>0</v>
      </c>
      <c r="H211" s="36">
        <f>+'Entrate tot e finalizzati'!M211-'Entrate tot e finalizzati'!N211</f>
        <v>0</v>
      </c>
      <c r="I211" s="36">
        <f>+'Entrate tot e finalizzati'!O211-'Entrate tot e finalizzati'!P211</f>
        <v>0</v>
      </c>
      <c r="J211" s="36">
        <f>+'Entrate tot e finalizzati'!Q211-'Entrate tot e finalizzati'!R211</f>
        <v>0</v>
      </c>
      <c r="K211" s="36">
        <f>+'Entrate tot e finalizzati'!S211-'Entrate tot e finalizzati'!T211</f>
        <v>0</v>
      </c>
      <c r="L211" s="36">
        <f>+'Entrate tot e finalizzati'!U211-'Entrate tot e finalizzati'!V211</f>
        <v>0</v>
      </c>
      <c r="M211" s="39"/>
      <c r="N211" s="39"/>
      <c r="O211" s="39"/>
      <c r="P211" s="39"/>
      <c r="Q211" s="39"/>
      <c r="R211" s="39"/>
      <c r="S211" s="39"/>
      <c r="T211" s="39"/>
    </row>
    <row r="212" spans="1:20" s="2" customFormat="1" ht="12.75">
      <c r="A212" s="52"/>
      <c r="B212" s="35" t="s">
        <v>72</v>
      </c>
      <c r="C212" s="36">
        <f>+'Entrate tot e finalizzati'!C212-'Entrate tot e finalizzati'!D212</f>
        <v>0</v>
      </c>
      <c r="D212" s="36">
        <f>+'Entrate tot e finalizzati'!E212-'Entrate tot e finalizzati'!F212</f>
        <v>0</v>
      </c>
      <c r="E212" s="36">
        <f>+'Entrate tot e finalizzati'!G212-'Entrate tot e finalizzati'!H212</f>
        <v>10</v>
      </c>
      <c r="F212" s="36">
        <f>+'Entrate tot e finalizzati'!I212-'Entrate tot e finalizzati'!J212</f>
        <v>11</v>
      </c>
      <c r="G212" s="36">
        <f>+'Entrate tot e finalizzati'!K212-'Entrate tot e finalizzati'!L212</f>
        <v>11</v>
      </c>
      <c r="H212" s="36">
        <f>+'Entrate tot e finalizzati'!M212-'Entrate tot e finalizzati'!N212</f>
        <v>11</v>
      </c>
      <c r="I212" s="36">
        <f>+'Entrate tot e finalizzati'!O212-'Entrate tot e finalizzati'!P212</f>
        <v>11</v>
      </c>
      <c r="J212" s="36">
        <f>+'Entrate tot e finalizzati'!Q212-'Entrate tot e finalizzati'!R212</f>
        <v>11</v>
      </c>
      <c r="K212" s="36">
        <f>+'Entrate tot e finalizzati'!S212-'Entrate tot e finalizzati'!T212</f>
        <v>12</v>
      </c>
      <c r="L212" s="36">
        <f>+'Entrate tot e finalizzati'!U212-'Entrate tot e finalizzati'!V212</f>
        <v>12</v>
      </c>
      <c r="M212" s="39"/>
      <c r="N212" s="39"/>
      <c r="O212" s="39"/>
      <c r="P212" s="39"/>
      <c r="Q212" s="39"/>
      <c r="R212" s="39"/>
      <c r="S212" s="39"/>
      <c r="T212" s="39"/>
    </row>
    <row r="213" spans="1:20" s="2" customFormat="1" ht="12.75">
      <c r="A213" s="52"/>
      <c r="B213" s="6" t="s">
        <v>67</v>
      </c>
      <c r="C213" s="36">
        <f>+'Entrate tot e finalizzati'!C213-'Entrate tot e finalizzati'!D213</f>
        <v>0</v>
      </c>
      <c r="D213" s="36">
        <f>+'Entrate tot e finalizzati'!E213-'Entrate tot e finalizzati'!F213</f>
        <v>0</v>
      </c>
      <c r="E213" s="36">
        <f>+'Entrate tot e finalizzati'!G213-'Entrate tot e finalizzati'!H213</f>
        <v>0</v>
      </c>
      <c r="F213" s="36">
        <f>+'Entrate tot e finalizzati'!I213-'Entrate tot e finalizzati'!J213</f>
        <v>0</v>
      </c>
      <c r="G213" s="36">
        <f>+'Entrate tot e finalizzati'!K213-'Entrate tot e finalizzati'!L213</f>
        <v>1033</v>
      </c>
      <c r="H213" s="36">
        <f>+'Entrate tot e finalizzati'!M213-'Entrate tot e finalizzati'!N213</f>
        <v>160</v>
      </c>
      <c r="I213" s="36">
        <f>+'Entrate tot e finalizzati'!O213-'Entrate tot e finalizzati'!P213</f>
        <v>0</v>
      </c>
      <c r="J213" s="36">
        <f>+'Entrate tot e finalizzati'!Q213-'Entrate tot e finalizzati'!R213</f>
        <v>0</v>
      </c>
      <c r="K213" s="36">
        <f>+'Entrate tot e finalizzati'!S213-'Entrate tot e finalizzati'!T213</f>
        <v>0</v>
      </c>
      <c r="L213" s="36">
        <f>+'Entrate tot e finalizzati'!U213-'Entrate tot e finalizzati'!V213</f>
        <v>0</v>
      </c>
      <c r="M213" s="39"/>
      <c r="N213" s="39"/>
      <c r="O213" s="39"/>
      <c r="P213" s="39"/>
      <c r="Q213" s="39"/>
      <c r="R213" s="39"/>
      <c r="S213" s="39"/>
      <c r="T213" s="39"/>
    </row>
    <row r="214" spans="1:20" s="2" customFormat="1" ht="12.75">
      <c r="A214" s="52"/>
      <c r="B214" s="35" t="s">
        <v>118</v>
      </c>
      <c r="C214" s="36">
        <f>+'Entrate tot e finalizzati'!C214-'Entrate tot e finalizzati'!D214</f>
        <v>0</v>
      </c>
      <c r="D214" s="36">
        <f>+'Entrate tot e finalizzati'!E214-'Entrate tot e finalizzati'!F214</f>
        <v>0</v>
      </c>
      <c r="E214" s="36">
        <f>+'Entrate tot e finalizzati'!G214-'Entrate tot e finalizzati'!H214</f>
        <v>0</v>
      </c>
      <c r="F214" s="36">
        <f>+'Entrate tot e finalizzati'!I214-'Entrate tot e finalizzati'!J214</f>
        <v>0</v>
      </c>
      <c r="G214" s="36">
        <f>+'Entrate tot e finalizzati'!K214-'Entrate tot e finalizzati'!L214</f>
        <v>0</v>
      </c>
      <c r="H214" s="36">
        <f>+'Entrate tot e finalizzati'!M214-'Entrate tot e finalizzati'!N214</f>
        <v>0</v>
      </c>
      <c r="I214" s="36">
        <f>+'Entrate tot e finalizzati'!O214-'Entrate tot e finalizzati'!P214</f>
        <v>0</v>
      </c>
      <c r="J214" s="36">
        <f>+'Entrate tot e finalizzati'!Q214-'Entrate tot e finalizzati'!R214</f>
        <v>0</v>
      </c>
      <c r="K214" s="36">
        <f>+'Entrate tot e finalizzati'!S214-'Entrate tot e finalizzati'!T214</f>
        <v>108</v>
      </c>
      <c r="L214" s="36">
        <f>+'Entrate tot e finalizzati'!U214-'Entrate tot e finalizzati'!V214</f>
        <v>108</v>
      </c>
      <c r="M214" s="39"/>
      <c r="N214" s="39"/>
      <c r="O214" s="39"/>
      <c r="P214" s="39"/>
      <c r="Q214" s="39"/>
      <c r="R214" s="39"/>
      <c r="S214" s="39"/>
      <c r="T214" s="39"/>
    </row>
    <row r="215" spans="1:20" s="2" customFormat="1" ht="12.75">
      <c r="A215" s="56"/>
      <c r="B215" s="16" t="s">
        <v>77</v>
      </c>
      <c r="C215" s="36">
        <f>+'Entrate tot e finalizzati'!C215-'Entrate tot e finalizzati'!D215</f>
        <v>1405</v>
      </c>
      <c r="D215" s="36">
        <f>+'Entrate tot e finalizzati'!E215-'Entrate tot e finalizzati'!F215</f>
        <v>2977</v>
      </c>
      <c r="E215" s="36">
        <f>+'Entrate tot e finalizzati'!G215-'Entrate tot e finalizzati'!H215</f>
        <v>3217</v>
      </c>
      <c r="F215" s="36">
        <f>+'Entrate tot e finalizzati'!I215-'Entrate tot e finalizzati'!J215</f>
        <v>3895</v>
      </c>
      <c r="G215" s="37">
        <f>+'Entrate tot e finalizzati'!K215-'Entrate tot e finalizzati'!L215</f>
        <v>3850</v>
      </c>
      <c r="H215" s="37">
        <f>+'Entrate tot e finalizzati'!M215-'Entrate tot e finalizzati'!N215</f>
        <v>3679</v>
      </c>
      <c r="I215" s="37">
        <f>+'Entrate tot e finalizzati'!O215-'Entrate tot e finalizzati'!P215</f>
        <v>3099</v>
      </c>
      <c r="J215" s="37">
        <f>+'Entrate tot e finalizzati'!Q215-'Entrate tot e finalizzati'!R215</f>
        <v>4206</v>
      </c>
      <c r="K215" s="37">
        <f>+'Entrate tot e finalizzati'!S215-'Entrate tot e finalizzati'!T215</f>
        <v>3550</v>
      </c>
      <c r="L215" s="37">
        <f>+'Entrate tot e finalizzati'!U215-'Entrate tot e finalizzati'!V215</f>
        <v>2769</v>
      </c>
      <c r="M215" s="39"/>
      <c r="N215" s="39"/>
      <c r="O215" s="39"/>
      <c r="P215" s="39"/>
      <c r="Q215" s="39"/>
      <c r="R215" s="39"/>
      <c r="S215" s="39"/>
      <c r="T215" s="39"/>
    </row>
    <row r="216" spans="1:20" s="2" customFormat="1" ht="12.75">
      <c r="A216" s="27" t="s">
        <v>138</v>
      </c>
      <c r="B216" s="28"/>
      <c r="C216" s="29">
        <f>+'Entrate tot e finalizzati'!C216-'Entrate tot e finalizzati'!D216</f>
        <v>7640</v>
      </c>
      <c r="D216" s="29">
        <f>+'Entrate tot e finalizzati'!E216-'Entrate tot e finalizzati'!F216</f>
        <v>7130</v>
      </c>
      <c r="E216" s="29">
        <f>+'Entrate tot e finalizzati'!G216-'Entrate tot e finalizzati'!H216</f>
        <v>6763</v>
      </c>
      <c r="F216" s="29">
        <f>+'Entrate tot e finalizzati'!I216-'Entrate tot e finalizzati'!J216</f>
        <v>6658</v>
      </c>
      <c r="G216" s="29">
        <f>+'Entrate tot e finalizzati'!K216-'Entrate tot e finalizzati'!L216</f>
        <v>657</v>
      </c>
      <c r="H216" s="29">
        <f>+'Entrate tot e finalizzati'!M216-'Entrate tot e finalizzati'!N216</f>
        <v>694</v>
      </c>
      <c r="I216" s="29">
        <f>+'Entrate tot e finalizzati'!O216-'Entrate tot e finalizzati'!P216</f>
        <v>769</v>
      </c>
      <c r="J216" s="29">
        <f>+'Entrate tot e finalizzati'!Q216-'Entrate tot e finalizzati'!R216</f>
        <v>1074</v>
      </c>
      <c r="K216" s="29">
        <f>+'Entrate tot e finalizzati'!S216-'Entrate tot e finalizzati'!T216</f>
        <v>504</v>
      </c>
      <c r="L216" s="29">
        <f>+'Entrate tot e finalizzati'!U216-'Entrate tot e finalizzati'!V216</f>
        <v>351</v>
      </c>
      <c r="M216" s="39"/>
      <c r="N216" s="39"/>
      <c r="O216" s="39"/>
      <c r="P216" s="39"/>
      <c r="Q216" s="39"/>
      <c r="R216" s="39"/>
      <c r="S216" s="39"/>
      <c r="T216" s="39"/>
    </row>
    <row r="217" spans="1:20" s="2" customFormat="1" ht="12.75">
      <c r="A217" s="52"/>
      <c r="B217" s="35" t="s">
        <v>111</v>
      </c>
      <c r="C217" s="36">
        <f>+'Entrate tot e finalizzati'!C217-'Entrate tot e finalizzati'!D217</f>
        <v>0</v>
      </c>
      <c r="D217" s="36">
        <f>+'Entrate tot e finalizzati'!E217-'Entrate tot e finalizzati'!F217</f>
        <v>0</v>
      </c>
      <c r="E217" s="36">
        <f>+'Entrate tot e finalizzati'!G217-'Entrate tot e finalizzati'!H217</f>
        <v>0</v>
      </c>
      <c r="F217" s="36">
        <f>+'Entrate tot e finalizzati'!I217-'Entrate tot e finalizzati'!J217</f>
        <v>0</v>
      </c>
      <c r="G217" s="37">
        <f>+'Entrate tot e finalizzati'!K217-'Entrate tot e finalizzati'!L217</f>
        <v>0</v>
      </c>
      <c r="H217" s="37">
        <f>+'Entrate tot e finalizzati'!M217-'Entrate tot e finalizzati'!N217</f>
        <v>0</v>
      </c>
      <c r="I217" s="37">
        <f>+'Entrate tot e finalizzati'!O217-'Entrate tot e finalizzati'!P217</f>
        <v>0</v>
      </c>
      <c r="J217" s="37">
        <f>+'Entrate tot e finalizzati'!Q217-'Entrate tot e finalizzati'!R217</f>
        <v>0</v>
      </c>
      <c r="K217" s="37">
        <f>+'Entrate tot e finalizzati'!S217-'Entrate tot e finalizzati'!T217</f>
        <v>0</v>
      </c>
      <c r="L217" s="37">
        <f>+'Entrate tot e finalizzati'!U217-'Entrate tot e finalizzati'!V217</f>
        <v>0</v>
      </c>
      <c r="M217" s="39"/>
      <c r="N217" s="39"/>
      <c r="O217" s="39"/>
      <c r="P217" s="39"/>
      <c r="Q217" s="39"/>
      <c r="R217" s="39"/>
      <c r="S217" s="39"/>
      <c r="T217" s="39"/>
    </row>
    <row r="218" spans="1:20" s="2" customFormat="1" ht="12.75">
      <c r="A218" s="52"/>
      <c r="B218" s="35" t="s">
        <v>90</v>
      </c>
      <c r="C218" s="36">
        <f>+'Entrate tot e finalizzati'!C218-'Entrate tot e finalizzati'!D218</f>
        <v>609</v>
      </c>
      <c r="D218" s="36">
        <f>+'Entrate tot e finalizzati'!E218-'Entrate tot e finalizzati'!F218</f>
        <v>664</v>
      </c>
      <c r="E218" s="36">
        <f>+'Entrate tot e finalizzati'!G218-'Entrate tot e finalizzati'!H218</f>
        <v>629</v>
      </c>
      <c r="F218" s="36">
        <f>+'Entrate tot e finalizzati'!I218-'Entrate tot e finalizzati'!J218</f>
        <v>647</v>
      </c>
      <c r="G218" s="37">
        <f>+'Entrate tot e finalizzati'!K218-'Entrate tot e finalizzati'!L218</f>
        <v>652</v>
      </c>
      <c r="H218" s="37">
        <f>+'Entrate tot e finalizzati'!M218-'Entrate tot e finalizzati'!N218</f>
        <v>689</v>
      </c>
      <c r="I218" s="37">
        <f>+'Entrate tot e finalizzati'!O218-'Entrate tot e finalizzati'!P218</f>
        <v>764</v>
      </c>
      <c r="J218" s="37">
        <f>+'Entrate tot e finalizzati'!Q218-'Entrate tot e finalizzati'!R218</f>
        <v>1069</v>
      </c>
      <c r="K218" s="37">
        <f>+'Entrate tot e finalizzati'!S218-'Entrate tot e finalizzati'!T218</f>
        <v>504</v>
      </c>
      <c r="L218" s="37">
        <f>+'Entrate tot e finalizzati'!U218-'Entrate tot e finalizzati'!V218</f>
        <v>351</v>
      </c>
      <c r="M218" s="39"/>
      <c r="N218" s="39"/>
      <c r="O218" s="39"/>
      <c r="P218" s="39"/>
      <c r="Q218" s="39"/>
      <c r="R218" s="39"/>
      <c r="S218" s="39"/>
      <c r="T218" s="39"/>
    </row>
    <row r="219" spans="1:20" s="2" customFormat="1" ht="12.75">
      <c r="A219" s="52"/>
      <c r="B219" s="35" t="s">
        <v>57</v>
      </c>
      <c r="C219" s="36">
        <f>+'Entrate tot e finalizzati'!C219-'Entrate tot e finalizzati'!D219</f>
        <v>7031</v>
      </c>
      <c r="D219" s="36">
        <f>+'Entrate tot e finalizzati'!E219-'Entrate tot e finalizzati'!F219</f>
        <v>6466</v>
      </c>
      <c r="E219" s="36">
        <f>+'Entrate tot e finalizzati'!G219-'Entrate tot e finalizzati'!H219</f>
        <v>6134</v>
      </c>
      <c r="F219" s="36">
        <f>+'Entrate tot e finalizzati'!I219-'Entrate tot e finalizzati'!J219</f>
        <v>6011</v>
      </c>
      <c r="G219" s="37">
        <f>+'Entrate tot e finalizzati'!K219-'Entrate tot e finalizzati'!L219</f>
        <v>5</v>
      </c>
      <c r="H219" s="37">
        <f>+'Entrate tot e finalizzati'!M219-'Entrate tot e finalizzati'!N219</f>
        <v>5</v>
      </c>
      <c r="I219" s="37">
        <f>+'Entrate tot e finalizzati'!O219-'Entrate tot e finalizzati'!P219</f>
        <v>5</v>
      </c>
      <c r="J219" s="37">
        <f>+'Entrate tot e finalizzati'!Q219-'Entrate tot e finalizzati'!R219</f>
        <v>5</v>
      </c>
      <c r="K219" s="37">
        <f>+'Entrate tot e finalizzati'!S219-'Entrate tot e finalizzati'!T219</f>
        <v>0</v>
      </c>
      <c r="L219" s="37">
        <f>+'Entrate tot e finalizzati'!U219-'Entrate tot e finalizzati'!V219</f>
        <v>0</v>
      </c>
      <c r="M219" s="39"/>
      <c r="N219" s="39"/>
      <c r="O219" s="39"/>
      <c r="P219" s="39"/>
      <c r="Q219" s="39"/>
      <c r="R219" s="39"/>
      <c r="S219" s="39"/>
      <c r="T219" s="39"/>
    </row>
    <row r="220" spans="1:20" s="2" customFormat="1" ht="12.75">
      <c r="A220" s="56"/>
      <c r="B220" s="16" t="s">
        <v>116</v>
      </c>
      <c r="C220" s="36">
        <f>+'Entrate tot e finalizzati'!C220-'Entrate tot e finalizzati'!D220</f>
        <v>0</v>
      </c>
      <c r="D220" s="36">
        <f>+'Entrate tot e finalizzati'!E220-'Entrate tot e finalizzati'!F220</f>
        <v>0</v>
      </c>
      <c r="E220" s="36">
        <f>+'Entrate tot e finalizzati'!G220-'Entrate tot e finalizzati'!H220</f>
        <v>0</v>
      </c>
      <c r="F220" s="36">
        <f>+'Entrate tot e finalizzati'!I220-'Entrate tot e finalizzati'!J220</f>
        <v>0</v>
      </c>
      <c r="G220" s="37">
        <f>+'Entrate tot e finalizzati'!K220-'Entrate tot e finalizzati'!L220</f>
        <v>0</v>
      </c>
      <c r="H220" s="37">
        <f>+'Entrate tot e finalizzati'!M220-'Entrate tot e finalizzati'!N220</f>
        <v>0</v>
      </c>
      <c r="I220" s="37">
        <f>+'Entrate tot e finalizzati'!O220-'Entrate tot e finalizzati'!P220</f>
        <v>0</v>
      </c>
      <c r="J220" s="37">
        <f>+'Entrate tot e finalizzati'!Q220-'Entrate tot e finalizzati'!R220</f>
        <v>0</v>
      </c>
      <c r="K220" s="37">
        <f>+'Entrate tot e finalizzati'!S220-'Entrate tot e finalizzati'!T220</f>
        <v>0</v>
      </c>
      <c r="L220" s="37">
        <f>+'Entrate tot e finalizzati'!U220-'Entrate tot e finalizzati'!V220</f>
        <v>0</v>
      </c>
      <c r="M220" s="39"/>
      <c r="N220" s="39"/>
      <c r="O220" s="39"/>
      <c r="P220" s="39"/>
      <c r="Q220" s="39"/>
      <c r="R220" s="39"/>
      <c r="S220" s="39"/>
      <c r="T220" s="39"/>
    </row>
    <row r="221" spans="1:20" s="2" customFormat="1" ht="12.75">
      <c r="A221" s="27" t="s">
        <v>101</v>
      </c>
      <c r="B221" s="28"/>
      <c r="C221" s="29">
        <f>+'Entrate tot e finalizzati'!C221-'Entrate tot e finalizzati'!D221</f>
        <v>0</v>
      </c>
      <c r="D221" s="29">
        <f>+'Entrate tot e finalizzati'!E221-'Entrate tot e finalizzati'!F221</f>
        <v>0</v>
      </c>
      <c r="E221" s="29">
        <f>+'Entrate tot e finalizzati'!G221-'Entrate tot e finalizzati'!H221</f>
        <v>0</v>
      </c>
      <c r="F221" s="29">
        <f>+'Entrate tot e finalizzati'!I221-'Entrate tot e finalizzati'!J221</f>
        <v>0</v>
      </c>
      <c r="G221" s="29">
        <f>+'Entrate tot e finalizzati'!K221-'Entrate tot e finalizzati'!L221</f>
        <v>0</v>
      </c>
      <c r="H221" s="29">
        <f>+'Entrate tot e finalizzati'!M221-'Entrate tot e finalizzati'!N221</f>
        <v>0</v>
      </c>
      <c r="I221" s="29">
        <f>+'Entrate tot e finalizzati'!O221-'Entrate tot e finalizzati'!P221</f>
        <v>39</v>
      </c>
      <c r="J221" s="29">
        <f>+'Entrate tot e finalizzati'!Q221-'Entrate tot e finalizzati'!R221</f>
        <v>19</v>
      </c>
      <c r="K221" s="29">
        <f>+'Entrate tot e finalizzati'!S221-'Entrate tot e finalizzati'!T221</f>
        <v>62</v>
      </c>
      <c r="L221" s="29">
        <f>+'Entrate tot e finalizzati'!U221-'Entrate tot e finalizzati'!V221</f>
        <v>58</v>
      </c>
      <c r="M221" s="39"/>
      <c r="N221" s="39"/>
      <c r="O221" s="39"/>
      <c r="P221" s="39"/>
      <c r="Q221" s="39"/>
      <c r="R221" s="39"/>
      <c r="S221" s="39"/>
      <c r="T221" s="39"/>
    </row>
    <row r="222" spans="1:20" s="2" customFormat="1" ht="12.75">
      <c r="A222" s="52"/>
      <c r="B222" s="35" t="s">
        <v>111</v>
      </c>
      <c r="C222" s="36">
        <f>+'Entrate tot e finalizzati'!C222-'Entrate tot e finalizzati'!D222</f>
        <v>0</v>
      </c>
      <c r="D222" s="36">
        <f>+'Entrate tot e finalizzati'!E222-'Entrate tot e finalizzati'!F222</f>
        <v>0</v>
      </c>
      <c r="E222" s="36">
        <f>+'Entrate tot e finalizzati'!G222-'Entrate tot e finalizzati'!H222</f>
        <v>0</v>
      </c>
      <c r="F222" s="36">
        <f>+'Entrate tot e finalizzati'!I222-'Entrate tot e finalizzati'!J222</f>
        <v>0</v>
      </c>
      <c r="G222" s="36">
        <f>+'Entrate tot e finalizzati'!K222-'Entrate tot e finalizzati'!L222</f>
        <v>0</v>
      </c>
      <c r="H222" s="36">
        <f>+'Entrate tot e finalizzati'!M222-'Entrate tot e finalizzati'!N222</f>
        <v>0</v>
      </c>
      <c r="I222" s="36">
        <f>+'Entrate tot e finalizzati'!O222-'Entrate tot e finalizzati'!P222</f>
        <v>0</v>
      </c>
      <c r="J222" s="36">
        <f>+'Entrate tot e finalizzati'!Q222-'Entrate tot e finalizzati'!R222</f>
        <v>0</v>
      </c>
      <c r="K222" s="36">
        <f>+'Entrate tot e finalizzati'!S222-'Entrate tot e finalizzati'!T222</f>
        <v>42</v>
      </c>
      <c r="L222" s="36">
        <f>+'Entrate tot e finalizzati'!U222-'Entrate tot e finalizzati'!V222</f>
        <v>0</v>
      </c>
      <c r="M222" s="39"/>
      <c r="N222" s="39"/>
      <c r="O222" s="39"/>
      <c r="P222" s="39"/>
      <c r="Q222" s="39"/>
      <c r="R222" s="39"/>
      <c r="S222" s="39"/>
      <c r="T222" s="39"/>
    </row>
    <row r="223" spans="1:20" s="2" customFormat="1" ht="12.75">
      <c r="A223" s="52"/>
      <c r="B223" s="34" t="s">
        <v>17</v>
      </c>
      <c r="C223" s="36">
        <f>+'Entrate tot e finalizzati'!C223-'Entrate tot e finalizzati'!D223</f>
        <v>0</v>
      </c>
      <c r="D223" s="36">
        <f>+'Entrate tot e finalizzati'!E223-'Entrate tot e finalizzati'!F223</f>
        <v>0</v>
      </c>
      <c r="E223" s="36">
        <f>+'Entrate tot e finalizzati'!G223-'Entrate tot e finalizzati'!H223</f>
        <v>0</v>
      </c>
      <c r="F223" s="36">
        <f>+'Entrate tot e finalizzati'!I223-'Entrate tot e finalizzati'!J223</f>
        <v>0</v>
      </c>
      <c r="G223" s="37">
        <f>+'Entrate tot e finalizzati'!K223-'Entrate tot e finalizzati'!L223</f>
        <v>0</v>
      </c>
      <c r="H223" s="37">
        <f>+'Entrate tot e finalizzati'!M223-'Entrate tot e finalizzati'!N223</f>
        <v>0</v>
      </c>
      <c r="I223" s="37">
        <f>+'Entrate tot e finalizzati'!O223-'Entrate tot e finalizzati'!P223</f>
        <v>0</v>
      </c>
      <c r="J223" s="37">
        <f>+'Entrate tot e finalizzati'!Q223-'Entrate tot e finalizzati'!R223</f>
        <v>0</v>
      </c>
      <c r="K223" s="37">
        <f>+'Entrate tot e finalizzati'!S223-'Entrate tot e finalizzati'!T223</f>
        <v>0</v>
      </c>
      <c r="L223" s="37">
        <f>+'Entrate tot e finalizzati'!U223-'Entrate tot e finalizzati'!V223</f>
        <v>0</v>
      </c>
      <c r="M223" s="39"/>
      <c r="N223" s="39"/>
      <c r="O223" s="39"/>
      <c r="P223" s="39"/>
      <c r="Q223" s="39"/>
      <c r="R223" s="39"/>
      <c r="S223" s="39"/>
      <c r="T223" s="39"/>
    </row>
    <row r="224" spans="1:20" s="2" customFormat="1" ht="12.75">
      <c r="A224" s="52"/>
      <c r="B224" s="35" t="s">
        <v>72</v>
      </c>
      <c r="C224" s="36">
        <f>+'Entrate tot e finalizzati'!C224-'Entrate tot e finalizzati'!D224</f>
        <v>0</v>
      </c>
      <c r="D224" s="36">
        <f>+'Entrate tot e finalizzati'!E224-'Entrate tot e finalizzati'!F224</f>
        <v>0</v>
      </c>
      <c r="E224" s="36">
        <f>+'Entrate tot e finalizzati'!G224-'Entrate tot e finalizzati'!H224</f>
        <v>0</v>
      </c>
      <c r="F224" s="36">
        <f>+'Entrate tot e finalizzati'!I224-'Entrate tot e finalizzati'!J224</f>
        <v>0</v>
      </c>
      <c r="G224" s="37">
        <f>+'Entrate tot e finalizzati'!K224-'Entrate tot e finalizzati'!L224</f>
        <v>0</v>
      </c>
      <c r="H224" s="37">
        <f>+'Entrate tot e finalizzati'!M224-'Entrate tot e finalizzati'!N224</f>
        <v>0</v>
      </c>
      <c r="I224" s="37">
        <f>+'Entrate tot e finalizzati'!O224-'Entrate tot e finalizzati'!P224</f>
        <v>0</v>
      </c>
      <c r="J224" s="37">
        <f>+'Entrate tot e finalizzati'!Q224-'Entrate tot e finalizzati'!R224</f>
        <v>0</v>
      </c>
      <c r="K224" s="37">
        <f>+'Entrate tot e finalizzati'!S224-'Entrate tot e finalizzati'!T224</f>
        <v>0</v>
      </c>
      <c r="L224" s="37">
        <f>+'Entrate tot e finalizzati'!U224-'Entrate tot e finalizzati'!V224</f>
        <v>0</v>
      </c>
      <c r="M224" s="39"/>
      <c r="N224" s="39"/>
      <c r="O224" s="39"/>
      <c r="P224" s="39"/>
      <c r="Q224" s="39"/>
      <c r="R224" s="39"/>
      <c r="S224" s="39"/>
      <c r="T224" s="39"/>
    </row>
    <row r="225" spans="1:20" s="2" customFormat="1" ht="12.75">
      <c r="A225" s="52"/>
      <c r="B225" s="35" t="s">
        <v>18</v>
      </c>
      <c r="C225" s="36">
        <f>+'Entrate tot e finalizzati'!C225-'Entrate tot e finalizzati'!D225</f>
        <v>0</v>
      </c>
      <c r="D225" s="36">
        <f>+'Entrate tot e finalizzati'!E225-'Entrate tot e finalizzati'!F225</f>
        <v>0</v>
      </c>
      <c r="E225" s="36">
        <f>+'Entrate tot e finalizzati'!G225-'Entrate tot e finalizzati'!H225</f>
        <v>0</v>
      </c>
      <c r="F225" s="36">
        <f>+'Entrate tot e finalizzati'!I225-'Entrate tot e finalizzati'!J225</f>
        <v>0</v>
      </c>
      <c r="G225" s="37">
        <f>+'Entrate tot e finalizzati'!K225-'Entrate tot e finalizzati'!L225</f>
        <v>0</v>
      </c>
      <c r="H225" s="37">
        <f>+'Entrate tot e finalizzati'!M225-'Entrate tot e finalizzati'!N225</f>
        <v>0</v>
      </c>
      <c r="I225" s="37">
        <f>+'Entrate tot e finalizzati'!O225-'Entrate tot e finalizzati'!P225</f>
        <v>0</v>
      </c>
      <c r="J225" s="37">
        <f>+'Entrate tot e finalizzati'!Q225-'Entrate tot e finalizzati'!R225</f>
        <v>0</v>
      </c>
      <c r="K225" s="37">
        <f>+'Entrate tot e finalizzati'!S225-'Entrate tot e finalizzati'!T225</f>
        <v>0</v>
      </c>
      <c r="L225" s="37">
        <f>+'Entrate tot e finalizzati'!U225-'Entrate tot e finalizzati'!V225</f>
        <v>0</v>
      </c>
      <c r="M225" s="39"/>
      <c r="N225" s="39"/>
      <c r="O225" s="39"/>
      <c r="P225" s="39"/>
      <c r="Q225" s="39"/>
      <c r="R225" s="39"/>
      <c r="S225" s="39"/>
      <c r="T225" s="39"/>
    </row>
    <row r="226" spans="1:20" s="2" customFormat="1" ht="12.75">
      <c r="A226" s="52"/>
      <c r="B226" s="35" t="s">
        <v>109</v>
      </c>
      <c r="C226" s="36">
        <f>+'Entrate tot e finalizzati'!C226-'Entrate tot e finalizzati'!D226</f>
        <v>0</v>
      </c>
      <c r="D226" s="36">
        <f>+'Entrate tot e finalizzati'!E226-'Entrate tot e finalizzati'!F226</f>
        <v>0</v>
      </c>
      <c r="E226" s="36">
        <f>+'Entrate tot e finalizzati'!G226-'Entrate tot e finalizzati'!H226</f>
        <v>0</v>
      </c>
      <c r="F226" s="36">
        <f>+'Entrate tot e finalizzati'!I226-'Entrate tot e finalizzati'!J226</f>
        <v>0</v>
      </c>
      <c r="G226" s="36">
        <f>+'Entrate tot e finalizzati'!K226-'Entrate tot e finalizzati'!L226</f>
        <v>0</v>
      </c>
      <c r="H226" s="36">
        <f>+'Entrate tot e finalizzati'!M226-'Entrate tot e finalizzati'!N226</f>
        <v>0</v>
      </c>
      <c r="I226" s="36">
        <f>+'Entrate tot e finalizzati'!O226-'Entrate tot e finalizzati'!P226</f>
        <v>0</v>
      </c>
      <c r="J226" s="36">
        <f>+'Entrate tot e finalizzati'!Q226-'Entrate tot e finalizzati'!R226</f>
        <v>0</v>
      </c>
      <c r="K226" s="36">
        <f>+'Entrate tot e finalizzati'!S226-'Entrate tot e finalizzati'!T226</f>
        <v>0</v>
      </c>
      <c r="L226" s="36">
        <f>+'Entrate tot e finalizzati'!U226-'Entrate tot e finalizzati'!V226</f>
        <v>0</v>
      </c>
      <c r="M226" s="39"/>
      <c r="N226" s="39"/>
      <c r="O226" s="39"/>
      <c r="P226" s="39"/>
      <c r="Q226" s="39"/>
      <c r="R226" s="39"/>
      <c r="S226" s="39"/>
      <c r="T226" s="39"/>
    </row>
    <row r="227" spans="1:20" s="2" customFormat="1" ht="12.75">
      <c r="A227" s="52"/>
      <c r="B227" s="35" t="s">
        <v>65</v>
      </c>
      <c r="C227" s="36">
        <f>+'Entrate tot e finalizzati'!C227-'Entrate tot e finalizzati'!D227</f>
        <v>0</v>
      </c>
      <c r="D227" s="36">
        <f>+'Entrate tot e finalizzati'!E227-'Entrate tot e finalizzati'!F227</f>
        <v>0</v>
      </c>
      <c r="E227" s="36">
        <f>+'Entrate tot e finalizzati'!G227-'Entrate tot e finalizzati'!H227</f>
        <v>0</v>
      </c>
      <c r="F227" s="36">
        <f>+'Entrate tot e finalizzati'!I227-'Entrate tot e finalizzati'!J227</f>
        <v>0</v>
      </c>
      <c r="G227" s="36">
        <f>+'Entrate tot e finalizzati'!K227-'Entrate tot e finalizzati'!L227</f>
        <v>0</v>
      </c>
      <c r="H227" s="36">
        <f>+'Entrate tot e finalizzati'!M227-'Entrate tot e finalizzati'!N227</f>
        <v>0</v>
      </c>
      <c r="I227" s="36">
        <f>+'Entrate tot e finalizzati'!O227-'Entrate tot e finalizzati'!P227</f>
        <v>0</v>
      </c>
      <c r="J227" s="36">
        <f>+'Entrate tot e finalizzati'!Q227-'Entrate tot e finalizzati'!R227</f>
        <v>0</v>
      </c>
      <c r="K227" s="36">
        <f>+'Entrate tot e finalizzati'!S227-'Entrate tot e finalizzati'!T227</f>
        <v>0</v>
      </c>
      <c r="L227" s="36">
        <f>+'Entrate tot e finalizzati'!U227-'Entrate tot e finalizzati'!V227</f>
        <v>21</v>
      </c>
      <c r="M227" s="39"/>
      <c r="N227" s="39"/>
      <c r="O227" s="39"/>
      <c r="P227" s="39"/>
      <c r="Q227" s="39"/>
      <c r="R227" s="39"/>
      <c r="S227" s="39"/>
      <c r="T227" s="39"/>
    </row>
    <row r="228" spans="1:20" s="2" customFormat="1" ht="12.75">
      <c r="A228" s="52"/>
      <c r="B228" s="35" t="s">
        <v>67</v>
      </c>
      <c r="C228" s="36">
        <f>+'Entrate tot e finalizzati'!C228-'Entrate tot e finalizzati'!D228</f>
        <v>0</v>
      </c>
      <c r="D228" s="36">
        <f>+'Entrate tot e finalizzati'!E228-'Entrate tot e finalizzati'!F228</f>
        <v>0</v>
      </c>
      <c r="E228" s="36">
        <f>+'Entrate tot e finalizzati'!G228-'Entrate tot e finalizzati'!H228</f>
        <v>0</v>
      </c>
      <c r="F228" s="36">
        <f>+'Entrate tot e finalizzati'!I228-'Entrate tot e finalizzati'!J228</f>
        <v>0</v>
      </c>
      <c r="G228" s="36">
        <f>+'Entrate tot e finalizzati'!K228-'Entrate tot e finalizzati'!L228</f>
        <v>0</v>
      </c>
      <c r="H228" s="36">
        <f>+'Entrate tot e finalizzati'!M228-'Entrate tot e finalizzati'!N228</f>
        <v>0</v>
      </c>
      <c r="I228" s="36">
        <f>+'Entrate tot e finalizzati'!O228-'Entrate tot e finalizzati'!P228</f>
        <v>39</v>
      </c>
      <c r="J228" s="36">
        <f>+'Entrate tot e finalizzati'!Q228-'Entrate tot e finalizzati'!R228</f>
        <v>19</v>
      </c>
      <c r="K228" s="36">
        <f>+'Entrate tot e finalizzati'!S228-'Entrate tot e finalizzati'!T228</f>
        <v>15</v>
      </c>
      <c r="L228" s="36">
        <f>+'Entrate tot e finalizzati'!U228-'Entrate tot e finalizzati'!V228</f>
        <v>37</v>
      </c>
      <c r="M228" s="39"/>
      <c r="N228" s="39"/>
      <c r="O228" s="39"/>
      <c r="P228" s="39"/>
      <c r="Q228" s="39"/>
      <c r="R228" s="39"/>
      <c r="S228" s="39"/>
      <c r="T228" s="39"/>
    </row>
    <row r="229" spans="1:20" s="2" customFormat="1" ht="12.75">
      <c r="A229" s="56"/>
      <c r="B229" s="16" t="s">
        <v>113</v>
      </c>
      <c r="C229" s="36">
        <f>+'Entrate tot e finalizzati'!C229-'Entrate tot e finalizzati'!D229</f>
        <v>0</v>
      </c>
      <c r="D229" s="36">
        <f>+'Entrate tot e finalizzati'!E229-'Entrate tot e finalizzati'!F229</f>
        <v>0</v>
      </c>
      <c r="E229" s="36">
        <f>+'Entrate tot e finalizzati'!G229-'Entrate tot e finalizzati'!H229</f>
        <v>0</v>
      </c>
      <c r="F229" s="36">
        <f>+'Entrate tot e finalizzati'!I229-'Entrate tot e finalizzati'!J229</f>
        <v>0</v>
      </c>
      <c r="G229" s="37">
        <f>+'Entrate tot e finalizzati'!K229-'Entrate tot e finalizzati'!L229</f>
        <v>0</v>
      </c>
      <c r="H229" s="37">
        <f>+'Entrate tot e finalizzati'!M229-'Entrate tot e finalizzati'!N229</f>
        <v>0</v>
      </c>
      <c r="I229" s="37">
        <f>+'Entrate tot e finalizzati'!O229-'Entrate tot e finalizzati'!P229</f>
        <v>0</v>
      </c>
      <c r="J229" s="37">
        <f>+'Entrate tot e finalizzati'!Q229-'Entrate tot e finalizzati'!R229</f>
        <v>0</v>
      </c>
      <c r="K229" s="37">
        <f>+'Entrate tot e finalizzati'!S229-'Entrate tot e finalizzati'!T229</f>
        <v>5</v>
      </c>
      <c r="L229" s="37">
        <f>+'Entrate tot e finalizzati'!U229-'Entrate tot e finalizzati'!V229</f>
        <v>0</v>
      </c>
      <c r="M229" s="39"/>
      <c r="N229" s="39"/>
      <c r="O229" s="39"/>
      <c r="P229" s="39"/>
      <c r="Q229" s="39"/>
      <c r="R229" s="39"/>
      <c r="S229" s="39"/>
      <c r="T229" s="39"/>
    </row>
    <row r="230" spans="1:20" s="2" customFormat="1" ht="12.75">
      <c r="A230" s="27" t="s">
        <v>102</v>
      </c>
      <c r="B230" s="28"/>
      <c r="C230" s="29">
        <f>+'Entrate tot e finalizzati'!C230-'Entrate tot e finalizzati'!D230</f>
        <v>811</v>
      </c>
      <c r="D230" s="29">
        <f>+'Entrate tot e finalizzati'!E230-'Entrate tot e finalizzati'!F230</f>
        <v>796</v>
      </c>
      <c r="E230" s="29">
        <f>+'Entrate tot e finalizzati'!G230-'Entrate tot e finalizzati'!H230</f>
        <v>648</v>
      </c>
      <c r="F230" s="29">
        <f>+'Entrate tot e finalizzati'!I230-'Entrate tot e finalizzati'!J230</f>
        <v>583</v>
      </c>
      <c r="G230" s="29">
        <f>+'Entrate tot e finalizzati'!K230-'Entrate tot e finalizzati'!L230</f>
        <v>972</v>
      </c>
      <c r="H230" s="29">
        <f>+'Entrate tot e finalizzati'!M230-'Entrate tot e finalizzati'!N230</f>
        <v>801</v>
      </c>
      <c r="I230" s="29">
        <f>+'Entrate tot e finalizzati'!O230-'Entrate tot e finalizzati'!P230</f>
        <v>679</v>
      </c>
      <c r="J230" s="29">
        <f>+'Entrate tot e finalizzati'!Q230-'Entrate tot e finalizzati'!R230</f>
        <v>504</v>
      </c>
      <c r="K230" s="29">
        <f>+'Entrate tot e finalizzati'!S230-'Entrate tot e finalizzati'!T230</f>
        <v>427</v>
      </c>
      <c r="L230" s="29">
        <f>+'Entrate tot e finalizzati'!U230-'Entrate tot e finalizzati'!V230</f>
        <v>429</v>
      </c>
      <c r="M230" s="39"/>
      <c r="N230" s="39"/>
      <c r="O230" s="39"/>
      <c r="P230" s="39"/>
      <c r="Q230" s="39"/>
      <c r="R230" s="39"/>
      <c r="S230" s="39"/>
      <c r="T230" s="39"/>
    </row>
    <row r="231" spans="1:20" s="2" customFormat="1" ht="12.75">
      <c r="A231" s="9"/>
      <c r="B231" s="35" t="s">
        <v>35</v>
      </c>
      <c r="C231" s="36">
        <f>+'Entrate tot e finalizzati'!C231-'Entrate tot e finalizzati'!D231</f>
        <v>77</v>
      </c>
      <c r="D231" s="36">
        <f>+'Entrate tot e finalizzati'!E231-'Entrate tot e finalizzati'!F231</f>
        <v>207</v>
      </c>
      <c r="E231" s="36">
        <f>+'Entrate tot e finalizzati'!G231-'Entrate tot e finalizzati'!H231</f>
        <v>176</v>
      </c>
      <c r="F231" s="36">
        <f>+'Entrate tot e finalizzati'!I231-'Entrate tot e finalizzati'!J231</f>
        <v>148</v>
      </c>
      <c r="G231" s="37">
        <f>+'Entrate tot e finalizzati'!K231-'Entrate tot e finalizzati'!L231</f>
        <v>120</v>
      </c>
      <c r="H231" s="37">
        <f>+'Entrate tot e finalizzati'!M231-'Entrate tot e finalizzati'!N231</f>
        <v>91</v>
      </c>
      <c r="I231" s="37">
        <f>+'Entrate tot e finalizzati'!O231-'Entrate tot e finalizzati'!P231</f>
        <v>83</v>
      </c>
      <c r="J231" s="37">
        <f>+'Entrate tot e finalizzati'!Q231-'Entrate tot e finalizzati'!R231</f>
        <v>58</v>
      </c>
      <c r="K231" s="37">
        <f>+'Entrate tot e finalizzati'!S231-'Entrate tot e finalizzati'!T231</f>
        <v>0</v>
      </c>
      <c r="L231" s="37">
        <f>+'Entrate tot e finalizzati'!U231-'Entrate tot e finalizzati'!V231</f>
        <v>0</v>
      </c>
      <c r="M231" s="39"/>
      <c r="N231" s="39"/>
      <c r="O231" s="39"/>
      <c r="P231" s="39"/>
      <c r="Q231" s="39"/>
      <c r="R231" s="39"/>
      <c r="S231" s="39"/>
      <c r="T231" s="39"/>
    </row>
    <row r="232" spans="1:20" s="2" customFormat="1" ht="12.75">
      <c r="A232" s="9"/>
      <c r="B232" s="35" t="s">
        <v>60</v>
      </c>
      <c r="C232" s="36">
        <f>+'Entrate tot e finalizzati'!C232-'Entrate tot e finalizzati'!D232</f>
        <v>0</v>
      </c>
      <c r="D232" s="36">
        <f>+'Entrate tot e finalizzati'!E232-'Entrate tot e finalizzati'!F232</f>
        <v>0</v>
      </c>
      <c r="E232" s="36">
        <f>+'Entrate tot e finalizzati'!G232-'Entrate tot e finalizzati'!H232</f>
        <v>0</v>
      </c>
      <c r="F232" s="36">
        <f>+'Entrate tot e finalizzati'!I232-'Entrate tot e finalizzati'!J232</f>
        <v>0</v>
      </c>
      <c r="G232" s="37">
        <f>+'Entrate tot e finalizzati'!K232-'Entrate tot e finalizzati'!L232</f>
        <v>132</v>
      </c>
      <c r="H232" s="37">
        <f>+'Entrate tot e finalizzati'!M232-'Entrate tot e finalizzati'!N232</f>
        <v>0</v>
      </c>
      <c r="I232" s="37">
        <f>+'Entrate tot e finalizzati'!O232-'Entrate tot e finalizzati'!P232</f>
        <v>0</v>
      </c>
      <c r="J232" s="37">
        <f>+'Entrate tot e finalizzati'!Q232-'Entrate tot e finalizzati'!R232</f>
        <v>0</v>
      </c>
      <c r="K232" s="37">
        <f>+'Entrate tot e finalizzati'!S232-'Entrate tot e finalizzati'!T232</f>
        <v>0</v>
      </c>
      <c r="L232" s="37">
        <f>+'Entrate tot e finalizzati'!U232-'Entrate tot e finalizzati'!V232</f>
        <v>0</v>
      </c>
      <c r="M232" s="39"/>
      <c r="N232" s="39"/>
      <c r="O232" s="39"/>
      <c r="P232" s="39"/>
      <c r="Q232" s="39"/>
      <c r="R232" s="39"/>
      <c r="S232" s="39"/>
      <c r="T232" s="39"/>
    </row>
    <row r="233" spans="1:20" s="2" customFormat="1" ht="12.75">
      <c r="A233" s="9"/>
      <c r="B233" s="35" t="s">
        <v>143</v>
      </c>
      <c r="C233" s="36">
        <f>+'Entrate tot e finalizzati'!C233-'Entrate tot e finalizzati'!D233</f>
        <v>0</v>
      </c>
      <c r="D233" s="36">
        <f>+'Entrate tot e finalizzati'!E233-'Entrate tot e finalizzati'!F233</f>
        <v>0</v>
      </c>
      <c r="E233" s="36">
        <f>+'Entrate tot e finalizzati'!G233-'Entrate tot e finalizzati'!H233</f>
        <v>0</v>
      </c>
      <c r="F233" s="36">
        <f>+'Entrate tot e finalizzati'!I233-'Entrate tot e finalizzati'!J233</f>
        <v>0</v>
      </c>
      <c r="G233" s="37">
        <f>+'Entrate tot e finalizzati'!K233-'Entrate tot e finalizzati'!L233</f>
        <v>296</v>
      </c>
      <c r="H233" s="37">
        <f>+'Entrate tot e finalizzati'!M233-'Entrate tot e finalizzati'!N233</f>
        <v>252</v>
      </c>
      <c r="I233" s="37">
        <f>+'Entrate tot e finalizzati'!O233-'Entrate tot e finalizzati'!P233</f>
        <v>107</v>
      </c>
      <c r="J233" s="37">
        <f>+'Entrate tot e finalizzati'!Q233-'Entrate tot e finalizzati'!R233</f>
        <v>0</v>
      </c>
      <c r="K233" s="37">
        <f>+'Entrate tot e finalizzati'!S233-'Entrate tot e finalizzati'!T233</f>
        <v>0</v>
      </c>
      <c r="L233" s="37">
        <f>+'Entrate tot e finalizzati'!U233-'Entrate tot e finalizzati'!V233</f>
        <v>0</v>
      </c>
      <c r="M233" s="39"/>
      <c r="N233" s="39"/>
      <c r="O233" s="39"/>
      <c r="P233" s="39"/>
      <c r="Q233" s="39"/>
      <c r="R233" s="39"/>
      <c r="S233" s="39"/>
      <c r="T233" s="39"/>
    </row>
    <row r="234" spans="1:20" s="2" customFormat="1" ht="12.75">
      <c r="A234" s="9"/>
      <c r="B234" s="6" t="s">
        <v>78</v>
      </c>
      <c r="C234" s="36">
        <f>+'Entrate tot e finalizzati'!C234-'Entrate tot e finalizzati'!D234</f>
        <v>644</v>
      </c>
      <c r="D234" s="36">
        <f>+'Entrate tot e finalizzati'!E234-'Entrate tot e finalizzati'!F234</f>
        <v>529</v>
      </c>
      <c r="E234" s="36">
        <f>+'Entrate tot e finalizzati'!G234-'Entrate tot e finalizzati'!H234</f>
        <v>455</v>
      </c>
      <c r="F234" s="36">
        <f>+'Entrate tot e finalizzati'!I234-'Entrate tot e finalizzati'!J234</f>
        <v>435</v>
      </c>
      <c r="G234" s="37">
        <f>+'Entrate tot e finalizzati'!K234-'Entrate tot e finalizzati'!L234</f>
        <v>424</v>
      </c>
      <c r="H234" s="37">
        <f>+'Entrate tot e finalizzati'!M234-'Entrate tot e finalizzati'!N234</f>
        <v>454</v>
      </c>
      <c r="I234" s="37">
        <f>+'Entrate tot e finalizzati'!O234-'Entrate tot e finalizzati'!P234</f>
        <v>489</v>
      </c>
      <c r="J234" s="37">
        <f>+'Entrate tot e finalizzati'!Q234-'Entrate tot e finalizzati'!R234</f>
        <v>446</v>
      </c>
      <c r="K234" s="37">
        <f>+'Entrate tot e finalizzati'!S234-'Entrate tot e finalizzati'!T234</f>
        <v>427</v>
      </c>
      <c r="L234" s="37">
        <f>+'Entrate tot e finalizzati'!U234-'Entrate tot e finalizzati'!V234</f>
        <v>429</v>
      </c>
      <c r="M234" s="39"/>
      <c r="N234" s="39"/>
      <c r="O234" s="39"/>
      <c r="P234" s="39"/>
      <c r="Q234" s="39"/>
      <c r="R234" s="39"/>
      <c r="S234" s="39"/>
      <c r="T234" s="39"/>
    </row>
    <row r="235" spans="1:20" s="2" customFormat="1" ht="12.75">
      <c r="A235" s="9"/>
      <c r="B235" s="10" t="s">
        <v>18</v>
      </c>
      <c r="C235" s="36">
        <f>+'Entrate tot e finalizzati'!C235-'Entrate tot e finalizzati'!D235</f>
        <v>90</v>
      </c>
      <c r="D235" s="36">
        <f>+'Entrate tot e finalizzati'!E235-'Entrate tot e finalizzati'!F235</f>
        <v>60</v>
      </c>
      <c r="E235" s="36">
        <f>+'Entrate tot e finalizzati'!G235-'Entrate tot e finalizzati'!H235</f>
        <v>17</v>
      </c>
      <c r="F235" s="36">
        <f>+'Entrate tot e finalizzati'!I235-'Entrate tot e finalizzati'!J235</f>
        <v>0</v>
      </c>
      <c r="G235" s="37">
        <f>+'Entrate tot e finalizzati'!K235-'Entrate tot e finalizzati'!L235</f>
        <v>0</v>
      </c>
      <c r="H235" s="37">
        <f>+'Entrate tot e finalizzati'!M235-'Entrate tot e finalizzati'!N235</f>
        <v>0</v>
      </c>
      <c r="I235" s="37">
        <f>+'Entrate tot e finalizzati'!O235-'Entrate tot e finalizzati'!P235</f>
        <v>0</v>
      </c>
      <c r="J235" s="37">
        <f>+'Entrate tot e finalizzati'!Q235-'Entrate tot e finalizzati'!R235</f>
        <v>0</v>
      </c>
      <c r="K235" s="37">
        <f>+'Entrate tot e finalizzati'!S235-'Entrate tot e finalizzati'!T235</f>
        <v>0</v>
      </c>
      <c r="L235" s="37">
        <f>+'Entrate tot e finalizzati'!U235-'Entrate tot e finalizzati'!V235</f>
        <v>0</v>
      </c>
      <c r="M235" s="39"/>
      <c r="N235" s="39"/>
      <c r="O235" s="39"/>
      <c r="P235" s="39"/>
      <c r="Q235" s="39"/>
      <c r="R235" s="39"/>
      <c r="S235" s="39"/>
      <c r="T235" s="39"/>
    </row>
    <row r="236" spans="1:20" s="2" customFormat="1" ht="12.75">
      <c r="A236" s="56"/>
      <c r="B236" s="57" t="s">
        <v>67</v>
      </c>
      <c r="C236" s="36">
        <f>+'Entrate tot e finalizzati'!C236-'Entrate tot e finalizzati'!D236</f>
        <v>0</v>
      </c>
      <c r="D236" s="36">
        <f>+'Entrate tot e finalizzati'!E236-'Entrate tot e finalizzati'!F236</f>
        <v>0</v>
      </c>
      <c r="E236" s="36">
        <f>+'Entrate tot e finalizzati'!G236-'Entrate tot e finalizzati'!H236</f>
        <v>0</v>
      </c>
      <c r="F236" s="36">
        <f>+'Entrate tot e finalizzati'!I236-'Entrate tot e finalizzati'!J236</f>
        <v>0</v>
      </c>
      <c r="G236" s="36">
        <f>+'Entrate tot e finalizzati'!K236-'Entrate tot e finalizzati'!L236</f>
        <v>0</v>
      </c>
      <c r="H236" s="36">
        <f>+'Entrate tot e finalizzati'!M236-'Entrate tot e finalizzati'!N236</f>
        <v>4</v>
      </c>
      <c r="I236" s="36">
        <f>+'Entrate tot e finalizzati'!O236-'Entrate tot e finalizzati'!P236</f>
        <v>0</v>
      </c>
      <c r="J236" s="36">
        <f>+'Entrate tot e finalizzati'!Q236-'Entrate tot e finalizzati'!R236</f>
        <v>0</v>
      </c>
      <c r="K236" s="36">
        <f>+'Entrate tot e finalizzati'!S236-'Entrate tot e finalizzati'!T236</f>
        <v>0</v>
      </c>
      <c r="L236" s="36">
        <f>+'Entrate tot e finalizzati'!U236-'Entrate tot e finalizzati'!V236</f>
        <v>0</v>
      </c>
      <c r="M236" s="39"/>
      <c r="N236" s="39"/>
      <c r="O236" s="39"/>
      <c r="P236" s="39"/>
      <c r="Q236" s="39"/>
      <c r="R236" s="39"/>
      <c r="S236" s="39"/>
      <c r="T236" s="39"/>
    </row>
    <row r="237" spans="1:20" s="2" customFormat="1" ht="12.75">
      <c r="A237" s="79" t="s">
        <v>13</v>
      </c>
      <c r="B237" s="96"/>
      <c r="C237" s="106">
        <f>+'Entrate tot e finalizzati'!C237-'Entrate tot e finalizzati'!D237</f>
        <v>0</v>
      </c>
      <c r="D237" s="106">
        <f>+'Entrate tot e finalizzati'!E237-'Entrate tot e finalizzati'!F237</f>
        <v>0</v>
      </c>
      <c r="E237" s="106">
        <f>+'Entrate tot e finalizzati'!G237-'Entrate tot e finalizzati'!H237</f>
        <v>0</v>
      </c>
      <c r="F237" s="106">
        <f>+'Entrate tot e finalizzati'!I237-'Entrate tot e finalizzati'!J237</f>
        <v>0</v>
      </c>
      <c r="G237" s="106">
        <f>+'Entrate tot e finalizzati'!K237-'Entrate tot e finalizzati'!L237</f>
        <v>697</v>
      </c>
      <c r="H237" s="106">
        <f>+'Entrate tot e finalizzati'!M237-'Entrate tot e finalizzati'!N237</f>
        <v>91</v>
      </c>
      <c r="I237" s="106">
        <f>+'Entrate tot e finalizzati'!O237-'Entrate tot e finalizzati'!P237</f>
        <v>101</v>
      </c>
      <c r="J237" s="106">
        <f>+'Entrate tot e finalizzati'!Q237-'Entrate tot e finalizzati'!R237</f>
        <v>76</v>
      </c>
      <c r="K237" s="106">
        <f>+'Entrate tot e finalizzati'!S237-'Entrate tot e finalizzati'!T237</f>
        <v>88</v>
      </c>
      <c r="L237" s="106">
        <f>+'Entrate tot e finalizzati'!U237-'Entrate tot e finalizzati'!V237</f>
        <v>113</v>
      </c>
      <c r="M237" s="115"/>
      <c r="N237" s="115"/>
      <c r="O237" s="115"/>
      <c r="P237" s="115"/>
      <c r="Q237" s="115"/>
      <c r="R237" s="115"/>
      <c r="S237" s="115"/>
      <c r="T237" s="115"/>
    </row>
    <row r="238" spans="1:20" s="2" customFormat="1" ht="12.75">
      <c r="A238" s="77" t="s">
        <v>144</v>
      </c>
      <c r="B238" s="86"/>
      <c r="C238" s="33">
        <f>+'Entrate tot e finalizzati'!C238-'Entrate tot e finalizzati'!D238</f>
        <v>0</v>
      </c>
      <c r="D238" s="33">
        <f>+'Entrate tot e finalizzati'!E238-'Entrate tot e finalizzati'!F238</f>
        <v>0</v>
      </c>
      <c r="E238" s="33">
        <f>+'Entrate tot e finalizzati'!G238-'Entrate tot e finalizzati'!H238</f>
        <v>0</v>
      </c>
      <c r="F238" s="33">
        <f>+'Entrate tot e finalizzati'!I238-'Entrate tot e finalizzati'!J238</f>
        <v>0</v>
      </c>
      <c r="G238" s="33">
        <f>+'Entrate tot e finalizzati'!K238-'Entrate tot e finalizzati'!L238</f>
        <v>697</v>
      </c>
      <c r="H238" s="33">
        <f>+'Entrate tot e finalizzati'!M238-'Entrate tot e finalizzati'!N238</f>
        <v>90</v>
      </c>
      <c r="I238" s="33">
        <f>+'Entrate tot e finalizzati'!O238-'Entrate tot e finalizzati'!P238</f>
        <v>101</v>
      </c>
      <c r="J238" s="33">
        <f>+'Entrate tot e finalizzati'!Q238-'Entrate tot e finalizzati'!R238</f>
        <v>76</v>
      </c>
      <c r="K238" s="33">
        <f>+'Entrate tot e finalizzati'!S238-'Entrate tot e finalizzati'!T238</f>
        <v>88</v>
      </c>
      <c r="L238" s="33">
        <f>+'Entrate tot e finalizzati'!U238-'Entrate tot e finalizzati'!V238</f>
        <v>103</v>
      </c>
      <c r="M238" s="116"/>
      <c r="N238" s="116"/>
      <c r="O238" s="116"/>
      <c r="P238" s="116"/>
      <c r="Q238" s="116"/>
      <c r="R238" s="116"/>
      <c r="S238" s="116"/>
      <c r="T238" s="116"/>
    </row>
    <row r="239" spans="1:20" s="2" customFormat="1" ht="12.75">
      <c r="A239" s="14"/>
      <c r="B239" s="35" t="s">
        <v>145</v>
      </c>
      <c r="C239" s="36">
        <f>+'Entrate tot e finalizzati'!C239-'Entrate tot e finalizzati'!D239</f>
        <v>0</v>
      </c>
      <c r="D239" s="36">
        <f>+'Entrate tot e finalizzati'!E239-'Entrate tot e finalizzati'!F239</f>
        <v>0</v>
      </c>
      <c r="E239" s="36">
        <f>+'Entrate tot e finalizzati'!G239-'Entrate tot e finalizzati'!H239</f>
        <v>0</v>
      </c>
      <c r="F239" s="36">
        <f>+'Entrate tot e finalizzati'!I239-'Entrate tot e finalizzati'!J239</f>
        <v>0</v>
      </c>
      <c r="G239" s="37">
        <f>+'Entrate tot e finalizzati'!K239-'Entrate tot e finalizzati'!L239</f>
        <v>51</v>
      </c>
      <c r="H239" s="37">
        <f>+'Entrate tot e finalizzati'!M239-'Entrate tot e finalizzati'!N239</f>
        <v>54</v>
      </c>
      <c r="I239" s="37">
        <f>+'Entrate tot e finalizzati'!O239-'Entrate tot e finalizzati'!P239</f>
        <v>76</v>
      </c>
      <c r="J239" s="37">
        <f>+'Entrate tot e finalizzati'!Q239-'Entrate tot e finalizzati'!R239</f>
        <v>56</v>
      </c>
      <c r="K239" s="37">
        <f>+'Entrate tot e finalizzati'!S239-'Entrate tot e finalizzati'!T239</f>
        <v>59</v>
      </c>
      <c r="L239" s="37">
        <f>+'Entrate tot e finalizzati'!U239-'Entrate tot e finalizzati'!V239</f>
        <v>73</v>
      </c>
      <c r="M239" s="39"/>
      <c r="N239" s="39"/>
      <c r="O239" s="39"/>
      <c r="P239" s="39"/>
      <c r="Q239" s="39"/>
      <c r="R239" s="39"/>
      <c r="S239" s="39"/>
      <c r="T239" s="39"/>
    </row>
    <row r="240" spans="1:20" s="2" customFormat="1" ht="12.75">
      <c r="A240" s="14"/>
      <c r="B240" s="10" t="s">
        <v>65</v>
      </c>
      <c r="C240" s="36">
        <f>+'Entrate tot e finalizzati'!C240-'Entrate tot e finalizzati'!D240</f>
        <v>0</v>
      </c>
      <c r="D240" s="36">
        <f>+'Entrate tot e finalizzati'!E240-'Entrate tot e finalizzati'!F240</f>
        <v>0</v>
      </c>
      <c r="E240" s="36">
        <f>+'Entrate tot e finalizzati'!G240-'Entrate tot e finalizzati'!H240</f>
        <v>0</v>
      </c>
      <c r="F240" s="36">
        <f>+'Entrate tot e finalizzati'!I240-'Entrate tot e finalizzati'!J240</f>
        <v>0</v>
      </c>
      <c r="G240" s="37">
        <f>+'Entrate tot e finalizzati'!K240-'Entrate tot e finalizzati'!L240</f>
        <v>646</v>
      </c>
      <c r="H240" s="37">
        <f>+'Entrate tot e finalizzati'!M240-'Entrate tot e finalizzati'!N240</f>
        <v>36</v>
      </c>
      <c r="I240" s="37">
        <f>+'Entrate tot e finalizzati'!O240-'Entrate tot e finalizzati'!P240</f>
        <v>25</v>
      </c>
      <c r="J240" s="37">
        <f>+'Entrate tot e finalizzati'!Q240-'Entrate tot e finalizzati'!R240</f>
        <v>20</v>
      </c>
      <c r="K240" s="37">
        <f>+'Entrate tot e finalizzati'!S240-'Entrate tot e finalizzati'!T240</f>
        <v>29</v>
      </c>
      <c r="L240" s="37">
        <f>+'Entrate tot e finalizzati'!U240-'Entrate tot e finalizzati'!V240</f>
        <v>30</v>
      </c>
      <c r="M240" s="39"/>
      <c r="N240" s="39"/>
      <c r="O240" s="39"/>
      <c r="P240" s="39"/>
      <c r="Q240" s="39"/>
      <c r="R240" s="39"/>
      <c r="S240" s="39"/>
      <c r="T240" s="39"/>
    </row>
    <row r="241" spans="1:20" s="2" customFormat="1" ht="12.75">
      <c r="A241" s="56"/>
      <c r="B241" s="57" t="s">
        <v>117</v>
      </c>
      <c r="C241" s="62">
        <f>+'Entrate tot e finalizzati'!C241-'Entrate tot e finalizzati'!D241</f>
        <v>0</v>
      </c>
      <c r="D241" s="62">
        <f>+'Entrate tot e finalizzati'!E241-'Entrate tot e finalizzati'!F241</f>
        <v>0</v>
      </c>
      <c r="E241" s="62">
        <f>+'Entrate tot e finalizzati'!G241-'Entrate tot e finalizzati'!H241</f>
        <v>0</v>
      </c>
      <c r="F241" s="62">
        <f>+'Entrate tot e finalizzati'!I241-'Entrate tot e finalizzati'!J241</f>
        <v>0</v>
      </c>
      <c r="G241" s="38">
        <f>+'Entrate tot e finalizzati'!K241-'Entrate tot e finalizzati'!L241</f>
        <v>0</v>
      </c>
      <c r="H241" s="38">
        <f>+'Entrate tot e finalizzati'!M241-'Entrate tot e finalizzati'!N241</f>
        <v>0</v>
      </c>
      <c r="I241" s="38">
        <f>+'Entrate tot e finalizzati'!O241-'Entrate tot e finalizzati'!P241</f>
        <v>0</v>
      </c>
      <c r="J241" s="38">
        <f>+'Entrate tot e finalizzati'!Q241-'Entrate tot e finalizzati'!R241</f>
        <v>0</v>
      </c>
      <c r="K241" s="38">
        <f>+'Entrate tot e finalizzati'!S241-'Entrate tot e finalizzati'!T241</f>
        <v>0</v>
      </c>
      <c r="L241" s="38">
        <f>+'Entrate tot e finalizzati'!U241-'Entrate tot e finalizzati'!V241</f>
        <v>0</v>
      </c>
      <c r="M241" s="39"/>
      <c r="N241" s="39"/>
      <c r="O241" s="39"/>
      <c r="P241" s="39"/>
      <c r="Q241" s="39"/>
      <c r="R241" s="39"/>
      <c r="S241" s="39"/>
      <c r="T241" s="39"/>
    </row>
    <row r="242" spans="1:20" s="2" customFormat="1" ht="12.75">
      <c r="A242" s="77" t="s">
        <v>119</v>
      </c>
      <c r="B242" s="78"/>
      <c r="C242" s="33">
        <f>+'Entrate tot e finalizzati'!C242-'Entrate tot e finalizzati'!D242</f>
        <v>0</v>
      </c>
      <c r="D242" s="33">
        <f>+'Entrate tot e finalizzati'!E242-'Entrate tot e finalizzati'!F242</f>
        <v>0</v>
      </c>
      <c r="E242" s="33">
        <f>+'Entrate tot e finalizzati'!G242-'Entrate tot e finalizzati'!H242</f>
        <v>0</v>
      </c>
      <c r="F242" s="33">
        <f>+'Entrate tot e finalizzati'!I242-'Entrate tot e finalizzati'!J242</f>
        <v>0</v>
      </c>
      <c r="G242" s="33">
        <f>+'Entrate tot e finalizzati'!K242-'Entrate tot e finalizzati'!L242</f>
        <v>0</v>
      </c>
      <c r="H242" s="33">
        <f>+'Entrate tot e finalizzati'!M242-'Entrate tot e finalizzati'!N242</f>
        <v>0</v>
      </c>
      <c r="I242" s="33">
        <f>+'Entrate tot e finalizzati'!O242-'Entrate tot e finalizzati'!P242</f>
        <v>0</v>
      </c>
      <c r="J242" s="33">
        <f>+'Entrate tot e finalizzati'!Q242-'Entrate tot e finalizzati'!R242</f>
        <v>0</v>
      </c>
      <c r="K242" s="33">
        <f>+'Entrate tot e finalizzati'!S242-'Entrate tot e finalizzati'!T242</f>
        <v>0</v>
      </c>
      <c r="L242" s="33">
        <f>+'Entrate tot e finalizzati'!U242-'Entrate tot e finalizzati'!V242</f>
        <v>0</v>
      </c>
      <c r="M242" s="116"/>
      <c r="N242" s="116"/>
      <c r="O242" s="116"/>
      <c r="P242" s="116"/>
      <c r="Q242" s="116"/>
      <c r="R242" s="116"/>
      <c r="S242" s="116"/>
      <c r="T242" s="116"/>
    </row>
    <row r="243" spans="1:20" s="2" customFormat="1" ht="12.75">
      <c r="A243" s="56"/>
      <c r="B243" s="57" t="s">
        <v>67</v>
      </c>
      <c r="C243" s="62">
        <f>+'Entrate tot e finalizzati'!C243-'Entrate tot e finalizzati'!D243</f>
        <v>0</v>
      </c>
      <c r="D243" s="62">
        <f>+'Entrate tot e finalizzati'!E243-'Entrate tot e finalizzati'!F243</f>
        <v>0</v>
      </c>
      <c r="E243" s="62">
        <f>+'Entrate tot e finalizzati'!G243-'Entrate tot e finalizzati'!H243</f>
        <v>0</v>
      </c>
      <c r="F243" s="62">
        <f>+'Entrate tot e finalizzati'!I243-'Entrate tot e finalizzati'!J243</f>
        <v>0</v>
      </c>
      <c r="G243" s="38">
        <f>+'Entrate tot e finalizzati'!K243-'Entrate tot e finalizzati'!L243</f>
        <v>0</v>
      </c>
      <c r="H243" s="38">
        <f>+'Entrate tot e finalizzati'!M243-'Entrate tot e finalizzati'!N243</f>
        <v>0</v>
      </c>
      <c r="I243" s="38">
        <f>+'Entrate tot e finalizzati'!O243-'Entrate tot e finalizzati'!P243</f>
        <v>0</v>
      </c>
      <c r="J243" s="38">
        <f>+'Entrate tot e finalizzati'!Q243-'Entrate tot e finalizzati'!R243</f>
        <v>0</v>
      </c>
      <c r="K243" s="38">
        <f>+'Entrate tot e finalizzati'!S243-'Entrate tot e finalizzati'!T243</f>
        <v>0</v>
      </c>
      <c r="L243" s="38">
        <f>+'Entrate tot e finalizzati'!U243-'Entrate tot e finalizzati'!V243</f>
        <v>0</v>
      </c>
      <c r="M243" s="39"/>
      <c r="N243" s="39"/>
      <c r="O243" s="39"/>
      <c r="P243" s="39"/>
      <c r="Q243" s="39"/>
      <c r="R243" s="39"/>
      <c r="S243" s="39"/>
      <c r="T243" s="39"/>
    </row>
    <row r="244" spans="1:20" s="2" customFormat="1" ht="12.75">
      <c r="A244" s="77" t="s">
        <v>2</v>
      </c>
      <c r="B244" s="78"/>
      <c r="C244" s="33">
        <f>+'Entrate tot e finalizzati'!C244-'Entrate tot e finalizzati'!D244</f>
        <v>0</v>
      </c>
      <c r="D244" s="33">
        <f>+'Entrate tot e finalizzati'!E244-'Entrate tot e finalizzati'!F244</f>
        <v>0</v>
      </c>
      <c r="E244" s="33">
        <f>+'Entrate tot e finalizzati'!G244-'Entrate tot e finalizzati'!H244</f>
        <v>0</v>
      </c>
      <c r="F244" s="33">
        <f>+'Entrate tot e finalizzati'!I244-'Entrate tot e finalizzati'!J244</f>
        <v>0</v>
      </c>
      <c r="G244" s="33">
        <f>+'Entrate tot e finalizzati'!K244-'Entrate tot e finalizzati'!L244</f>
        <v>0</v>
      </c>
      <c r="H244" s="33">
        <f>+'Entrate tot e finalizzati'!M244-'Entrate tot e finalizzati'!N244</f>
        <v>0</v>
      </c>
      <c r="I244" s="33">
        <f>+'Entrate tot e finalizzati'!O244-'Entrate tot e finalizzati'!P244</f>
        <v>0</v>
      </c>
      <c r="J244" s="33">
        <f>+'Entrate tot e finalizzati'!Q244-'Entrate tot e finalizzati'!R244</f>
        <v>0</v>
      </c>
      <c r="K244" s="33">
        <f>+'Entrate tot e finalizzati'!S244-'Entrate tot e finalizzati'!T244</f>
        <v>0</v>
      </c>
      <c r="L244" s="33">
        <f>+'Entrate tot e finalizzati'!U244-'Entrate tot e finalizzati'!V244</f>
        <v>0</v>
      </c>
      <c r="M244" s="116"/>
      <c r="N244" s="116"/>
      <c r="O244" s="116"/>
      <c r="P244" s="116"/>
      <c r="Q244" s="116"/>
      <c r="R244" s="116"/>
      <c r="S244" s="116"/>
      <c r="T244" s="116"/>
    </row>
    <row r="245" spans="1:20" s="2" customFormat="1" ht="12.75">
      <c r="A245" s="9"/>
      <c r="B245" s="10" t="s">
        <v>111</v>
      </c>
      <c r="C245" s="36">
        <f>+'Entrate tot e finalizzati'!C245-'Entrate tot e finalizzati'!D245</f>
        <v>0</v>
      </c>
      <c r="D245" s="36">
        <f>+'Entrate tot e finalizzati'!E245-'Entrate tot e finalizzati'!F245</f>
        <v>0</v>
      </c>
      <c r="E245" s="36">
        <f>+'Entrate tot e finalizzati'!G245-'Entrate tot e finalizzati'!H245</f>
        <v>0</v>
      </c>
      <c r="F245" s="36">
        <f>+'Entrate tot e finalizzati'!I245-'Entrate tot e finalizzati'!J245</f>
        <v>0</v>
      </c>
      <c r="G245" s="37">
        <f>+'Entrate tot e finalizzati'!K245-'Entrate tot e finalizzati'!L245</f>
        <v>0</v>
      </c>
      <c r="H245" s="37">
        <f>+'Entrate tot e finalizzati'!M245-'Entrate tot e finalizzati'!N245</f>
        <v>0</v>
      </c>
      <c r="I245" s="37">
        <f>+'Entrate tot e finalizzati'!O245-'Entrate tot e finalizzati'!P245</f>
        <v>0</v>
      </c>
      <c r="J245" s="37">
        <f>+'Entrate tot e finalizzati'!Q245-'Entrate tot e finalizzati'!R245</f>
        <v>0</v>
      </c>
      <c r="K245" s="37">
        <f>+'Entrate tot e finalizzati'!S245-'Entrate tot e finalizzati'!T245</f>
        <v>0</v>
      </c>
      <c r="L245" s="37">
        <f>+'Entrate tot e finalizzati'!U245-'Entrate tot e finalizzati'!V245</f>
        <v>0</v>
      </c>
      <c r="M245" s="39"/>
      <c r="N245" s="39"/>
      <c r="O245" s="39"/>
      <c r="P245" s="39"/>
      <c r="Q245" s="39"/>
      <c r="R245" s="39"/>
      <c r="S245" s="39"/>
      <c r="T245" s="39"/>
    </row>
    <row r="246" spans="1:20" s="2" customFormat="1" ht="12.75">
      <c r="A246" s="9"/>
      <c r="B246" s="10" t="s">
        <v>67</v>
      </c>
      <c r="C246" s="36">
        <f>+'Entrate tot e finalizzati'!C246-'Entrate tot e finalizzati'!D246</f>
        <v>0</v>
      </c>
      <c r="D246" s="36">
        <f>+'Entrate tot e finalizzati'!E246-'Entrate tot e finalizzati'!F246</f>
        <v>0</v>
      </c>
      <c r="E246" s="36">
        <f>+'Entrate tot e finalizzati'!G246-'Entrate tot e finalizzati'!H246</f>
        <v>0</v>
      </c>
      <c r="F246" s="36">
        <f>+'Entrate tot e finalizzati'!I246-'Entrate tot e finalizzati'!J246</f>
        <v>0</v>
      </c>
      <c r="G246" s="37">
        <f>+'Entrate tot e finalizzati'!K246-'Entrate tot e finalizzati'!L246</f>
        <v>0</v>
      </c>
      <c r="H246" s="37">
        <f>+'Entrate tot e finalizzati'!M246-'Entrate tot e finalizzati'!N246</f>
        <v>0</v>
      </c>
      <c r="I246" s="37">
        <f>+'Entrate tot e finalizzati'!O246-'Entrate tot e finalizzati'!P246</f>
        <v>0</v>
      </c>
      <c r="J246" s="37">
        <f>+'Entrate tot e finalizzati'!Q246-'Entrate tot e finalizzati'!R246</f>
        <v>0</v>
      </c>
      <c r="K246" s="37">
        <f>+'Entrate tot e finalizzati'!S246-'Entrate tot e finalizzati'!T246</f>
        <v>0</v>
      </c>
      <c r="L246" s="37">
        <f>+'Entrate tot e finalizzati'!U246-'Entrate tot e finalizzati'!V246</f>
        <v>0</v>
      </c>
      <c r="M246" s="39"/>
      <c r="N246" s="39"/>
      <c r="O246" s="39"/>
      <c r="P246" s="39"/>
      <c r="Q246" s="39"/>
      <c r="R246" s="39"/>
      <c r="S246" s="39"/>
      <c r="T246" s="39"/>
    </row>
    <row r="247" spans="1:20" s="2" customFormat="1" ht="12.75">
      <c r="A247" s="56"/>
      <c r="B247" s="57" t="s">
        <v>117</v>
      </c>
      <c r="C247" s="62">
        <f>+'Entrate tot e finalizzati'!C247-'Entrate tot e finalizzati'!D247</f>
        <v>0</v>
      </c>
      <c r="D247" s="62">
        <f>+'Entrate tot e finalizzati'!E247-'Entrate tot e finalizzati'!F247</f>
        <v>0</v>
      </c>
      <c r="E247" s="62">
        <f>+'Entrate tot e finalizzati'!G247-'Entrate tot e finalizzati'!H247</f>
        <v>0</v>
      </c>
      <c r="F247" s="62">
        <f>+'Entrate tot e finalizzati'!I247-'Entrate tot e finalizzati'!J247</f>
        <v>0</v>
      </c>
      <c r="G247" s="38">
        <f>+'Entrate tot e finalizzati'!K247-'Entrate tot e finalizzati'!L247</f>
        <v>0</v>
      </c>
      <c r="H247" s="38">
        <f>+'Entrate tot e finalizzati'!M247-'Entrate tot e finalizzati'!N247</f>
        <v>0</v>
      </c>
      <c r="I247" s="38">
        <f>+'Entrate tot e finalizzati'!O247-'Entrate tot e finalizzati'!P247</f>
        <v>0</v>
      </c>
      <c r="J247" s="38">
        <f>+'Entrate tot e finalizzati'!Q247-'Entrate tot e finalizzati'!R247</f>
        <v>0</v>
      </c>
      <c r="K247" s="38">
        <f>+'Entrate tot e finalizzati'!S247-'Entrate tot e finalizzati'!T247</f>
        <v>0</v>
      </c>
      <c r="L247" s="38">
        <f>+'Entrate tot e finalizzati'!U247-'Entrate tot e finalizzati'!V247</f>
        <v>0</v>
      </c>
      <c r="M247" s="39"/>
      <c r="N247" s="39"/>
      <c r="O247" s="39"/>
      <c r="P247" s="39"/>
      <c r="Q247" s="39"/>
      <c r="R247" s="39"/>
      <c r="S247" s="39"/>
      <c r="T247" s="39"/>
    </row>
    <row r="248" spans="1:20" s="2" customFormat="1" ht="12.75">
      <c r="A248" s="77" t="s">
        <v>3</v>
      </c>
      <c r="B248" s="78"/>
      <c r="C248" s="33">
        <f>+'Entrate tot e finalizzati'!C248-'Entrate tot e finalizzati'!D248</f>
        <v>0</v>
      </c>
      <c r="D248" s="33">
        <f>+'Entrate tot e finalizzati'!E248-'Entrate tot e finalizzati'!F248</f>
        <v>0</v>
      </c>
      <c r="E248" s="33">
        <f>+'Entrate tot e finalizzati'!G248-'Entrate tot e finalizzati'!H248</f>
        <v>0</v>
      </c>
      <c r="F248" s="33">
        <f>+'Entrate tot e finalizzati'!I248-'Entrate tot e finalizzati'!J248</f>
        <v>0</v>
      </c>
      <c r="G248" s="33">
        <f>+'Entrate tot e finalizzati'!K248-'Entrate tot e finalizzati'!L248</f>
        <v>0</v>
      </c>
      <c r="H248" s="33">
        <f>+'Entrate tot e finalizzati'!M248-'Entrate tot e finalizzati'!N248</f>
        <v>0</v>
      </c>
      <c r="I248" s="33">
        <f>+'Entrate tot e finalizzati'!O248-'Entrate tot e finalizzati'!P248</f>
        <v>0</v>
      </c>
      <c r="J248" s="33">
        <f>+'Entrate tot e finalizzati'!Q248-'Entrate tot e finalizzati'!R248</f>
        <v>0</v>
      </c>
      <c r="K248" s="33">
        <f>+'Entrate tot e finalizzati'!S248-'Entrate tot e finalizzati'!T248</f>
        <v>0</v>
      </c>
      <c r="L248" s="33">
        <f>+'Entrate tot e finalizzati'!U248-'Entrate tot e finalizzati'!V248</f>
        <v>0</v>
      </c>
      <c r="M248" s="116"/>
      <c r="N248" s="116"/>
      <c r="O248" s="116"/>
      <c r="P248" s="116"/>
      <c r="Q248" s="116"/>
      <c r="R248" s="116"/>
      <c r="S248" s="116"/>
      <c r="T248" s="116"/>
    </row>
    <row r="249" spans="1:20" s="2" customFormat="1" ht="12.75">
      <c r="A249" s="9"/>
      <c r="B249" s="10" t="s">
        <v>67</v>
      </c>
      <c r="C249" s="36">
        <f>+'Entrate tot e finalizzati'!C249-'Entrate tot e finalizzati'!D249</f>
        <v>0</v>
      </c>
      <c r="D249" s="36">
        <f>+'Entrate tot e finalizzati'!E249-'Entrate tot e finalizzati'!F249</f>
        <v>0</v>
      </c>
      <c r="E249" s="36">
        <f>+'Entrate tot e finalizzati'!G249-'Entrate tot e finalizzati'!H249</f>
        <v>0</v>
      </c>
      <c r="F249" s="36">
        <f>+'Entrate tot e finalizzati'!I249-'Entrate tot e finalizzati'!J249</f>
        <v>0</v>
      </c>
      <c r="G249" s="37">
        <f>+'Entrate tot e finalizzati'!K249-'Entrate tot e finalizzati'!L249</f>
        <v>0</v>
      </c>
      <c r="H249" s="37">
        <f>+'Entrate tot e finalizzati'!M249-'Entrate tot e finalizzati'!N249</f>
        <v>0</v>
      </c>
      <c r="I249" s="37">
        <f>+'Entrate tot e finalizzati'!O249-'Entrate tot e finalizzati'!P249</f>
        <v>0</v>
      </c>
      <c r="J249" s="37">
        <f>+'Entrate tot e finalizzati'!Q249-'Entrate tot e finalizzati'!R249</f>
        <v>0</v>
      </c>
      <c r="K249" s="37">
        <f>+'Entrate tot e finalizzati'!S249-'Entrate tot e finalizzati'!T249</f>
        <v>0</v>
      </c>
      <c r="L249" s="37">
        <f>+'Entrate tot e finalizzati'!U249-'Entrate tot e finalizzati'!V249</f>
        <v>0</v>
      </c>
      <c r="M249" s="39"/>
      <c r="N249" s="39"/>
      <c r="O249" s="39"/>
      <c r="P249" s="39"/>
      <c r="Q249" s="39"/>
      <c r="R249" s="39"/>
      <c r="S249" s="39"/>
      <c r="T249" s="39"/>
    </row>
    <row r="250" spans="1:20" s="2" customFormat="1" ht="12.75">
      <c r="A250" s="56"/>
      <c r="B250" s="57" t="s">
        <v>111</v>
      </c>
      <c r="C250" s="62">
        <f>+'Entrate tot e finalizzati'!C250-'Entrate tot e finalizzati'!D250</f>
        <v>0</v>
      </c>
      <c r="D250" s="62">
        <f>+'Entrate tot e finalizzati'!E250-'Entrate tot e finalizzati'!F250</f>
        <v>0</v>
      </c>
      <c r="E250" s="62">
        <f>+'Entrate tot e finalizzati'!G250-'Entrate tot e finalizzati'!H250</f>
        <v>0</v>
      </c>
      <c r="F250" s="62">
        <f>+'Entrate tot e finalizzati'!I250-'Entrate tot e finalizzati'!J250</f>
        <v>0</v>
      </c>
      <c r="G250" s="38">
        <f>+'Entrate tot e finalizzati'!K250-'Entrate tot e finalizzati'!L250</f>
        <v>0</v>
      </c>
      <c r="H250" s="38">
        <f>+'Entrate tot e finalizzati'!M250-'Entrate tot e finalizzati'!N250</f>
        <v>0</v>
      </c>
      <c r="I250" s="38">
        <f>+'Entrate tot e finalizzati'!O250-'Entrate tot e finalizzati'!P250</f>
        <v>0</v>
      </c>
      <c r="J250" s="38">
        <f>+'Entrate tot e finalizzati'!Q250-'Entrate tot e finalizzati'!R250</f>
        <v>0</v>
      </c>
      <c r="K250" s="38">
        <f>+'Entrate tot e finalizzati'!S250-'Entrate tot e finalizzati'!T250</f>
        <v>0</v>
      </c>
      <c r="L250" s="38">
        <f>+'Entrate tot e finalizzati'!U250-'Entrate tot e finalizzati'!V250</f>
        <v>0</v>
      </c>
      <c r="M250" s="39"/>
      <c r="N250" s="39"/>
      <c r="O250" s="39"/>
      <c r="P250" s="39"/>
      <c r="Q250" s="39"/>
      <c r="R250" s="39"/>
      <c r="S250" s="39"/>
      <c r="T250" s="39"/>
    </row>
    <row r="251" spans="1:20" s="2" customFormat="1" ht="12.75">
      <c r="A251" s="77" t="s">
        <v>4</v>
      </c>
      <c r="B251" s="78"/>
      <c r="C251" s="33">
        <f>+'Entrate tot e finalizzati'!C251-'Entrate tot e finalizzati'!D251</f>
        <v>0</v>
      </c>
      <c r="D251" s="33">
        <f>+'Entrate tot e finalizzati'!E251-'Entrate tot e finalizzati'!F251</f>
        <v>0</v>
      </c>
      <c r="E251" s="33">
        <f>+'Entrate tot e finalizzati'!G251-'Entrate tot e finalizzati'!H251</f>
        <v>0</v>
      </c>
      <c r="F251" s="33">
        <f>+'Entrate tot e finalizzati'!I251-'Entrate tot e finalizzati'!J251</f>
        <v>0</v>
      </c>
      <c r="G251" s="33">
        <f>+'Entrate tot e finalizzati'!K251-'Entrate tot e finalizzati'!L251</f>
        <v>0</v>
      </c>
      <c r="H251" s="33">
        <f>+'Entrate tot e finalizzati'!M251-'Entrate tot e finalizzati'!N251</f>
        <v>0</v>
      </c>
      <c r="I251" s="33">
        <f>+'Entrate tot e finalizzati'!O251-'Entrate tot e finalizzati'!P251</f>
        <v>0</v>
      </c>
      <c r="J251" s="33">
        <f>+'Entrate tot e finalizzati'!Q251-'Entrate tot e finalizzati'!R251</f>
        <v>0</v>
      </c>
      <c r="K251" s="33">
        <f>+'Entrate tot e finalizzati'!S251-'Entrate tot e finalizzati'!T251</f>
        <v>0</v>
      </c>
      <c r="L251" s="33">
        <f>+'Entrate tot e finalizzati'!U251-'Entrate tot e finalizzati'!V251</f>
        <v>10</v>
      </c>
      <c r="M251" s="116"/>
      <c r="N251" s="116"/>
      <c r="O251" s="116"/>
      <c r="P251" s="116"/>
      <c r="Q251" s="116"/>
      <c r="R251" s="116"/>
      <c r="S251" s="116"/>
      <c r="T251" s="116"/>
    </row>
    <row r="252" spans="1:20" s="2" customFormat="1" ht="12.75">
      <c r="A252" s="92"/>
      <c r="B252" s="34" t="s">
        <v>67</v>
      </c>
      <c r="C252" s="24">
        <f>+'Entrate tot e finalizzati'!C252-'Entrate tot e finalizzati'!D252</f>
        <v>0</v>
      </c>
      <c r="D252" s="22">
        <f>+'Entrate tot e finalizzati'!E252-'Entrate tot e finalizzati'!F252</f>
        <v>0</v>
      </c>
      <c r="E252" s="24">
        <f>+'Entrate tot e finalizzati'!G252-'Entrate tot e finalizzati'!H252</f>
        <v>0</v>
      </c>
      <c r="F252" s="24">
        <f>+'Entrate tot e finalizzati'!I252-'Entrate tot e finalizzati'!J252</f>
        <v>0</v>
      </c>
      <c r="G252" s="24">
        <f>+'Entrate tot e finalizzati'!K252-'Entrate tot e finalizzati'!L252</f>
        <v>0</v>
      </c>
      <c r="H252" s="24">
        <f>+'Entrate tot e finalizzati'!M252-'Entrate tot e finalizzati'!N252</f>
        <v>0</v>
      </c>
      <c r="I252" s="24">
        <f>+'Entrate tot e finalizzati'!O252-'Entrate tot e finalizzati'!P252</f>
        <v>0</v>
      </c>
      <c r="J252" s="24">
        <f>+'Entrate tot e finalizzati'!Q252-'Entrate tot e finalizzati'!R252</f>
        <v>0</v>
      </c>
      <c r="K252" s="24">
        <f>+'Entrate tot e finalizzati'!S252-'Entrate tot e finalizzati'!T252</f>
        <v>0</v>
      </c>
      <c r="L252" s="24">
        <f>+'Entrate tot e finalizzati'!U252-'Entrate tot e finalizzati'!V252</f>
        <v>10</v>
      </c>
      <c r="M252" s="39"/>
      <c r="N252" s="39"/>
      <c r="O252" s="39"/>
      <c r="P252" s="39"/>
      <c r="Q252" s="39"/>
      <c r="R252" s="39"/>
      <c r="S252" s="39"/>
      <c r="T252" s="39"/>
    </row>
    <row r="253" spans="1:20" s="2" customFormat="1" ht="12.75">
      <c r="A253" s="92"/>
      <c r="B253" s="35" t="s">
        <v>111</v>
      </c>
      <c r="C253" s="24">
        <f>+'Entrate tot e finalizzati'!C253-'Entrate tot e finalizzati'!D253</f>
        <v>0</v>
      </c>
      <c r="D253" s="24">
        <f>+'Entrate tot e finalizzati'!E253-'Entrate tot e finalizzati'!F253</f>
        <v>0</v>
      </c>
      <c r="E253" s="24">
        <f>+'Entrate tot e finalizzati'!G253-'Entrate tot e finalizzati'!H253</f>
        <v>0</v>
      </c>
      <c r="F253" s="24">
        <f>+'Entrate tot e finalizzati'!I253-'Entrate tot e finalizzati'!J253</f>
        <v>0</v>
      </c>
      <c r="G253" s="24">
        <f>+'Entrate tot e finalizzati'!K253-'Entrate tot e finalizzati'!L253</f>
        <v>0</v>
      </c>
      <c r="H253" s="24">
        <f>+'Entrate tot e finalizzati'!M253-'Entrate tot e finalizzati'!N253</f>
        <v>0</v>
      </c>
      <c r="I253" s="24">
        <f>+'Entrate tot e finalizzati'!O253-'Entrate tot e finalizzati'!P253</f>
        <v>0</v>
      </c>
      <c r="J253" s="24">
        <f>+'Entrate tot e finalizzati'!Q253-'Entrate tot e finalizzati'!R253</f>
        <v>0</v>
      </c>
      <c r="K253" s="24">
        <f>+'Entrate tot e finalizzati'!S253-'Entrate tot e finalizzati'!T253</f>
        <v>0</v>
      </c>
      <c r="L253" s="24">
        <f>+'Entrate tot e finalizzati'!U253-'Entrate tot e finalizzati'!V253</f>
        <v>0</v>
      </c>
      <c r="M253" s="39"/>
      <c r="N253" s="39"/>
      <c r="O253" s="39"/>
      <c r="P253" s="39"/>
      <c r="Q253" s="39"/>
      <c r="R253" s="39"/>
      <c r="S253" s="39"/>
      <c r="T253" s="39"/>
    </row>
    <row r="254" spans="1:20" s="2" customFormat="1" ht="12.75">
      <c r="A254" s="92"/>
      <c r="B254" s="35" t="s">
        <v>117</v>
      </c>
      <c r="C254" s="24">
        <f>+'Entrate tot e finalizzati'!C254-'Entrate tot e finalizzati'!D254</f>
        <v>0</v>
      </c>
      <c r="D254" s="24">
        <f>+'Entrate tot e finalizzati'!E254-'Entrate tot e finalizzati'!F254</f>
        <v>0</v>
      </c>
      <c r="E254" s="24">
        <f>+'Entrate tot e finalizzati'!G254-'Entrate tot e finalizzati'!H254</f>
        <v>0</v>
      </c>
      <c r="F254" s="24">
        <f>+'Entrate tot e finalizzati'!I254-'Entrate tot e finalizzati'!J254</f>
        <v>0</v>
      </c>
      <c r="G254" s="24">
        <f>+'Entrate tot e finalizzati'!K254-'Entrate tot e finalizzati'!L254</f>
        <v>0</v>
      </c>
      <c r="H254" s="24">
        <f>+'Entrate tot e finalizzati'!M254-'Entrate tot e finalizzati'!N254</f>
        <v>0</v>
      </c>
      <c r="I254" s="24">
        <f>+'Entrate tot e finalizzati'!O254-'Entrate tot e finalizzati'!P254</f>
        <v>0</v>
      </c>
      <c r="J254" s="24">
        <f>+'Entrate tot e finalizzati'!Q254-'Entrate tot e finalizzati'!R254</f>
        <v>0</v>
      </c>
      <c r="K254" s="24">
        <f>+'Entrate tot e finalizzati'!S254-'Entrate tot e finalizzati'!T254</f>
        <v>0</v>
      </c>
      <c r="L254" s="24">
        <f>+'Entrate tot e finalizzati'!U254-'Entrate tot e finalizzati'!V254</f>
        <v>0</v>
      </c>
      <c r="M254" s="39"/>
      <c r="N254" s="39"/>
      <c r="O254" s="39"/>
      <c r="P254" s="39"/>
      <c r="Q254" s="39"/>
      <c r="R254" s="39"/>
      <c r="S254" s="39"/>
      <c r="T254" s="39"/>
    </row>
    <row r="255" spans="1:20" s="2" customFormat="1" ht="12.75">
      <c r="A255" s="56"/>
      <c r="B255" s="57" t="s">
        <v>17</v>
      </c>
      <c r="C255" s="62">
        <f>+'Entrate tot e finalizzati'!C255-'Entrate tot e finalizzati'!D255</f>
        <v>0</v>
      </c>
      <c r="D255" s="62">
        <f>+'Entrate tot e finalizzati'!E255-'Entrate tot e finalizzati'!F255</f>
        <v>0</v>
      </c>
      <c r="E255" s="62">
        <f>+'Entrate tot e finalizzati'!G255-'Entrate tot e finalizzati'!H255</f>
        <v>0</v>
      </c>
      <c r="F255" s="62">
        <f>+'Entrate tot e finalizzati'!I255-'Entrate tot e finalizzati'!J255</f>
        <v>0</v>
      </c>
      <c r="G255" s="38">
        <f>+'Entrate tot e finalizzati'!K255-'Entrate tot e finalizzati'!L255</f>
        <v>0</v>
      </c>
      <c r="H255" s="38">
        <f>+'Entrate tot e finalizzati'!M255-'Entrate tot e finalizzati'!N255</f>
        <v>0</v>
      </c>
      <c r="I255" s="38">
        <f>+'Entrate tot e finalizzati'!O255-'Entrate tot e finalizzati'!P255</f>
        <v>0</v>
      </c>
      <c r="J255" s="38">
        <f>+'Entrate tot e finalizzati'!Q255-'Entrate tot e finalizzati'!R255</f>
        <v>0</v>
      </c>
      <c r="K255" s="38">
        <f>+'Entrate tot e finalizzati'!S255-'Entrate tot e finalizzati'!T255</f>
        <v>0</v>
      </c>
      <c r="L255" s="38">
        <f>+'Entrate tot e finalizzati'!U255-'Entrate tot e finalizzati'!V255</f>
        <v>0</v>
      </c>
      <c r="M255" s="39"/>
      <c r="N255" s="39"/>
      <c r="O255" s="39"/>
      <c r="P255" s="39"/>
      <c r="Q255" s="39"/>
      <c r="R255" s="39"/>
      <c r="S255" s="39"/>
      <c r="T255" s="39"/>
    </row>
    <row r="256" spans="1:20" s="2" customFormat="1" ht="12.75">
      <c r="A256" s="77" t="s">
        <v>120</v>
      </c>
      <c r="B256" s="78"/>
      <c r="C256" s="33">
        <f>+'Entrate tot e finalizzati'!C256-'Entrate tot e finalizzati'!D256</f>
        <v>0</v>
      </c>
      <c r="D256" s="33">
        <f>+'Entrate tot e finalizzati'!E256-'Entrate tot e finalizzati'!F256</f>
        <v>0</v>
      </c>
      <c r="E256" s="33">
        <f>+'Entrate tot e finalizzati'!G256-'Entrate tot e finalizzati'!H256</f>
        <v>0</v>
      </c>
      <c r="F256" s="33">
        <f>+'Entrate tot e finalizzati'!I256-'Entrate tot e finalizzati'!J256</f>
        <v>0</v>
      </c>
      <c r="G256" s="33">
        <f>+'Entrate tot e finalizzati'!K256-'Entrate tot e finalizzati'!L256</f>
        <v>0</v>
      </c>
      <c r="H256" s="33">
        <f>+'Entrate tot e finalizzati'!M256-'Entrate tot e finalizzati'!N256</f>
        <v>0</v>
      </c>
      <c r="I256" s="33">
        <f>+'Entrate tot e finalizzati'!O256-'Entrate tot e finalizzati'!P256</f>
        <v>0</v>
      </c>
      <c r="J256" s="33">
        <f>+'Entrate tot e finalizzati'!Q256-'Entrate tot e finalizzati'!R256</f>
        <v>0</v>
      </c>
      <c r="K256" s="33">
        <f>+'Entrate tot e finalizzati'!S256-'Entrate tot e finalizzati'!T256</f>
        <v>0</v>
      </c>
      <c r="L256" s="33">
        <f>+'Entrate tot e finalizzati'!U256-'Entrate tot e finalizzati'!V256</f>
        <v>0</v>
      </c>
      <c r="M256" s="116"/>
      <c r="N256" s="116"/>
      <c r="O256" s="116"/>
      <c r="P256" s="116"/>
      <c r="Q256" s="116"/>
      <c r="R256" s="116"/>
      <c r="S256" s="116"/>
      <c r="T256" s="116"/>
    </row>
    <row r="257" spans="1:20" s="2" customFormat="1" ht="12.75">
      <c r="A257" s="56"/>
      <c r="B257" s="57" t="s">
        <v>67</v>
      </c>
      <c r="C257" s="25">
        <f>+'Entrate tot e finalizzati'!C257-'Entrate tot e finalizzati'!D257</f>
        <v>0</v>
      </c>
      <c r="D257" s="25">
        <f>+'Entrate tot e finalizzati'!E257-'Entrate tot e finalizzati'!F257</f>
        <v>0</v>
      </c>
      <c r="E257" s="25">
        <f>+'Entrate tot e finalizzati'!G257-'Entrate tot e finalizzati'!H257</f>
        <v>0</v>
      </c>
      <c r="F257" s="25">
        <f>+'Entrate tot e finalizzati'!I257-'Entrate tot e finalizzati'!J257</f>
        <v>0</v>
      </c>
      <c r="G257" s="25">
        <f>+'Entrate tot e finalizzati'!K257-'Entrate tot e finalizzati'!L257</f>
        <v>0</v>
      </c>
      <c r="H257" s="25">
        <f>+'Entrate tot e finalizzati'!M257-'Entrate tot e finalizzati'!N257</f>
        <v>0</v>
      </c>
      <c r="I257" s="25">
        <f>+'Entrate tot e finalizzati'!O257-'Entrate tot e finalizzati'!P257</f>
        <v>0</v>
      </c>
      <c r="J257" s="25">
        <f>+'Entrate tot e finalizzati'!Q257-'Entrate tot e finalizzati'!R257</f>
        <v>0</v>
      </c>
      <c r="K257" s="25">
        <f>+'Entrate tot e finalizzati'!S257-'Entrate tot e finalizzati'!T257</f>
        <v>0</v>
      </c>
      <c r="L257" s="25">
        <f>+'Entrate tot e finalizzati'!U257-'Entrate tot e finalizzati'!V257</f>
        <v>0</v>
      </c>
      <c r="M257" s="39"/>
      <c r="N257" s="39"/>
      <c r="O257" s="39"/>
      <c r="P257" s="39"/>
      <c r="Q257" s="39"/>
      <c r="R257" s="39"/>
      <c r="S257" s="39"/>
      <c r="T257" s="39"/>
    </row>
    <row r="258" spans="1:20" s="2" customFormat="1" ht="12.75">
      <c r="A258" s="77" t="s">
        <v>110</v>
      </c>
      <c r="B258" s="78"/>
      <c r="C258" s="33">
        <f>+'Entrate tot e finalizzati'!C258-'Entrate tot e finalizzati'!D258</f>
        <v>0</v>
      </c>
      <c r="D258" s="33">
        <f>+'Entrate tot e finalizzati'!E258-'Entrate tot e finalizzati'!F258</f>
        <v>0</v>
      </c>
      <c r="E258" s="33">
        <f>+'Entrate tot e finalizzati'!G258-'Entrate tot e finalizzati'!H258</f>
        <v>0</v>
      </c>
      <c r="F258" s="33">
        <f>+'Entrate tot e finalizzati'!I258-'Entrate tot e finalizzati'!J258</f>
        <v>0</v>
      </c>
      <c r="G258" s="33">
        <f>+'Entrate tot e finalizzati'!K258-'Entrate tot e finalizzati'!L258</f>
        <v>0</v>
      </c>
      <c r="H258" s="33">
        <f>+'Entrate tot e finalizzati'!M258-'Entrate tot e finalizzati'!N258</f>
        <v>0</v>
      </c>
      <c r="I258" s="33">
        <f>+'Entrate tot e finalizzati'!O258-'Entrate tot e finalizzati'!P258</f>
        <v>0</v>
      </c>
      <c r="J258" s="33">
        <f>+'Entrate tot e finalizzati'!Q258-'Entrate tot e finalizzati'!R258</f>
        <v>0</v>
      </c>
      <c r="K258" s="33">
        <f>+'Entrate tot e finalizzati'!S258-'Entrate tot e finalizzati'!T258</f>
        <v>0</v>
      </c>
      <c r="L258" s="33">
        <f>+'Entrate tot e finalizzati'!U258-'Entrate tot e finalizzati'!V258</f>
        <v>0</v>
      </c>
      <c r="M258" s="116"/>
      <c r="N258" s="116"/>
      <c r="O258" s="116"/>
      <c r="P258" s="116"/>
      <c r="Q258" s="116"/>
      <c r="R258" s="116"/>
      <c r="S258" s="116"/>
      <c r="T258" s="116"/>
    </row>
    <row r="259" spans="1:20" s="2" customFormat="1" ht="12.75">
      <c r="A259" s="92"/>
      <c r="B259" s="34" t="s">
        <v>117</v>
      </c>
      <c r="C259" s="24">
        <f>+'Entrate tot e finalizzati'!C259-'Entrate tot e finalizzati'!D259</f>
        <v>0</v>
      </c>
      <c r="D259" s="22">
        <f>+'Entrate tot e finalizzati'!E259-'Entrate tot e finalizzati'!F259</f>
        <v>0</v>
      </c>
      <c r="E259" s="24">
        <f>+'Entrate tot e finalizzati'!G259-'Entrate tot e finalizzati'!H259</f>
        <v>0</v>
      </c>
      <c r="F259" s="24">
        <f>+'Entrate tot e finalizzati'!I259-'Entrate tot e finalizzati'!J259</f>
        <v>0</v>
      </c>
      <c r="G259" s="22">
        <f>+'Entrate tot e finalizzati'!K259-'Entrate tot e finalizzati'!L259</f>
        <v>0</v>
      </c>
      <c r="H259" s="22">
        <f>+'Entrate tot e finalizzati'!M259-'Entrate tot e finalizzati'!N259</f>
        <v>0</v>
      </c>
      <c r="I259" s="22">
        <f>+'Entrate tot e finalizzati'!O259-'Entrate tot e finalizzati'!P259</f>
        <v>0</v>
      </c>
      <c r="J259" s="22">
        <f>+'Entrate tot e finalizzati'!Q259-'Entrate tot e finalizzati'!R259</f>
        <v>0</v>
      </c>
      <c r="K259" s="22">
        <f>+'Entrate tot e finalizzati'!S259-'Entrate tot e finalizzati'!T259</f>
        <v>0</v>
      </c>
      <c r="L259" s="22">
        <f>+'Entrate tot e finalizzati'!U259-'Entrate tot e finalizzati'!V259</f>
        <v>0</v>
      </c>
      <c r="M259" s="39"/>
      <c r="N259" s="39"/>
      <c r="O259" s="39"/>
      <c r="P259" s="39"/>
      <c r="Q259" s="39"/>
      <c r="R259" s="39"/>
      <c r="S259" s="39"/>
      <c r="T259" s="39"/>
    </row>
    <row r="260" spans="1:20" s="2" customFormat="1" ht="12.75">
      <c r="A260" s="56"/>
      <c r="B260" s="57" t="s">
        <v>67</v>
      </c>
      <c r="C260" s="62">
        <f>+'Entrate tot e finalizzati'!C260-'Entrate tot e finalizzati'!D260</f>
        <v>0</v>
      </c>
      <c r="D260" s="62">
        <f>+'Entrate tot e finalizzati'!E260-'Entrate tot e finalizzati'!F260</f>
        <v>0</v>
      </c>
      <c r="E260" s="62">
        <f>+'Entrate tot e finalizzati'!G260-'Entrate tot e finalizzati'!H260</f>
        <v>0</v>
      </c>
      <c r="F260" s="62">
        <f>+'Entrate tot e finalizzati'!I260-'Entrate tot e finalizzati'!J260</f>
        <v>0</v>
      </c>
      <c r="G260" s="38">
        <f>+'Entrate tot e finalizzati'!K260-'Entrate tot e finalizzati'!L260</f>
        <v>0</v>
      </c>
      <c r="H260" s="38">
        <f>+'Entrate tot e finalizzati'!M260-'Entrate tot e finalizzati'!N260</f>
        <v>0</v>
      </c>
      <c r="I260" s="38">
        <f>+'Entrate tot e finalizzati'!O260-'Entrate tot e finalizzati'!P260</f>
        <v>0</v>
      </c>
      <c r="J260" s="38">
        <f>+'Entrate tot e finalizzati'!Q260-'Entrate tot e finalizzati'!R260</f>
        <v>0</v>
      </c>
      <c r="K260" s="38">
        <f>+'Entrate tot e finalizzati'!S260-'Entrate tot e finalizzati'!T260</f>
        <v>0</v>
      </c>
      <c r="L260" s="38">
        <f>+'Entrate tot e finalizzati'!U260-'Entrate tot e finalizzati'!V260</f>
        <v>0</v>
      </c>
      <c r="M260" s="39"/>
      <c r="N260" s="39"/>
      <c r="O260" s="39"/>
      <c r="P260" s="39"/>
      <c r="Q260" s="39"/>
      <c r="R260" s="39"/>
      <c r="S260" s="39"/>
      <c r="T260" s="39"/>
    </row>
    <row r="261" spans="1:20" s="2" customFormat="1" ht="12.75">
      <c r="A261" s="77" t="s">
        <v>121</v>
      </c>
      <c r="B261" s="78"/>
      <c r="C261" s="33">
        <f>+'Entrate tot e finalizzati'!C261-'Entrate tot e finalizzati'!D261</f>
        <v>0</v>
      </c>
      <c r="D261" s="33">
        <f>+'Entrate tot e finalizzati'!E261-'Entrate tot e finalizzati'!F261</f>
        <v>0</v>
      </c>
      <c r="E261" s="33">
        <f>+'Entrate tot e finalizzati'!G261-'Entrate tot e finalizzati'!H261</f>
        <v>0</v>
      </c>
      <c r="F261" s="33">
        <f>+'Entrate tot e finalizzati'!I261-'Entrate tot e finalizzati'!J261</f>
        <v>0</v>
      </c>
      <c r="G261" s="33">
        <f>+'Entrate tot e finalizzati'!K261-'Entrate tot e finalizzati'!L261</f>
        <v>0</v>
      </c>
      <c r="H261" s="33">
        <f>+'Entrate tot e finalizzati'!M261-'Entrate tot e finalizzati'!N261</f>
        <v>0</v>
      </c>
      <c r="I261" s="33">
        <f>+'Entrate tot e finalizzati'!O261-'Entrate tot e finalizzati'!P261</f>
        <v>0</v>
      </c>
      <c r="J261" s="33">
        <f>+'Entrate tot e finalizzati'!Q261-'Entrate tot e finalizzati'!R261</f>
        <v>0</v>
      </c>
      <c r="K261" s="33">
        <f>+'Entrate tot e finalizzati'!S261-'Entrate tot e finalizzati'!T261</f>
        <v>0</v>
      </c>
      <c r="L261" s="33">
        <f>+'Entrate tot e finalizzati'!U261-'Entrate tot e finalizzati'!V261</f>
        <v>0</v>
      </c>
      <c r="M261" s="116"/>
      <c r="N261" s="116"/>
      <c r="O261" s="116"/>
      <c r="P261" s="116"/>
      <c r="Q261" s="116"/>
      <c r="R261" s="116"/>
      <c r="S261" s="116"/>
      <c r="T261" s="116"/>
    </row>
    <row r="262" spans="1:20" s="2" customFormat="1" ht="12.75">
      <c r="A262" s="92"/>
      <c r="B262" s="34" t="s">
        <v>117</v>
      </c>
      <c r="C262" s="24">
        <f>+'Entrate tot e finalizzati'!C262-'Entrate tot e finalizzati'!D262</f>
        <v>0</v>
      </c>
      <c r="D262" s="22">
        <f>+'Entrate tot e finalizzati'!E262-'Entrate tot e finalizzati'!F262</f>
        <v>0</v>
      </c>
      <c r="E262" s="24">
        <f>+'Entrate tot e finalizzati'!G262-'Entrate tot e finalizzati'!H262</f>
        <v>0</v>
      </c>
      <c r="F262" s="24">
        <f>+'Entrate tot e finalizzati'!I262-'Entrate tot e finalizzati'!J262</f>
        <v>0</v>
      </c>
      <c r="G262" s="22">
        <f>+'Entrate tot e finalizzati'!K262-'Entrate tot e finalizzati'!L262</f>
        <v>0</v>
      </c>
      <c r="H262" s="22">
        <f>+'Entrate tot e finalizzati'!M262-'Entrate tot e finalizzati'!N262</f>
        <v>0</v>
      </c>
      <c r="I262" s="22">
        <f>+'Entrate tot e finalizzati'!O262-'Entrate tot e finalizzati'!P262</f>
        <v>0</v>
      </c>
      <c r="J262" s="22">
        <f>+'Entrate tot e finalizzati'!Q262-'Entrate tot e finalizzati'!R262</f>
        <v>0</v>
      </c>
      <c r="K262" s="22">
        <f>+'Entrate tot e finalizzati'!S262-'Entrate tot e finalizzati'!T262</f>
        <v>0</v>
      </c>
      <c r="L262" s="22">
        <f>+'Entrate tot e finalizzati'!U262-'Entrate tot e finalizzati'!V262</f>
        <v>0</v>
      </c>
      <c r="M262" s="39"/>
      <c r="N262" s="39"/>
      <c r="O262" s="39"/>
      <c r="P262" s="39"/>
      <c r="Q262" s="39"/>
      <c r="R262" s="39"/>
      <c r="S262" s="39"/>
      <c r="T262" s="39"/>
    </row>
    <row r="263" spans="1:20" s="2" customFormat="1" ht="12.75">
      <c r="A263" s="56"/>
      <c r="B263" s="57" t="s">
        <v>67</v>
      </c>
      <c r="C263" s="62">
        <f>+'Entrate tot e finalizzati'!C263-'Entrate tot e finalizzati'!D263</f>
        <v>0</v>
      </c>
      <c r="D263" s="62">
        <f>+'Entrate tot e finalizzati'!E263-'Entrate tot e finalizzati'!F263</f>
        <v>0</v>
      </c>
      <c r="E263" s="62">
        <f>+'Entrate tot e finalizzati'!G263-'Entrate tot e finalizzati'!H263</f>
        <v>0</v>
      </c>
      <c r="F263" s="62">
        <f>+'Entrate tot e finalizzati'!I263-'Entrate tot e finalizzati'!J263</f>
        <v>0</v>
      </c>
      <c r="G263" s="38">
        <f>+'Entrate tot e finalizzati'!K263-'Entrate tot e finalizzati'!L263</f>
        <v>0</v>
      </c>
      <c r="H263" s="38">
        <f>+'Entrate tot e finalizzati'!M263-'Entrate tot e finalizzati'!N263</f>
        <v>0</v>
      </c>
      <c r="I263" s="38">
        <f>+'Entrate tot e finalizzati'!O263-'Entrate tot e finalizzati'!P263</f>
        <v>0</v>
      </c>
      <c r="J263" s="38">
        <f>+'Entrate tot e finalizzati'!Q263-'Entrate tot e finalizzati'!R263</f>
        <v>0</v>
      </c>
      <c r="K263" s="38">
        <f>+'Entrate tot e finalizzati'!S263-'Entrate tot e finalizzati'!T263</f>
        <v>0</v>
      </c>
      <c r="L263" s="38">
        <f>+'Entrate tot e finalizzati'!U263-'Entrate tot e finalizzati'!V263</f>
        <v>0</v>
      </c>
      <c r="M263" s="39"/>
      <c r="N263" s="39"/>
      <c r="O263" s="39"/>
      <c r="P263" s="39"/>
      <c r="Q263" s="39"/>
      <c r="R263" s="39"/>
      <c r="S263" s="39"/>
      <c r="T263" s="39"/>
    </row>
    <row r="264" spans="1:20" s="2" customFormat="1" ht="12.75">
      <c r="A264" s="77" t="s">
        <v>5</v>
      </c>
      <c r="B264" s="78"/>
      <c r="C264" s="33">
        <f>+'Entrate tot e finalizzati'!C264-'Entrate tot e finalizzati'!D264</f>
        <v>0</v>
      </c>
      <c r="D264" s="33">
        <f>+'Entrate tot e finalizzati'!E264-'Entrate tot e finalizzati'!F264</f>
        <v>0</v>
      </c>
      <c r="E264" s="33">
        <f>+'Entrate tot e finalizzati'!G264-'Entrate tot e finalizzati'!H264</f>
        <v>0</v>
      </c>
      <c r="F264" s="33">
        <f>+'Entrate tot e finalizzati'!I264-'Entrate tot e finalizzati'!J264</f>
        <v>0</v>
      </c>
      <c r="G264" s="33">
        <f>+'Entrate tot e finalizzati'!K264-'Entrate tot e finalizzati'!L264</f>
        <v>0</v>
      </c>
      <c r="H264" s="33">
        <f>+'Entrate tot e finalizzati'!M264-'Entrate tot e finalizzati'!N264</f>
        <v>1</v>
      </c>
      <c r="I264" s="33">
        <f>+'Entrate tot e finalizzati'!O264-'Entrate tot e finalizzati'!P264</f>
        <v>0</v>
      </c>
      <c r="J264" s="33">
        <f>+'Entrate tot e finalizzati'!Q264-'Entrate tot e finalizzati'!R264</f>
        <v>0</v>
      </c>
      <c r="K264" s="33">
        <f>+'Entrate tot e finalizzati'!S264-'Entrate tot e finalizzati'!T264</f>
        <v>0</v>
      </c>
      <c r="L264" s="33">
        <f>+'Entrate tot e finalizzati'!U264-'Entrate tot e finalizzati'!V264</f>
        <v>0</v>
      </c>
      <c r="M264" s="116"/>
      <c r="N264" s="116"/>
      <c r="O264" s="116"/>
      <c r="P264" s="116"/>
      <c r="Q264" s="116"/>
      <c r="R264" s="116"/>
      <c r="S264" s="116"/>
      <c r="T264" s="116"/>
    </row>
    <row r="265" spans="1:20" s="2" customFormat="1" ht="12.75">
      <c r="A265" s="92"/>
      <c r="B265" s="34" t="s">
        <v>36</v>
      </c>
      <c r="C265" s="24">
        <f>+'Entrate tot e finalizzati'!C265-'Entrate tot e finalizzati'!D265</f>
        <v>0</v>
      </c>
      <c r="D265" s="24">
        <f>+'Entrate tot e finalizzati'!E265-'Entrate tot e finalizzati'!F265</f>
        <v>0</v>
      </c>
      <c r="E265" s="24">
        <f>+'Entrate tot e finalizzati'!G265-'Entrate tot e finalizzati'!H265</f>
        <v>0</v>
      </c>
      <c r="F265" s="24">
        <f>+'Entrate tot e finalizzati'!I265-'Entrate tot e finalizzati'!J265</f>
        <v>0</v>
      </c>
      <c r="G265" s="22">
        <f>+'Entrate tot e finalizzati'!K265-'Entrate tot e finalizzati'!L265</f>
        <v>0</v>
      </c>
      <c r="H265" s="22">
        <f>+'Entrate tot e finalizzati'!M265-'Entrate tot e finalizzati'!N265</f>
        <v>1</v>
      </c>
      <c r="I265" s="22">
        <f>+'Entrate tot e finalizzati'!O265-'Entrate tot e finalizzati'!P265</f>
        <v>0</v>
      </c>
      <c r="J265" s="22">
        <f>+'Entrate tot e finalizzati'!Q265-'Entrate tot e finalizzati'!R265</f>
        <v>0</v>
      </c>
      <c r="K265" s="22">
        <f>+'Entrate tot e finalizzati'!S265-'Entrate tot e finalizzati'!T265</f>
        <v>0</v>
      </c>
      <c r="L265" s="22">
        <f>+'Entrate tot e finalizzati'!U265-'Entrate tot e finalizzati'!V265</f>
        <v>0</v>
      </c>
      <c r="M265" s="39"/>
      <c r="N265" s="39"/>
      <c r="O265" s="39"/>
      <c r="P265" s="39"/>
      <c r="Q265" s="39"/>
      <c r="R265" s="39"/>
      <c r="S265" s="39"/>
      <c r="T265" s="39"/>
    </row>
    <row r="266" spans="1:20" s="2" customFormat="1" ht="12.75">
      <c r="A266" s="56"/>
      <c r="B266" s="57" t="s">
        <v>67</v>
      </c>
      <c r="C266" s="62">
        <f>+'Entrate tot e finalizzati'!C266-'Entrate tot e finalizzati'!D266</f>
        <v>0</v>
      </c>
      <c r="D266" s="62">
        <f>+'Entrate tot e finalizzati'!E266-'Entrate tot e finalizzati'!F266</f>
        <v>0</v>
      </c>
      <c r="E266" s="62">
        <f>+'Entrate tot e finalizzati'!G266-'Entrate tot e finalizzati'!H266</f>
        <v>0</v>
      </c>
      <c r="F266" s="62">
        <f>+'Entrate tot e finalizzati'!I266-'Entrate tot e finalizzati'!J266</f>
        <v>0</v>
      </c>
      <c r="G266" s="38">
        <f>+'Entrate tot e finalizzati'!K266-'Entrate tot e finalizzati'!L266</f>
        <v>0</v>
      </c>
      <c r="H266" s="38">
        <f>+'Entrate tot e finalizzati'!M266-'Entrate tot e finalizzati'!N266</f>
        <v>0</v>
      </c>
      <c r="I266" s="38">
        <f>+'Entrate tot e finalizzati'!O266-'Entrate tot e finalizzati'!P266</f>
        <v>0</v>
      </c>
      <c r="J266" s="38">
        <f>+'Entrate tot e finalizzati'!Q266-'Entrate tot e finalizzati'!R266</f>
        <v>0</v>
      </c>
      <c r="K266" s="38">
        <f>+'Entrate tot e finalizzati'!S266-'Entrate tot e finalizzati'!T266</f>
        <v>0</v>
      </c>
      <c r="L266" s="38">
        <f>+'Entrate tot e finalizzati'!U266-'Entrate tot e finalizzati'!V266</f>
        <v>0</v>
      </c>
      <c r="M266" s="39"/>
      <c r="N266" s="39"/>
      <c r="O266" s="39"/>
      <c r="P266" s="39"/>
      <c r="Q266" s="39"/>
      <c r="R266" s="39"/>
      <c r="S266" s="39"/>
      <c r="T266" s="39"/>
    </row>
    <row r="267" spans="1:20" s="2" customFormat="1" ht="15.75">
      <c r="A267" s="107" t="s">
        <v>7</v>
      </c>
      <c r="B267" s="108"/>
      <c r="C267" s="82">
        <f>+'Entrate tot e finalizzati'!C267-'Entrate tot e finalizzati'!D267</f>
        <v>410494</v>
      </c>
      <c r="D267" s="82">
        <f>+'Entrate tot e finalizzati'!E267-'Entrate tot e finalizzati'!F267</f>
        <v>407936</v>
      </c>
      <c r="E267" s="82">
        <f>+'Entrate tot e finalizzati'!G267-'Entrate tot e finalizzati'!H267</f>
        <v>417565</v>
      </c>
      <c r="F267" s="82">
        <f>+'Entrate tot e finalizzati'!I267-'Entrate tot e finalizzati'!J267</f>
        <v>435182</v>
      </c>
      <c r="G267" s="82">
        <f>+'Entrate tot e finalizzati'!K267-'Entrate tot e finalizzati'!L267</f>
        <v>450277</v>
      </c>
      <c r="H267" s="82">
        <f>+'Entrate tot e finalizzati'!M267-'Entrate tot e finalizzati'!N267</f>
        <v>472130</v>
      </c>
      <c r="I267" s="82">
        <f>+'Entrate tot e finalizzati'!O267-'Entrate tot e finalizzati'!P267</f>
        <v>475519</v>
      </c>
      <c r="J267" s="82">
        <f>+'Entrate tot e finalizzati'!Q267-'Entrate tot e finalizzati'!R267</f>
        <v>487230</v>
      </c>
      <c r="K267" s="82">
        <f>+'Entrate tot e finalizzati'!S267-'Entrate tot e finalizzati'!T267</f>
        <v>476218</v>
      </c>
      <c r="L267" s="82">
        <f>+'Entrate tot e finalizzati'!U267-'Entrate tot e finalizzati'!V267</f>
        <v>503464</v>
      </c>
      <c r="M267" s="39"/>
      <c r="N267" s="39"/>
      <c r="O267" s="39"/>
      <c r="P267" s="39"/>
      <c r="Q267" s="39"/>
      <c r="R267" s="39"/>
      <c r="S267" s="39"/>
      <c r="T267" s="39"/>
    </row>
    <row r="268" spans="2:20" s="2" customFormat="1" ht="20.25" customHeight="1">
      <c r="B268" s="64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39"/>
      <c r="N268" s="39"/>
      <c r="O268" s="39"/>
      <c r="P268" s="39"/>
      <c r="Q268" s="39"/>
      <c r="R268" s="39"/>
      <c r="S268" s="39"/>
      <c r="T268" s="39"/>
    </row>
    <row r="269" ht="12.75">
      <c r="A269" s="90" t="s">
        <v>84</v>
      </c>
    </row>
    <row r="272" ht="12.75">
      <c r="G272" s="4"/>
    </row>
    <row r="454" ht="12.75">
      <c r="C454" s="4" t="s">
        <v>8</v>
      </c>
    </row>
  </sheetData>
  <printOptions/>
  <pageMargins left="0.51" right="0.21" top="0.42" bottom="0.36" header="0.26" footer="0.19"/>
  <pageSetup horizontalDpi="600" verticalDpi="600" orientation="landscape" paperSize="9" scale="95" r:id="rId1"/>
  <rowBreaks count="6" manualBreakCount="6">
    <brk id="48" max="13" man="1"/>
    <brk id="79" max="13" man="1"/>
    <brk id="115" max="13" man="1"/>
    <brk id="150" max="13" man="1"/>
    <brk id="188" max="13" man="1"/>
    <brk id="2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rcorsini</cp:lastModifiedBy>
  <cp:lastPrinted>2006-06-07T07:27:48Z</cp:lastPrinted>
  <dcterms:created xsi:type="dcterms:W3CDTF">2000-04-21T08:37:10Z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