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Quart cons spec" sheetId="1" r:id="rId1"/>
  </sheets>
  <definedNames>
    <definedName name="_xlnm.Print_Area" localSheetId="0">'Quart cons spec'!$A$1:$U$62</definedName>
    <definedName name="_xlnm.Print_Titles" localSheetId="0">'Quart cons spec'!$1:$5</definedName>
  </definedNames>
  <calcPr fullCalcOnLoad="1"/>
</workbook>
</file>

<file path=xl/sharedStrings.xml><?xml version="1.0" encoding="utf-8"?>
<sst xmlns="http://schemas.openxmlformats.org/spreadsheetml/2006/main" count="61" uniqueCount="51">
  <si>
    <t>CONS</t>
  </si>
  <si>
    <t>D</t>
  </si>
  <si>
    <t>SU PRC2</t>
  </si>
  <si>
    <t>SERVIZI SOCIO ASSISTENZIALI</t>
  </si>
  <si>
    <t>Case protette e RSA</t>
  </si>
  <si>
    <t>Assistenza domiciliare</t>
  </si>
  <si>
    <t>Centri diurni</t>
  </si>
  <si>
    <t>Telesoccorso</t>
  </si>
  <si>
    <t>Buoni mensa</t>
  </si>
  <si>
    <t>Altri servizi socio-assistenziali</t>
  </si>
  <si>
    <t>Progetto integrato scuola dell'infanzia</t>
  </si>
  <si>
    <t>Estate in città</t>
  </si>
  <si>
    <t>Trasporto (mezzi)</t>
  </si>
  <si>
    <t xml:space="preserve">Assistenza alunni con handicap </t>
  </si>
  <si>
    <t>Servizi integrativi</t>
  </si>
  <si>
    <t>SPORT / CULTURA E GIOVANI</t>
  </si>
  <si>
    <t>Biblioteche</t>
  </si>
  <si>
    <t>Giovani</t>
  </si>
  <si>
    <t>TOTALE QUARTIERI</t>
  </si>
  <si>
    <t>TOTALE  QUARTIERI</t>
  </si>
  <si>
    <t>****</t>
  </si>
  <si>
    <t xml:space="preserve">QUARTIERI AGGREGATI </t>
  </si>
  <si>
    <t>Vacanze anziani</t>
  </si>
  <si>
    <t>Aiuti all'autonomia</t>
  </si>
  <si>
    <t>INDICE INFLAZIONE</t>
  </si>
  <si>
    <t>INDICE CONSUMI SPECIFICI</t>
  </si>
  <si>
    <t xml:space="preserve">Case di riposo </t>
  </si>
  <si>
    <t>Libere Forme Associative</t>
  </si>
  <si>
    <t>Nomadi</t>
  </si>
  <si>
    <t>Incarichi professionali</t>
  </si>
  <si>
    <t>Attività promozionali</t>
  </si>
  <si>
    <t>Costi di servizio-Direzione</t>
  </si>
  <si>
    <t>COORDINAMENTO SERVIZI SCOLASTICI</t>
  </si>
  <si>
    <t>Costi di servizio</t>
  </si>
  <si>
    <t>SCUOLA DELL'INFANZIA</t>
  </si>
  <si>
    <t>Costi di servizio-scuola infanzia</t>
  </si>
  <si>
    <t>DIRITTO ALLO STUDIO E ALTRE STRUTTURE EDUCATIVE</t>
  </si>
  <si>
    <t>Trasporto individuale</t>
  </si>
  <si>
    <t>Trasporto collettivo scolastico</t>
  </si>
  <si>
    <t>Iniziative di supporto</t>
  </si>
  <si>
    <t>Sport</t>
  </si>
  <si>
    <t>Attività culturali</t>
  </si>
  <si>
    <t>1: 107 estate in città handicap, 101 prestazioni professionali e contributi vari, 14 acquisto beni durevoli.</t>
  </si>
  <si>
    <t>2: 322 estate in città fascia grandi, 66 centro diurno di Savena in convenzione, 53 sperimentazioni assistenza domiciliare, 88 contributi vari ed altro.</t>
  </si>
  <si>
    <t>3: 543 estate in città grandi, 196 centro diurno Savena, 64 sperimentazioni assistenza domiciliare, 62 convenzioni CAF, 58 Piano Offerta Formativa, 29 altro.</t>
  </si>
  <si>
    <t>4: di cui 132 per strumentazione e arredi nuovi urp di quartiere</t>
  </si>
  <si>
    <t>5: 394 per passaggio a convenzione di nuovi impianti sportivi nei quartieri, 131 centro diurno di Savena, 83 estate in città 12-14 anni, 51 CAF, 33 altro.</t>
  </si>
  <si>
    <t>DIREZIONE, AFFARI GENERALI E ISTITUZIONALI</t>
  </si>
  <si>
    <t>TOTALE CONSUMI  SPECIFICI</t>
  </si>
  <si>
    <t>COORDINAMENTO AMMINISTRATIVO QUARTIERI</t>
  </si>
  <si>
    <t>QUARTIERI CONSUMI SPECIFICI: SERIE STORICA (1998- 2007)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</si>
</sst>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.0"/>
    <numFmt numFmtId="173" formatCode="#,##0.000"/>
    <numFmt numFmtId="174" formatCode="\(0\)"/>
  </numFmts>
  <fonts count="7">
    <font>
      <sz val="10"/>
      <name val="Arial"/>
      <family val="0"/>
    </font>
    <font>
      <b/>
      <sz val="11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b/>
      <sz val="10"/>
      <name val="Symbol"/>
      <family val="1"/>
    </font>
    <font>
      <b/>
      <sz val="9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3" fontId="5" fillId="0" borderId="5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3" fontId="3" fillId="0" borderId="6" xfId="0" applyNumberFormat="1" applyFont="1" applyBorder="1" applyAlignment="1">
      <alignment horizontal="right"/>
    </xf>
    <xf numFmtId="0" fontId="3" fillId="0" borderId="7" xfId="0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6" xfId="0" applyNumberFormat="1" applyFont="1" applyBorder="1" applyAlignment="1">
      <alignment horizontal="left"/>
    </xf>
    <xf numFmtId="0" fontId="0" fillId="0" borderId="7" xfId="0" applyBorder="1" applyAlignment="1">
      <alignment/>
    </xf>
    <xf numFmtId="0" fontId="3" fillId="0" borderId="3" xfId="0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3" fillId="0" borderId="4" xfId="0" applyFont="1" applyBorder="1" applyAlignment="1">
      <alignment horizontal="centerContinuous"/>
    </xf>
    <xf numFmtId="3" fontId="3" fillId="0" borderId="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6" xfId="0" applyFont="1" applyBorder="1" applyAlignment="1">
      <alignment horizontal="right"/>
    </xf>
    <xf numFmtId="3" fontId="1" fillId="0" borderId="0" xfId="0" applyNumberFormat="1" applyFont="1" applyAlignment="1">
      <alignment horizontal="left"/>
    </xf>
    <xf numFmtId="3" fontId="3" fillId="0" borderId="6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2" fillId="0" borderId="12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174" fontId="3" fillId="0" borderId="11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0" fillId="0" borderId="11" xfId="0" applyNumberFormat="1" applyBorder="1" applyAlignment="1">
      <alignment/>
    </xf>
    <xf numFmtId="0" fontId="3" fillId="0" borderId="4" xfId="0" applyFont="1" applyBorder="1" applyAlignment="1">
      <alignment/>
    </xf>
    <xf numFmtId="3" fontId="3" fillId="0" borderId="14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 quotePrefix="1">
      <alignment horizontal="left"/>
    </xf>
    <xf numFmtId="49" fontId="0" fillId="0" borderId="0" xfId="0" applyNumberFormat="1" applyAlignment="1">
      <alignment/>
    </xf>
    <xf numFmtId="3" fontId="5" fillId="0" borderId="14" xfId="0" applyNumberFormat="1" applyFont="1" applyBorder="1" applyAlignment="1">
      <alignment horizontal="left"/>
    </xf>
    <xf numFmtId="3" fontId="2" fillId="0" borderId="4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23"/>
  <sheetViews>
    <sheetView tabSelected="1" workbookViewId="0" topLeftCell="A1">
      <selection activeCell="A1" sqref="A1:U62"/>
    </sheetView>
  </sheetViews>
  <sheetFormatPr defaultColWidth="9.140625" defaultRowHeight="12.75"/>
  <cols>
    <col min="1" max="1" width="40.7109375" style="0" customWidth="1"/>
    <col min="2" max="2" width="5.7109375" style="0" customWidth="1"/>
    <col min="3" max="3" width="4.8515625" style="4" customWidth="1"/>
    <col min="4" max="4" width="5.7109375" style="0" customWidth="1"/>
    <col min="5" max="5" width="4.8515625" style="0" customWidth="1"/>
    <col min="6" max="6" width="5.7109375" style="0" customWidth="1"/>
    <col min="7" max="7" width="4.8515625" style="0" customWidth="1"/>
    <col min="8" max="8" width="5.7109375" style="0" customWidth="1"/>
    <col min="9" max="9" width="4.8515625" style="0" customWidth="1"/>
    <col min="10" max="10" width="5.7109375" style="0" customWidth="1"/>
    <col min="11" max="11" width="4.8515625" style="0" bestFit="1" customWidth="1"/>
    <col min="12" max="12" width="5.7109375" style="0" bestFit="1" customWidth="1"/>
    <col min="13" max="13" width="4.8515625" style="0" bestFit="1" customWidth="1"/>
    <col min="14" max="14" width="5.7109375" style="0" bestFit="1" customWidth="1"/>
    <col min="15" max="15" width="4.8515625" style="0" bestFit="1" customWidth="1"/>
    <col min="16" max="16" width="5.7109375" style="0" customWidth="1"/>
    <col min="17" max="17" width="4.8515625" style="0" customWidth="1"/>
    <col min="18" max="18" width="5.7109375" style="0" customWidth="1"/>
    <col min="19" max="19" width="4.8515625" style="0" customWidth="1"/>
    <col min="20" max="20" width="5.7109375" style="0" customWidth="1"/>
    <col min="21" max="21" width="4.8515625" style="0" customWidth="1"/>
  </cols>
  <sheetData>
    <row r="1" spans="1:7" ht="15">
      <c r="A1" s="1" t="s">
        <v>50</v>
      </c>
      <c r="B1" s="36"/>
      <c r="C1" s="36"/>
      <c r="D1" s="36"/>
      <c r="E1" s="36"/>
      <c r="F1" s="36"/>
      <c r="G1" s="36"/>
    </row>
    <row r="2" spans="1:43" ht="12.75">
      <c r="A2" s="38"/>
      <c r="AQ2">
        <f>6+14+2+4+6+16+10+14+6</f>
        <v>78</v>
      </c>
    </row>
    <row r="3" ht="6" customHeight="1">
      <c r="A3" s="2"/>
    </row>
    <row r="4" spans="1:42" ht="12.75">
      <c r="A4" s="5"/>
      <c r="B4" s="7" t="s">
        <v>0</v>
      </c>
      <c r="C4" s="6"/>
      <c r="D4" s="7" t="s">
        <v>0</v>
      </c>
      <c r="E4" s="6"/>
      <c r="F4" s="7" t="s">
        <v>0</v>
      </c>
      <c r="G4" s="6"/>
      <c r="H4" s="7" t="s">
        <v>0</v>
      </c>
      <c r="I4" s="6"/>
      <c r="J4" s="7" t="s">
        <v>0</v>
      </c>
      <c r="K4" s="6"/>
      <c r="L4" s="7" t="s">
        <v>0</v>
      </c>
      <c r="M4" s="6"/>
      <c r="N4" s="7" t="s">
        <v>0</v>
      </c>
      <c r="O4" s="6"/>
      <c r="P4" s="7" t="s">
        <v>0</v>
      </c>
      <c r="Q4" s="6"/>
      <c r="R4" s="7" t="s">
        <v>0</v>
      </c>
      <c r="S4" s="6"/>
      <c r="T4" s="7" t="s">
        <v>0</v>
      </c>
      <c r="U4" s="6"/>
      <c r="AO4" s="9" t="s">
        <v>1</v>
      </c>
      <c r="AP4" s="8"/>
    </row>
    <row r="5" spans="1:42" ht="12.75">
      <c r="A5" s="51"/>
      <c r="B5" s="30">
        <v>1998</v>
      </c>
      <c r="C5" s="10"/>
      <c r="D5" s="30">
        <v>1999</v>
      </c>
      <c r="E5" s="10"/>
      <c r="F5" s="30">
        <v>2000</v>
      </c>
      <c r="G5" s="10"/>
      <c r="H5" s="30">
        <v>2001</v>
      </c>
      <c r="I5" s="10"/>
      <c r="J5" s="30">
        <v>2002</v>
      </c>
      <c r="K5" s="10"/>
      <c r="L5" s="30">
        <v>2003</v>
      </c>
      <c r="M5" s="10"/>
      <c r="N5" s="30">
        <v>2004</v>
      </c>
      <c r="O5" s="10"/>
      <c r="P5" s="30">
        <v>2005</v>
      </c>
      <c r="Q5" s="10"/>
      <c r="R5" s="30">
        <v>2006</v>
      </c>
      <c r="S5" s="10"/>
      <c r="T5" s="30">
        <v>2007</v>
      </c>
      <c r="U5" s="10"/>
      <c r="AO5" s="11" t="s">
        <v>2</v>
      </c>
      <c r="AP5" s="12"/>
    </row>
    <row r="6" spans="1:42" ht="12.75">
      <c r="A6" s="13" t="s">
        <v>18</v>
      </c>
      <c r="B6" s="14"/>
      <c r="C6" s="31"/>
      <c r="D6" s="14"/>
      <c r="E6" s="31"/>
      <c r="F6" s="14"/>
      <c r="G6" s="31"/>
      <c r="H6" s="14"/>
      <c r="I6" s="31"/>
      <c r="J6" s="14"/>
      <c r="K6" s="31"/>
      <c r="L6" s="14"/>
      <c r="M6" s="31"/>
      <c r="N6" s="14"/>
      <c r="O6" s="31"/>
      <c r="P6" s="14"/>
      <c r="Q6" s="31"/>
      <c r="R6" s="14"/>
      <c r="S6" s="31"/>
      <c r="T6" s="14"/>
      <c r="U6" s="31"/>
      <c r="AO6" s="14"/>
      <c r="AP6" s="15"/>
    </row>
    <row r="7" spans="1:42" ht="12.75">
      <c r="A7" s="16" t="s">
        <v>47</v>
      </c>
      <c r="B7" s="17">
        <f>SUM(C8:C8)</f>
        <v>512.3252438967706</v>
      </c>
      <c r="C7" s="21"/>
      <c r="D7" s="17">
        <f>SUM(E8:E8)</f>
        <v>445.18584701513737</v>
      </c>
      <c r="E7" s="21"/>
      <c r="F7" s="17">
        <f>SUM(G8:G10)</f>
        <v>1842.9045845878932</v>
      </c>
      <c r="G7" s="21"/>
      <c r="H7" s="17">
        <f>SUM(I8:I10)</f>
        <v>1975</v>
      </c>
      <c r="I7" s="21"/>
      <c r="J7" s="17">
        <f>SUM(K8:K10)</f>
        <v>1788</v>
      </c>
      <c r="K7" s="21"/>
      <c r="L7" s="17">
        <f>SUM(M8:M10)</f>
        <v>1513</v>
      </c>
      <c r="M7" s="21"/>
      <c r="N7" s="17">
        <f>SUM(O8:O10)</f>
        <v>1640</v>
      </c>
      <c r="O7" s="21"/>
      <c r="P7" s="17">
        <f>SUM(Q8:Q10)</f>
        <v>1694</v>
      </c>
      <c r="Q7" s="21"/>
      <c r="R7" s="17">
        <f>SUM(S8:S10)</f>
        <v>1839</v>
      </c>
      <c r="S7" s="21"/>
      <c r="T7" s="17">
        <f>SUM(U8:U10)</f>
        <v>1474</v>
      </c>
      <c r="U7" s="21"/>
      <c r="AO7" s="17" t="e">
        <f>SUM(AP8:AP8)</f>
        <v>#REF!</v>
      </c>
      <c r="AP7" s="18"/>
    </row>
    <row r="8" spans="1:42" ht="12.75">
      <c r="A8" s="19" t="s">
        <v>30</v>
      </c>
      <c r="B8" s="20"/>
      <c r="C8" s="21">
        <f>992/1.93627</f>
        <v>512.3252438967706</v>
      </c>
      <c r="D8" s="20"/>
      <c r="E8" s="21">
        <f>862/1.93627</f>
        <v>445.18584701513737</v>
      </c>
      <c r="F8" s="20"/>
      <c r="G8" s="21">
        <f>932/1.93627</f>
        <v>481.33782995140143</v>
      </c>
      <c r="H8" s="20"/>
      <c r="I8" s="39">
        <v>574</v>
      </c>
      <c r="J8" s="20"/>
      <c r="K8" s="18">
        <v>742</v>
      </c>
      <c r="L8" s="20"/>
      <c r="M8" s="21">
        <v>589</v>
      </c>
      <c r="N8" s="20"/>
      <c r="O8" s="21">
        <v>283</v>
      </c>
      <c r="P8" s="20"/>
      <c r="Q8" s="21">
        <v>385</v>
      </c>
      <c r="R8" s="20"/>
      <c r="S8" s="21">
        <v>292</v>
      </c>
      <c r="T8" s="20"/>
      <c r="U8" s="21">
        <v>250</v>
      </c>
      <c r="AO8" s="20"/>
      <c r="AP8" s="21" t="e">
        <f>+#REF!+#REF!+#REF!+#REF!+#REF!+#REF!+#REF!+#REF!+#REF!</f>
        <v>#REF!</v>
      </c>
    </row>
    <row r="9" spans="1:42" ht="12.75">
      <c r="A9" s="37" t="s">
        <v>27</v>
      </c>
      <c r="B9" s="20"/>
      <c r="C9" s="21"/>
      <c r="D9" s="20"/>
      <c r="E9" s="21"/>
      <c r="F9" s="20"/>
      <c r="G9" s="21"/>
      <c r="H9" s="20"/>
      <c r="I9" s="21"/>
      <c r="J9" s="20"/>
      <c r="K9" s="21">
        <v>130</v>
      </c>
      <c r="L9" s="20"/>
      <c r="M9" s="21">
        <v>168</v>
      </c>
      <c r="N9" s="20"/>
      <c r="O9" s="21">
        <v>290</v>
      </c>
      <c r="P9" s="20"/>
      <c r="Q9" s="21">
        <v>347</v>
      </c>
      <c r="R9" s="20"/>
      <c r="S9" s="21">
        <v>340</v>
      </c>
      <c r="T9" s="20"/>
      <c r="U9" s="21">
        <v>280</v>
      </c>
      <c r="AO9" s="20"/>
      <c r="AP9" s="21"/>
    </row>
    <row r="10" spans="1:42" ht="12.75">
      <c r="A10" s="19" t="s">
        <v>31</v>
      </c>
      <c r="B10" s="20"/>
      <c r="C10" s="21">
        <v>1000.3770135363354</v>
      </c>
      <c r="D10" s="20"/>
      <c r="E10" s="21">
        <v>1303.537213301864</v>
      </c>
      <c r="F10" s="20"/>
      <c r="G10" s="21">
        <v>1361.5667546364919</v>
      </c>
      <c r="H10" s="20"/>
      <c r="I10" s="39">
        <v>1401</v>
      </c>
      <c r="J10" s="20"/>
      <c r="K10" s="18">
        <v>916</v>
      </c>
      <c r="L10" s="20"/>
      <c r="M10" s="21">
        <v>756</v>
      </c>
      <c r="N10" s="20"/>
      <c r="O10" s="21">
        <v>1067</v>
      </c>
      <c r="P10" s="20"/>
      <c r="Q10" s="21">
        <v>962</v>
      </c>
      <c r="R10" s="20"/>
      <c r="S10" s="21">
        <v>1207</v>
      </c>
      <c r="T10" s="20"/>
      <c r="U10" s="21">
        <v>944</v>
      </c>
      <c r="AO10" s="20"/>
      <c r="AP10" s="21"/>
    </row>
    <row r="11" spans="1:42" ht="12.75">
      <c r="A11" s="37"/>
      <c r="B11" s="20"/>
      <c r="C11" s="21"/>
      <c r="D11" s="20"/>
      <c r="E11" s="21"/>
      <c r="F11" s="20"/>
      <c r="G11" s="21"/>
      <c r="H11" s="20"/>
      <c r="I11" s="21"/>
      <c r="J11" s="20"/>
      <c r="K11" s="21"/>
      <c r="L11" s="20"/>
      <c r="M11" s="21"/>
      <c r="N11" s="20"/>
      <c r="O11" s="21"/>
      <c r="P11" s="20"/>
      <c r="Q11" s="21"/>
      <c r="R11" s="20"/>
      <c r="S11" s="21"/>
      <c r="T11" s="20"/>
      <c r="U11" s="21"/>
      <c r="AO11" s="20"/>
      <c r="AP11" s="21"/>
    </row>
    <row r="12" spans="1:42" ht="12.75">
      <c r="A12" s="22" t="s">
        <v>3</v>
      </c>
      <c r="B12" s="17">
        <f>SUM(C13:C23)</f>
        <v>16879.360832941686</v>
      </c>
      <c r="C12" s="18"/>
      <c r="D12" s="17">
        <f>SUM(E13:E23)</f>
        <v>17634.420819410516</v>
      </c>
      <c r="E12" s="18"/>
      <c r="F12" s="17">
        <f>SUM(G13:G23)</f>
        <v>19079.53015333605</v>
      </c>
      <c r="G12" s="18"/>
      <c r="H12" s="17">
        <f>SUM(I13:I23)</f>
        <v>19557</v>
      </c>
      <c r="I12" s="18"/>
      <c r="J12" s="17">
        <f>SUM(K13:K23)</f>
        <v>19524</v>
      </c>
      <c r="K12" s="18"/>
      <c r="L12" s="17">
        <f>SUM(M13:M23)</f>
        <v>20882</v>
      </c>
      <c r="M12" s="18"/>
      <c r="N12" s="17">
        <f>SUM(O13:O23)</f>
        <v>20600</v>
      </c>
      <c r="O12" s="18"/>
      <c r="P12" s="17">
        <f>SUM(Q13:Q23)</f>
        <v>21308</v>
      </c>
      <c r="Q12" s="18"/>
      <c r="R12" s="17">
        <f>SUM(S13:S23)</f>
        <v>21055</v>
      </c>
      <c r="S12" s="18"/>
      <c r="T12" s="17">
        <f>SUM(U13:U23)</f>
        <v>21588</v>
      </c>
      <c r="U12" s="18"/>
      <c r="AO12" s="17" t="e">
        <f>SUM(AP13:AP21)</f>
        <v>#REF!</v>
      </c>
      <c r="AP12" s="18"/>
    </row>
    <row r="13" spans="1:42" ht="12.75">
      <c r="A13" s="19" t="s">
        <v>26</v>
      </c>
      <c r="B13" s="20"/>
      <c r="C13" s="21">
        <f>13648/1.93627</f>
        <v>7048.603758773312</v>
      </c>
      <c r="D13" s="20"/>
      <c r="E13" s="21">
        <f>11898/1.93627</f>
        <v>6144.80418536671</v>
      </c>
      <c r="F13" s="20"/>
      <c r="G13" s="21">
        <f>11736/1.93627</f>
        <v>6061.1381677142135</v>
      </c>
      <c r="H13" s="20"/>
      <c r="I13" s="21">
        <v>6220</v>
      </c>
      <c r="J13" s="20"/>
      <c r="K13" s="21">
        <v>5810</v>
      </c>
      <c r="L13" s="20"/>
      <c r="M13" s="21">
        <v>5768</v>
      </c>
      <c r="N13" s="20"/>
      <c r="O13" s="21">
        <v>5363</v>
      </c>
      <c r="P13" s="20"/>
      <c r="Q13" s="21">
        <v>5303</v>
      </c>
      <c r="R13" s="20"/>
      <c r="S13" s="21">
        <v>5167</v>
      </c>
      <c r="T13" s="20"/>
      <c r="U13" s="21">
        <v>4737</v>
      </c>
      <c r="AO13" s="20"/>
      <c r="AP13" s="21" t="e">
        <f>+#REF!+#REF!+#REF!+#REF!+#REF!+#REF!+#REF!+#REF!+#REF!</f>
        <v>#REF!</v>
      </c>
    </row>
    <row r="14" spans="1:42" ht="12.75">
      <c r="A14" s="19" t="s">
        <v>4</v>
      </c>
      <c r="B14" s="20"/>
      <c r="C14" s="21">
        <f>4722/1.93627</f>
        <v>2438.7094775005553</v>
      </c>
      <c r="D14" s="20"/>
      <c r="E14" s="21">
        <f>5361/1.93627</f>
        <v>2768.725436018737</v>
      </c>
      <c r="F14" s="20"/>
      <c r="G14" s="21">
        <f>5877/1.93627</f>
        <v>3035.2171959489124</v>
      </c>
      <c r="H14" s="20"/>
      <c r="I14" s="21">
        <v>3098</v>
      </c>
      <c r="J14" s="20"/>
      <c r="K14" s="21">
        <v>2711</v>
      </c>
      <c r="L14" s="20"/>
      <c r="M14" s="21">
        <v>3044</v>
      </c>
      <c r="N14" s="20"/>
      <c r="O14" s="21">
        <v>3214</v>
      </c>
      <c r="P14" s="20"/>
      <c r="Q14" s="21">
        <v>3013</v>
      </c>
      <c r="R14" s="20"/>
      <c r="S14" s="21">
        <v>2872</v>
      </c>
      <c r="T14" s="20"/>
      <c r="U14" s="21">
        <v>3034</v>
      </c>
      <c r="AO14" s="20"/>
      <c r="AP14" s="21" t="e">
        <f>+#REF!+#REF!+#REF!+#REF!+#REF!+#REF!+#REF!+#REF!+#REF!</f>
        <v>#REF!</v>
      </c>
    </row>
    <row r="15" spans="1:42" ht="12.75">
      <c r="A15" s="19" t="s">
        <v>5</v>
      </c>
      <c r="B15" s="20"/>
      <c r="C15" s="21">
        <f>8694/1.93627</f>
        <v>4490.076280683996</v>
      </c>
      <c r="D15" s="20"/>
      <c r="E15" s="21">
        <f>9920/1.93627</f>
        <v>5123.252438967706</v>
      </c>
      <c r="F15" s="20"/>
      <c r="G15" s="21">
        <f>11272/1.93627</f>
        <v>5821.502166536692</v>
      </c>
      <c r="H15" s="20"/>
      <c r="I15" s="21">
        <v>6070</v>
      </c>
      <c r="J15" s="20"/>
      <c r="K15" s="21">
        <v>6476</v>
      </c>
      <c r="L15" s="20"/>
      <c r="M15" s="21">
        <v>7189</v>
      </c>
      <c r="N15" s="20"/>
      <c r="O15" s="21">
        <v>6900</v>
      </c>
      <c r="P15" s="20"/>
      <c r="Q15" s="21">
        <v>7432</v>
      </c>
      <c r="R15" s="20"/>
      <c r="S15" s="21">
        <v>7634</v>
      </c>
      <c r="T15" s="20"/>
      <c r="U15" s="21">
        <v>8273</v>
      </c>
      <c r="AO15" s="20"/>
      <c r="AP15" s="21" t="e">
        <f>+#REF!+#REF!+#REF!+#REF!+#REF!+#REF!+#REF!+#REF!+#REF!</f>
        <v>#REF!</v>
      </c>
    </row>
    <row r="16" spans="1:42" ht="12.75">
      <c r="A16" s="19" t="s">
        <v>6</v>
      </c>
      <c r="B16" s="20"/>
      <c r="C16" s="21">
        <f>1882/1.93627</f>
        <v>971.9718840864136</v>
      </c>
      <c r="D16" s="20"/>
      <c r="E16" s="21">
        <f>2431/1.93627</f>
        <v>1255.5067216865416</v>
      </c>
      <c r="F16" s="20"/>
      <c r="G16" s="21">
        <f>2945/1.93627</f>
        <v>1520.9655678185377</v>
      </c>
      <c r="H16" s="20"/>
      <c r="I16" s="21">
        <v>1590</v>
      </c>
      <c r="J16" s="20"/>
      <c r="K16" s="21">
        <v>1820</v>
      </c>
      <c r="L16" s="20"/>
      <c r="M16" s="21">
        <v>2328</v>
      </c>
      <c r="N16" s="20"/>
      <c r="O16" s="21">
        <v>2649</v>
      </c>
      <c r="P16" s="20"/>
      <c r="Q16" s="21">
        <v>3039</v>
      </c>
      <c r="R16" s="20"/>
      <c r="S16" s="21">
        <v>3218</v>
      </c>
      <c r="T16" s="20"/>
      <c r="U16" s="21">
        <v>3455</v>
      </c>
      <c r="AO16" s="20"/>
      <c r="AP16" s="21" t="e">
        <f>+#REF!+#REF!+#REF!+#REF!+#REF!+#REF!+#REF!+#REF!+#REF!</f>
        <v>#REF!</v>
      </c>
    </row>
    <row r="17" spans="1:42" ht="12.75">
      <c r="A17" s="19" t="s">
        <v>7</v>
      </c>
      <c r="B17" s="20"/>
      <c r="C17" s="21">
        <f>99/1.93627</f>
        <v>51.12923300985916</v>
      </c>
      <c r="D17" s="20"/>
      <c r="E17" s="21">
        <f>287/1.93627</f>
        <v>148.22313003868263</v>
      </c>
      <c r="F17" s="20"/>
      <c r="G17" s="21">
        <f>273/1.93627</f>
        <v>140.9927334514298</v>
      </c>
      <c r="H17" s="20"/>
      <c r="I17" s="21">
        <v>136</v>
      </c>
      <c r="J17" s="20"/>
      <c r="K17" s="21">
        <v>5</v>
      </c>
      <c r="L17" s="20"/>
      <c r="M17" s="21">
        <v>116</v>
      </c>
      <c r="N17" s="20"/>
      <c r="O17" s="21">
        <v>96</v>
      </c>
      <c r="P17" s="20"/>
      <c r="Q17" s="21">
        <v>98</v>
      </c>
      <c r="R17" s="20"/>
      <c r="S17" s="21">
        <v>104</v>
      </c>
      <c r="T17" s="20"/>
      <c r="U17" s="21">
        <v>103</v>
      </c>
      <c r="AO17" s="20"/>
      <c r="AP17" s="21" t="e">
        <f>+#REF!+#REF!+#REF!+#REF!+#REF!+#REF!+#REF!+#REF!+#REF!</f>
        <v>#REF!</v>
      </c>
    </row>
    <row r="18" spans="1:42" ht="12.75">
      <c r="A18" s="19" t="s">
        <v>8</v>
      </c>
      <c r="B18" s="20"/>
      <c r="C18" s="21">
        <f>802/1.93627</f>
        <v>414.19843306976816</v>
      </c>
      <c r="D18" s="20"/>
      <c r="E18" s="21">
        <f>848/1.93627</f>
        <v>437.95545042788456</v>
      </c>
      <c r="F18" s="20"/>
      <c r="G18" s="21">
        <f>931/1.93627</f>
        <v>480.8213730523119</v>
      </c>
      <c r="H18" s="20"/>
      <c r="I18" s="21">
        <v>512</v>
      </c>
      <c r="J18" s="20"/>
      <c r="K18" s="21">
        <v>568</v>
      </c>
      <c r="L18" s="20"/>
      <c r="M18" s="21">
        <v>519</v>
      </c>
      <c r="N18" s="20"/>
      <c r="O18" s="21">
        <v>497</v>
      </c>
      <c r="P18" s="20"/>
      <c r="Q18" s="21">
        <v>487</v>
      </c>
      <c r="R18" s="20"/>
      <c r="S18" s="21">
        <v>460</v>
      </c>
      <c r="T18" s="20"/>
      <c r="U18" s="21">
        <v>478</v>
      </c>
      <c r="AO18" s="20"/>
      <c r="AP18" s="21" t="e">
        <f>+#REF!+#REF!+#REF!+#REF!+#REF!+#REF!+#REF!+#REF!+#REF!</f>
        <v>#REF!</v>
      </c>
    </row>
    <row r="19" spans="1:42" ht="12.75">
      <c r="A19" s="19" t="s">
        <v>22</v>
      </c>
      <c r="B19" s="20"/>
      <c r="C19" s="21">
        <f>286/1.93627</f>
        <v>147.70667313959314</v>
      </c>
      <c r="D19" s="20"/>
      <c r="E19" s="21">
        <f>434/1.93627</f>
        <v>224.14229420483716</v>
      </c>
      <c r="F19" s="20"/>
      <c r="G19" s="21">
        <f>410/1.93627</f>
        <v>211.74732862668947</v>
      </c>
      <c r="H19" s="20"/>
      <c r="I19" s="21">
        <v>273</v>
      </c>
      <c r="J19" s="20"/>
      <c r="K19" s="21">
        <v>176</v>
      </c>
      <c r="L19" s="20"/>
      <c r="M19" s="21">
        <v>156</v>
      </c>
      <c r="N19" s="20"/>
      <c r="O19" s="21">
        <v>157</v>
      </c>
      <c r="P19" s="20"/>
      <c r="Q19" s="21">
        <v>190</v>
      </c>
      <c r="R19" s="20"/>
      <c r="S19" s="21">
        <v>183</v>
      </c>
      <c r="T19" s="20"/>
      <c r="U19" s="21">
        <v>123</v>
      </c>
      <c r="AO19" s="20"/>
      <c r="AP19" s="21" t="e">
        <f>+#REF!+#REF!+#REF!+#REF!+#REF!+#REF!+#REF!+#REF!+#REF!</f>
        <v>#REF!</v>
      </c>
    </row>
    <row r="20" spans="1:42" ht="12.75">
      <c r="A20" s="19" t="s">
        <v>9</v>
      </c>
      <c r="B20" s="20"/>
      <c r="C20" s="21">
        <f>2301/1.93627</f>
        <v>1188.3673248049085</v>
      </c>
      <c r="D20" s="20"/>
      <c r="E20" s="21">
        <f>2510/1.93627</f>
        <v>1296.3068167146112</v>
      </c>
      <c r="F20" s="20"/>
      <c r="G20" s="21">
        <f>2590/1.93627+15+10+130</f>
        <v>1492.62336864177</v>
      </c>
      <c r="H20" s="20"/>
      <c r="I20" s="21">
        <v>1309</v>
      </c>
      <c r="J20" s="20"/>
      <c r="K20" s="21">
        <v>1728</v>
      </c>
      <c r="L20" s="20"/>
      <c r="M20" s="21">
        <v>1517</v>
      </c>
      <c r="N20" s="20"/>
      <c r="O20" s="21">
        <v>1472</v>
      </c>
      <c r="P20" s="20"/>
      <c r="Q20" s="21">
        <v>1537</v>
      </c>
      <c r="R20" s="20"/>
      <c r="S20" s="21">
        <v>1371</v>
      </c>
      <c r="T20" s="20"/>
      <c r="U20" s="21">
        <v>1314</v>
      </c>
      <c r="AO20" s="20"/>
      <c r="AP20" s="21" t="e">
        <f>+#REF!+#REF!+#REF!+#REF!+#REF!+#REF!+#REF!+#REF!+#REF!</f>
        <v>#REF!</v>
      </c>
    </row>
    <row r="21" spans="1:42" ht="12.75">
      <c r="A21" s="19" t="s">
        <v>28</v>
      </c>
      <c r="B21" s="20"/>
      <c r="C21" s="21">
        <f>249/1.93627</f>
        <v>128.59776787328215</v>
      </c>
      <c r="D21" s="20"/>
      <c r="E21" s="21">
        <f>252/1.93627</f>
        <v>130.1471385705506</v>
      </c>
      <c r="F21" s="20"/>
      <c r="G21" s="21">
        <f>273/1.93627</f>
        <v>140.9927334514298</v>
      </c>
      <c r="H21" s="20"/>
      <c r="I21" s="21">
        <f>155+15</f>
        <v>170</v>
      </c>
      <c r="J21" s="20"/>
      <c r="K21" s="21">
        <v>138</v>
      </c>
      <c r="L21" s="20"/>
      <c r="M21" s="21">
        <v>113</v>
      </c>
      <c r="N21" s="20"/>
      <c r="O21" s="21">
        <v>86</v>
      </c>
      <c r="P21" s="20"/>
      <c r="Q21" s="21">
        <v>109</v>
      </c>
      <c r="R21" s="20"/>
      <c r="S21" s="21">
        <v>41</v>
      </c>
      <c r="T21" s="20"/>
      <c r="U21" s="21">
        <v>62</v>
      </c>
      <c r="AO21" s="20"/>
      <c r="AP21" s="21" t="e">
        <f>+#REF!+#REF!+#REF!+#REF!+#REF!+#REF!+#REF!+#REF!+#REF!</f>
        <v>#REF!</v>
      </c>
    </row>
    <row r="22" spans="1:42" ht="12.75">
      <c r="A22" s="19" t="s">
        <v>23</v>
      </c>
      <c r="B22" s="20"/>
      <c r="C22" s="21"/>
      <c r="D22" s="20"/>
      <c r="E22" s="21">
        <f>204/1.93627</f>
        <v>105.35720741425524</v>
      </c>
      <c r="F22" s="20"/>
      <c r="G22" s="21">
        <f>336/1.93627</f>
        <v>173.52951809406747</v>
      </c>
      <c r="H22" s="20"/>
      <c r="I22" s="21">
        <v>179</v>
      </c>
      <c r="J22" s="20"/>
      <c r="K22" s="21"/>
      <c r="L22" s="20"/>
      <c r="M22" s="21"/>
      <c r="N22" s="20"/>
      <c r="O22" s="21"/>
      <c r="P22" s="20"/>
      <c r="Q22" s="21"/>
      <c r="R22" s="20"/>
      <c r="S22" s="21"/>
      <c r="T22" s="20"/>
      <c r="U22" s="21"/>
      <c r="AO22" s="20"/>
      <c r="AP22" s="21"/>
    </row>
    <row r="23" spans="1:42" ht="12.75">
      <c r="A23" s="19" t="s">
        <v>29</v>
      </c>
      <c r="B23" s="20"/>
      <c r="C23" s="21"/>
      <c r="D23" s="20"/>
      <c r="E23" s="21"/>
      <c r="F23" s="20"/>
      <c r="G23" s="21"/>
      <c r="H23" s="20"/>
      <c r="I23" s="21"/>
      <c r="J23" s="20"/>
      <c r="K23" s="21">
        <v>92</v>
      </c>
      <c r="L23" s="20"/>
      <c r="M23" s="21">
        <v>132</v>
      </c>
      <c r="N23" s="20"/>
      <c r="O23" s="21">
        <v>166</v>
      </c>
      <c r="P23" s="20"/>
      <c r="Q23" s="21">
        <v>100</v>
      </c>
      <c r="R23" s="20"/>
      <c r="S23" s="21">
        <v>5</v>
      </c>
      <c r="T23" s="20"/>
      <c r="U23" s="21">
        <v>9</v>
      </c>
      <c r="AO23" s="20"/>
      <c r="AP23" s="21"/>
    </row>
    <row r="24" spans="1:42" ht="14.25" customHeight="1">
      <c r="A24" s="22"/>
      <c r="B24" s="20"/>
      <c r="C24" s="18"/>
      <c r="D24" s="20"/>
      <c r="E24" s="18"/>
      <c r="F24" s="20"/>
      <c r="G24" s="18"/>
      <c r="H24" s="20"/>
      <c r="I24" s="18"/>
      <c r="J24" s="20"/>
      <c r="K24" s="18"/>
      <c r="L24" s="20"/>
      <c r="M24" s="18"/>
      <c r="N24" s="20"/>
      <c r="O24" s="18"/>
      <c r="P24" s="20"/>
      <c r="Q24" s="18"/>
      <c r="R24" s="20"/>
      <c r="S24" s="18"/>
      <c r="T24" s="20"/>
      <c r="U24" s="18"/>
      <c r="AO24" s="20"/>
      <c r="AP24" s="18"/>
    </row>
    <row r="25" spans="1:42" ht="12.75">
      <c r="A25" s="22" t="s">
        <v>32</v>
      </c>
      <c r="B25" s="17">
        <f>SUM(C26:C27)</f>
        <v>0</v>
      </c>
      <c r="C25" s="18"/>
      <c r="D25" s="17">
        <f>SUM(E26:E27)</f>
        <v>0</v>
      </c>
      <c r="E25" s="18"/>
      <c r="F25" s="17">
        <f>SUM(G26:G27)</f>
        <v>0</v>
      </c>
      <c r="G25" s="18"/>
      <c r="H25" s="17">
        <f>SUM(I26:I27)</f>
        <v>0</v>
      </c>
      <c r="I25" s="18"/>
      <c r="J25" s="17">
        <f>SUM(K26:K27)</f>
        <v>300</v>
      </c>
      <c r="K25" s="18"/>
      <c r="L25" s="17">
        <f>SUM(M26:M27)</f>
        <v>349</v>
      </c>
      <c r="M25" s="18"/>
      <c r="N25" s="17">
        <f>SUM(O26:O27)</f>
        <v>363</v>
      </c>
      <c r="O25" s="18"/>
      <c r="P25" s="17">
        <f>SUM(Q26:Q27)</f>
        <v>365</v>
      </c>
      <c r="Q25" s="18"/>
      <c r="R25" s="17">
        <f>SUM(S26:S27)</f>
        <v>0</v>
      </c>
      <c r="S25" s="18"/>
      <c r="T25" s="17">
        <f>SUM(U26:U27)</f>
        <v>0</v>
      </c>
      <c r="U25" s="18"/>
      <c r="AO25" s="17"/>
      <c r="AP25" s="18"/>
    </row>
    <row r="26" spans="1:42" ht="12.75">
      <c r="A26" s="19" t="s">
        <v>29</v>
      </c>
      <c r="B26" s="20"/>
      <c r="C26" s="21"/>
      <c r="D26" s="20"/>
      <c r="E26" s="21"/>
      <c r="F26" s="20"/>
      <c r="G26" s="21"/>
      <c r="H26" s="20"/>
      <c r="I26" s="21"/>
      <c r="J26" s="20"/>
      <c r="K26" s="21">
        <v>249</v>
      </c>
      <c r="L26" s="20"/>
      <c r="M26" s="21">
        <v>300</v>
      </c>
      <c r="N26" s="20"/>
      <c r="O26" s="21">
        <v>293</v>
      </c>
      <c r="P26" s="20"/>
      <c r="Q26" s="21">
        <v>318</v>
      </c>
      <c r="R26" s="20"/>
      <c r="S26" s="21"/>
      <c r="T26" s="20"/>
      <c r="U26" s="21"/>
      <c r="AO26" s="20"/>
      <c r="AP26" s="21"/>
    </row>
    <row r="27" spans="1:42" ht="12.75">
      <c r="A27" s="19" t="s">
        <v>33</v>
      </c>
      <c r="B27" s="20"/>
      <c r="C27" s="21"/>
      <c r="D27" s="20"/>
      <c r="E27" s="21"/>
      <c r="F27" s="20"/>
      <c r="G27" s="21"/>
      <c r="H27" s="20"/>
      <c r="I27" s="21"/>
      <c r="J27" s="20"/>
      <c r="K27" s="21">
        <v>51</v>
      </c>
      <c r="L27" s="20"/>
      <c r="M27" s="21">
        <v>49</v>
      </c>
      <c r="N27" s="20"/>
      <c r="O27" s="21">
        <v>70</v>
      </c>
      <c r="P27" s="20"/>
      <c r="Q27" s="21">
        <v>47</v>
      </c>
      <c r="R27" s="20"/>
      <c r="S27" s="21"/>
      <c r="T27" s="20"/>
      <c r="U27" s="21"/>
      <c r="AO27" s="20"/>
      <c r="AP27" s="21"/>
    </row>
    <row r="28" spans="1:42" ht="12.75">
      <c r="A28" s="19"/>
      <c r="B28" s="20"/>
      <c r="C28" s="21"/>
      <c r="D28" s="20"/>
      <c r="E28" s="21"/>
      <c r="F28" s="20"/>
      <c r="G28" s="21"/>
      <c r="H28" s="20"/>
      <c r="I28" s="21"/>
      <c r="J28" s="20"/>
      <c r="K28" s="21"/>
      <c r="L28" s="20"/>
      <c r="M28" s="21"/>
      <c r="N28" s="20"/>
      <c r="O28" s="21"/>
      <c r="P28" s="20"/>
      <c r="Q28" s="21"/>
      <c r="R28" s="20"/>
      <c r="S28" s="21"/>
      <c r="T28" s="20"/>
      <c r="U28" s="21"/>
      <c r="AO28" s="20"/>
      <c r="AP28" s="21"/>
    </row>
    <row r="29" spans="1:42" ht="12.75">
      <c r="A29" s="22" t="s">
        <v>34</v>
      </c>
      <c r="B29" s="17">
        <f>SUM(C30:C31)</f>
        <v>60.94191409255941</v>
      </c>
      <c r="C29" s="18"/>
      <c r="D29" s="17">
        <f>SUM(E30:E31)</f>
        <v>485.9859420432068</v>
      </c>
      <c r="E29" s="18"/>
      <c r="F29" s="17">
        <f>SUM(G30:G31)</f>
        <v>386.8262174180254</v>
      </c>
      <c r="G29" s="18"/>
      <c r="H29" s="17">
        <f>SUM(I30:I31)</f>
        <v>431</v>
      </c>
      <c r="I29" s="18"/>
      <c r="J29" s="17">
        <f>SUM(K30:K31)</f>
        <v>535</v>
      </c>
      <c r="K29" s="18"/>
      <c r="L29" s="17">
        <f>SUM(M30:M31)</f>
        <v>596</v>
      </c>
      <c r="M29" s="18"/>
      <c r="N29" s="17">
        <f>SUM(O30:O31)</f>
        <v>761</v>
      </c>
      <c r="O29" s="18"/>
      <c r="P29" s="17">
        <f>SUM(Q30:Q31)</f>
        <v>838</v>
      </c>
      <c r="Q29" s="18"/>
      <c r="R29" s="17">
        <f>SUM(S30:S31)</f>
        <v>885</v>
      </c>
      <c r="S29" s="18"/>
      <c r="T29" s="17">
        <f>SUM(U30:U31)</f>
        <v>888</v>
      </c>
      <c r="U29" s="18"/>
      <c r="AO29" s="20"/>
      <c r="AP29" s="21"/>
    </row>
    <row r="30" spans="1:42" ht="12.75">
      <c r="A30" s="19" t="s">
        <v>10</v>
      </c>
      <c r="B30" s="20"/>
      <c r="C30" s="21">
        <f>118/1.93627</f>
        <v>60.94191409255941</v>
      </c>
      <c r="D30" s="20"/>
      <c r="E30" s="21">
        <f>941/1.93627</f>
        <v>485.9859420432068</v>
      </c>
      <c r="F30" s="20"/>
      <c r="G30" s="21">
        <f>749/1.93627</f>
        <v>386.8262174180254</v>
      </c>
      <c r="H30" s="20"/>
      <c r="I30" s="21">
        <v>431</v>
      </c>
      <c r="J30" s="20"/>
      <c r="K30" s="21">
        <v>434</v>
      </c>
      <c r="L30" s="20"/>
      <c r="M30" s="21">
        <v>584</v>
      </c>
      <c r="N30" s="20"/>
      <c r="O30" s="21">
        <v>714</v>
      </c>
      <c r="P30" s="20"/>
      <c r="Q30" s="21">
        <v>807</v>
      </c>
      <c r="R30" s="20"/>
      <c r="S30" s="21">
        <v>885</v>
      </c>
      <c r="T30" s="20"/>
      <c r="U30" s="21">
        <v>888</v>
      </c>
      <c r="AO30" s="20"/>
      <c r="AP30" s="21"/>
    </row>
    <row r="31" spans="1:42" ht="12.75">
      <c r="A31" s="19" t="s">
        <v>35</v>
      </c>
      <c r="B31" s="20"/>
      <c r="C31" s="21"/>
      <c r="D31" s="20"/>
      <c r="E31" s="21"/>
      <c r="F31" s="20"/>
      <c r="G31" s="21"/>
      <c r="H31" s="20"/>
      <c r="I31" s="21"/>
      <c r="J31" s="20"/>
      <c r="K31" s="21">
        <v>101</v>
      </c>
      <c r="L31" s="20"/>
      <c r="M31" s="21">
        <v>12</v>
      </c>
      <c r="N31" s="20"/>
      <c r="O31" s="21">
        <v>47</v>
      </c>
      <c r="P31" s="20"/>
      <c r="Q31" s="21">
        <v>31</v>
      </c>
      <c r="R31" s="20"/>
      <c r="S31" s="21"/>
      <c r="T31" s="20"/>
      <c r="U31" s="21"/>
      <c r="AO31" s="20"/>
      <c r="AP31" s="21"/>
    </row>
    <row r="32" spans="1:42" ht="12.75">
      <c r="A32" s="19"/>
      <c r="B32" s="20"/>
      <c r="C32" s="21"/>
      <c r="D32" s="20"/>
      <c r="E32" s="21"/>
      <c r="F32" s="20"/>
      <c r="G32" s="21"/>
      <c r="H32" s="20"/>
      <c r="I32" s="21"/>
      <c r="J32" s="20"/>
      <c r="K32" s="21"/>
      <c r="L32" s="20"/>
      <c r="M32" s="21"/>
      <c r="N32" s="20"/>
      <c r="O32" s="21"/>
      <c r="P32" s="20"/>
      <c r="Q32" s="21"/>
      <c r="R32" s="20"/>
      <c r="S32" s="21"/>
      <c r="T32" s="20"/>
      <c r="U32" s="21"/>
      <c r="AO32" s="20"/>
      <c r="AP32" s="21"/>
    </row>
    <row r="33" spans="1:42" ht="12.75">
      <c r="A33" s="22" t="s">
        <v>36</v>
      </c>
      <c r="B33" s="17">
        <f>SUM(C34:C40)</f>
        <v>4043.34106297159</v>
      </c>
      <c r="C33" s="18"/>
      <c r="D33" s="17">
        <f>SUM(E34:E40)</f>
        <v>4375.42284908613</v>
      </c>
      <c r="E33" s="18"/>
      <c r="F33" s="17">
        <f>SUM(G34:G40)</f>
        <v>4591.80812593285</v>
      </c>
      <c r="G33" s="18"/>
      <c r="H33" s="17">
        <f>SUM(I34:I40)</f>
        <v>5510</v>
      </c>
      <c r="I33" s="18"/>
      <c r="J33" s="17">
        <f>SUM(K34:K40)</f>
        <v>5821</v>
      </c>
      <c r="K33" s="18"/>
      <c r="L33" s="17">
        <f>SUM(M34:M40)</f>
        <v>6016</v>
      </c>
      <c r="M33" s="18"/>
      <c r="N33" s="17">
        <f>SUM(O34:O40)</f>
        <v>6566</v>
      </c>
      <c r="O33" s="18"/>
      <c r="P33" s="17">
        <f>SUM(Q34:Q40)</f>
        <v>7001</v>
      </c>
      <c r="Q33" s="18"/>
      <c r="R33" s="17">
        <f>SUM(S34:S40)</f>
        <v>7337</v>
      </c>
      <c r="S33" s="18"/>
      <c r="T33" s="17">
        <f>SUM(U34:U40)</f>
        <v>7815</v>
      </c>
      <c r="U33" s="18"/>
      <c r="AO33" s="17" t="e">
        <f>SUM(AP36:AP40)</f>
        <v>#REF!</v>
      </c>
      <c r="AP33" s="18"/>
    </row>
    <row r="34" spans="1:42" ht="12.75">
      <c r="A34" s="19" t="s">
        <v>13</v>
      </c>
      <c r="B34" s="20"/>
      <c r="C34" s="21">
        <f>1830/1.93627</f>
        <v>945.1161253337604</v>
      </c>
      <c r="D34" s="20"/>
      <c r="E34" s="21">
        <f>2292/1.93627</f>
        <v>1183.7192127131032</v>
      </c>
      <c r="F34" s="20"/>
      <c r="G34" s="21">
        <f>2736/1.93627</f>
        <v>1413.026075908835</v>
      </c>
      <c r="H34" s="20"/>
      <c r="I34" s="21">
        <v>1728</v>
      </c>
      <c r="J34" s="20"/>
      <c r="K34" s="21">
        <v>2179</v>
      </c>
      <c r="L34" s="20"/>
      <c r="M34" s="21">
        <v>2405</v>
      </c>
      <c r="N34" s="20"/>
      <c r="O34" s="21">
        <v>2684</v>
      </c>
      <c r="P34" s="20"/>
      <c r="Q34" s="21">
        <v>3010</v>
      </c>
      <c r="R34" s="20"/>
      <c r="S34" s="21">
        <v>3315</v>
      </c>
      <c r="T34" s="20"/>
      <c r="U34" s="21">
        <v>3750</v>
      </c>
      <c r="AO34" s="17"/>
      <c r="AP34" s="18"/>
    </row>
    <row r="35" spans="1:42" ht="12.75">
      <c r="A35" s="19" t="s">
        <v>37</v>
      </c>
      <c r="B35" s="20"/>
      <c r="C35" s="21"/>
      <c r="D35" s="20"/>
      <c r="E35" s="21"/>
      <c r="F35" s="20"/>
      <c r="G35" s="21"/>
      <c r="H35" s="20"/>
      <c r="I35" s="21"/>
      <c r="J35" s="20"/>
      <c r="K35" s="21"/>
      <c r="L35" s="20"/>
      <c r="M35" s="21"/>
      <c r="N35" s="20"/>
      <c r="O35" s="21">
        <v>235</v>
      </c>
      <c r="P35" s="20"/>
      <c r="Q35" s="21">
        <v>303</v>
      </c>
      <c r="R35" s="20"/>
      <c r="S35" s="21">
        <v>333</v>
      </c>
      <c r="T35" s="20"/>
      <c r="U35" s="21">
        <v>398</v>
      </c>
      <c r="AO35" s="17"/>
      <c r="AP35" s="18"/>
    </row>
    <row r="36" spans="1:42" ht="12.75">
      <c r="A36" s="19" t="s">
        <v>11</v>
      </c>
      <c r="B36" s="20"/>
      <c r="C36" s="21">
        <f>806/1.93627</f>
        <v>416.2642606661261</v>
      </c>
      <c r="D36" s="20"/>
      <c r="E36" s="21">
        <f>379/1.93627</f>
        <v>195.7371647549154</v>
      </c>
      <c r="F36" s="20"/>
      <c r="G36" s="21">
        <f>451/1.93627</f>
        <v>232.9220614893584</v>
      </c>
      <c r="H36" s="20"/>
      <c r="I36" s="21">
        <v>697</v>
      </c>
      <c r="J36" s="20"/>
      <c r="K36" s="21">
        <v>724</v>
      </c>
      <c r="L36" s="20"/>
      <c r="M36" s="21">
        <v>757</v>
      </c>
      <c r="N36" s="20"/>
      <c r="O36" s="21">
        <v>768</v>
      </c>
      <c r="P36" s="20"/>
      <c r="Q36" s="21">
        <v>861</v>
      </c>
      <c r="R36" s="20"/>
      <c r="S36" s="21">
        <v>786</v>
      </c>
      <c r="T36" s="20"/>
      <c r="U36" s="21">
        <v>768</v>
      </c>
      <c r="AO36" s="20"/>
      <c r="AP36" s="21" t="e">
        <f>+#REF!+#REF!+#REF!+#REF!+#REF!+#REF!+#REF!+#REF!+#REF!</f>
        <v>#REF!</v>
      </c>
    </row>
    <row r="37" spans="1:42" ht="12.75">
      <c r="A37" s="19" t="s">
        <v>39</v>
      </c>
      <c r="B37" s="20"/>
      <c r="C37" s="21">
        <f>1499/1.93627</f>
        <v>774.1688917351403</v>
      </c>
      <c r="D37" s="20"/>
      <c r="E37" s="21">
        <f>1747/1.93627</f>
        <v>902.2502027093329</v>
      </c>
      <c r="F37" s="20"/>
      <c r="G37" s="21">
        <f>2031/1.93627</f>
        <v>1048.9239620507471</v>
      </c>
      <c r="H37" s="20"/>
      <c r="I37" s="21">
        <v>1150</v>
      </c>
      <c r="J37" s="20"/>
      <c r="K37" s="21">
        <v>1008</v>
      </c>
      <c r="L37" s="20"/>
      <c r="M37" s="21">
        <v>883</v>
      </c>
      <c r="N37" s="20"/>
      <c r="O37" s="21">
        <v>1011</v>
      </c>
      <c r="P37" s="20"/>
      <c r="Q37" s="21">
        <v>1029</v>
      </c>
      <c r="R37" s="20"/>
      <c r="S37" s="21">
        <v>1098</v>
      </c>
      <c r="T37" s="20"/>
      <c r="U37" s="21">
        <v>1042</v>
      </c>
      <c r="AO37" s="20"/>
      <c r="AP37" s="21"/>
    </row>
    <row r="38" spans="1:42" ht="12.75">
      <c r="A38" s="19" t="s">
        <v>38</v>
      </c>
      <c r="B38" s="20"/>
      <c r="C38" s="21"/>
      <c r="D38" s="20"/>
      <c r="E38" s="21"/>
      <c r="F38" s="20"/>
      <c r="G38" s="21"/>
      <c r="H38" s="20"/>
      <c r="I38" s="21"/>
      <c r="J38" s="20"/>
      <c r="K38" s="21">
        <v>1070</v>
      </c>
      <c r="L38" s="20"/>
      <c r="M38" s="21">
        <v>1117</v>
      </c>
      <c r="N38" s="20"/>
      <c r="O38" s="21">
        <v>975</v>
      </c>
      <c r="P38" s="20"/>
      <c r="Q38" s="21">
        <v>895</v>
      </c>
      <c r="R38" s="20"/>
      <c r="S38" s="21">
        <v>862</v>
      </c>
      <c r="T38" s="20"/>
      <c r="U38" s="21">
        <v>871</v>
      </c>
      <c r="AO38" s="20"/>
      <c r="AP38" s="21"/>
    </row>
    <row r="39" spans="1:42" ht="12.75">
      <c r="A39" s="19" t="s">
        <v>12</v>
      </c>
      <c r="B39" s="20"/>
      <c r="C39" s="21">
        <f>2152/1.93627</f>
        <v>1111.415246840575</v>
      </c>
      <c r="D39" s="20"/>
      <c r="E39" s="21">
        <f>2335/1.93627</f>
        <v>1205.926859373951</v>
      </c>
      <c r="F39" s="20"/>
      <c r="G39" s="21">
        <f>2039/1.93627</f>
        <v>1053.055617243463</v>
      </c>
      <c r="H39" s="20"/>
      <c r="I39" s="21">
        <v>1045</v>
      </c>
      <c r="J39" s="20"/>
      <c r="K39" s="21"/>
      <c r="L39" s="20"/>
      <c r="M39" s="21"/>
      <c r="N39" s="20"/>
      <c r="O39" s="21"/>
      <c r="P39" s="20"/>
      <c r="Q39" s="21"/>
      <c r="R39" s="20"/>
      <c r="S39" s="21"/>
      <c r="T39" s="20"/>
      <c r="U39" s="21"/>
      <c r="AO39" s="20"/>
      <c r="AP39" s="21" t="e">
        <f>+#REF!+#REF!+#REF!+#REF!+#REF!+#REF!+#REF!+#REF!+#REF!</f>
        <v>#REF!</v>
      </c>
    </row>
    <row r="40" spans="1:42" ht="12.75">
      <c r="A40" s="19" t="s">
        <v>14</v>
      </c>
      <c r="B40" s="20"/>
      <c r="C40" s="21">
        <f>1542/1.93627</f>
        <v>796.3765383959882</v>
      </c>
      <c r="D40" s="20"/>
      <c r="E40" s="21">
        <f>1719/1.93627</f>
        <v>887.7894095348273</v>
      </c>
      <c r="F40" s="20"/>
      <c r="G40" s="21">
        <f>1603/1.93627+16</f>
        <v>843.8804092404469</v>
      </c>
      <c r="H40" s="20"/>
      <c r="I40" s="21">
        <v>890</v>
      </c>
      <c r="J40" s="20"/>
      <c r="K40" s="21">
        <v>840</v>
      </c>
      <c r="L40" s="20"/>
      <c r="M40" s="21">
        <v>854</v>
      </c>
      <c r="N40" s="20"/>
      <c r="O40" s="21">
        <v>893</v>
      </c>
      <c r="P40" s="20"/>
      <c r="Q40" s="21">
        <v>903</v>
      </c>
      <c r="R40" s="20"/>
      <c r="S40" s="21">
        <v>943</v>
      </c>
      <c r="T40" s="20"/>
      <c r="U40" s="21">
        <v>986</v>
      </c>
      <c r="AO40" s="20"/>
      <c r="AP40" s="21" t="e">
        <f>+#REF!+#REF!+#REF!+#REF!+#REF!+#REF!+#REF!+#REF!+#REF!</f>
        <v>#REF!</v>
      </c>
    </row>
    <row r="41" spans="1:42" ht="13.5" customHeight="1">
      <c r="A41" s="50"/>
      <c r="B41" s="49"/>
      <c r="C41" s="24"/>
      <c r="D41" s="49"/>
      <c r="E41" s="24"/>
      <c r="F41" s="49"/>
      <c r="G41" s="24"/>
      <c r="H41" s="49"/>
      <c r="I41" s="24"/>
      <c r="J41" s="49"/>
      <c r="K41" s="24"/>
      <c r="L41" s="49"/>
      <c r="M41" s="24"/>
      <c r="N41" s="49"/>
      <c r="O41" s="24"/>
      <c r="P41" s="49"/>
      <c r="Q41" s="24"/>
      <c r="R41" s="49"/>
      <c r="S41" s="24"/>
      <c r="T41" s="49"/>
      <c r="U41" s="24"/>
      <c r="AO41" s="20"/>
      <c r="AP41" s="18"/>
    </row>
    <row r="42" spans="1:42" ht="12.75">
      <c r="A42" s="22" t="s">
        <v>15</v>
      </c>
      <c r="B42" s="17">
        <f>SUM(C43:C46)</f>
        <v>880.042556048485</v>
      </c>
      <c r="C42" s="18"/>
      <c r="D42" s="17">
        <f>SUM(E43:E46)</f>
        <v>1035.8378067108408</v>
      </c>
      <c r="E42" s="18"/>
      <c r="F42" s="17">
        <f>SUM(G43:G46)</f>
        <v>1575.3039193914074</v>
      </c>
      <c r="G42" s="18"/>
      <c r="H42" s="17">
        <f>SUM(I43:I46)</f>
        <v>1154</v>
      </c>
      <c r="I42" s="18"/>
      <c r="J42" s="17">
        <f>SUM(K43:K46)</f>
        <v>2145</v>
      </c>
      <c r="K42" s="18"/>
      <c r="L42" s="17">
        <f>SUM(M43:M46)</f>
        <v>2392</v>
      </c>
      <c r="M42" s="18"/>
      <c r="N42" s="17">
        <f>SUM(O43:O46)</f>
        <v>2058</v>
      </c>
      <c r="O42" s="18"/>
      <c r="P42" s="17">
        <f>SUM(Q43:Q46)</f>
        <v>2114</v>
      </c>
      <c r="Q42" s="18"/>
      <c r="R42" s="17">
        <f>SUM(S43:S46)</f>
        <v>2224</v>
      </c>
      <c r="S42" s="18"/>
      <c r="T42" s="17">
        <f>SUM(U43:U46)</f>
        <v>2045</v>
      </c>
      <c r="U42" s="18"/>
      <c r="AO42" s="17" t="e">
        <f>SUM(AP43:AP46)</f>
        <v>#REF!</v>
      </c>
      <c r="AP42" s="18"/>
    </row>
    <row r="43" spans="1:42" ht="12.75">
      <c r="A43" s="19" t="s">
        <v>40</v>
      </c>
      <c r="B43" s="20"/>
      <c r="C43" s="21">
        <f>885/1.93627</f>
        <v>457.06435569419557</v>
      </c>
      <c r="D43" s="20"/>
      <c r="E43" s="21">
        <f>1374/1.93627</f>
        <v>709.6117793489544</v>
      </c>
      <c r="F43" s="20"/>
      <c r="G43" s="21">
        <f>1204/1.93627</f>
        <v>621.8141065037418</v>
      </c>
      <c r="H43" s="20"/>
      <c r="I43" s="21">
        <v>598</v>
      </c>
      <c r="J43" s="20"/>
      <c r="K43" s="21">
        <v>1405</v>
      </c>
      <c r="L43" s="20"/>
      <c r="M43" s="21">
        <v>1574</v>
      </c>
      <c r="N43" s="20"/>
      <c r="O43" s="21">
        <v>1512</v>
      </c>
      <c r="P43" s="20"/>
      <c r="Q43" s="21">
        <v>1516</v>
      </c>
      <c r="R43" s="20"/>
      <c r="S43" s="21">
        <v>1513</v>
      </c>
      <c r="T43" s="20"/>
      <c r="U43" s="21">
        <v>1493</v>
      </c>
      <c r="AO43" s="20"/>
      <c r="AP43" s="21" t="e">
        <f>+#REF!+#REF!+#REF!+#REF!+#REF!+#REF!+#REF!+#REF!+#REF!</f>
        <v>#REF!</v>
      </c>
    </row>
    <row r="44" spans="1:42" ht="12.75">
      <c r="A44" s="19" t="s">
        <v>16</v>
      </c>
      <c r="B44" s="20"/>
      <c r="C44" s="21">
        <f>656/1.93627</f>
        <v>338.79572580270315</v>
      </c>
      <c r="D44" s="20"/>
      <c r="E44" s="21">
        <f>429/1.93627</f>
        <v>221.5600097093897</v>
      </c>
      <c r="F44" s="20"/>
      <c r="G44" s="21">
        <f>684/1.93627</f>
        <v>353.25651897720877</v>
      </c>
      <c r="H44" s="20"/>
      <c r="I44" s="21">
        <v>392</v>
      </c>
      <c r="J44" s="20"/>
      <c r="K44" s="21">
        <v>506</v>
      </c>
      <c r="L44" s="20"/>
      <c r="M44" s="21">
        <v>485</v>
      </c>
      <c r="N44" s="20"/>
      <c r="O44" s="21">
        <v>388</v>
      </c>
      <c r="P44" s="20"/>
      <c r="Q44" s="21">
        <v>466</v>
      </c>
      <c r="R44" s="20"/>
      <c r="S44" s="21">
        <v>576</v>
      </c>
      <c r="T44" s="20"/>
      <c r="U44" s="21">
        <v>431</v>
      </c>
      <c r="AO44" s="52"/>
      <c r="AP44" s="39"/>
    </row>
    <row r="45" spans="1:21" ht="12.75">
      <c r="A45" s="35" t="s">
        <v>41</v>
      </c>
      <c r="B45" s="23"/>
      <c r="C45" s="21"/>
      <c r="D45" s="23"/>
      <c r="E45" s="21">
        <v>21</v>
      </c>
      <c r="F45" s="23"/>
      <c r="G45" s="21">
        <f>413+23</f>
        <v>436</v>
      </c>
      <c r="H45" s="23"/>
      <c r="I45" s="21">
        <v>4</v>
      </c>
      <c r="J45" s="23"/>
      <c r="K45" s="21">
        <v>156</v>
      </c>
      <c r="L45" s="23"/>
      <c r="M45" s="21">
        <v>233</v>
      </c>
      <c r="N45" s="23"/>
      <c r="O45" s="21">
        <v>84</v>
      </c>
      <c r="P45" s="23"/>
      <c r="Q45" s="21">
        <v>86</v>
      </c>
      <c r="R45" s="23"/>
      <c r="S45" s="21">
        <v>95</v>
      </c>
      <c r="T45" s="23"/>
      <c r="U45" s="21">
        <v>94</v>
      </c>
    </row>
    <row r="46" spans="1:42" ht="12.75">
      <c r="A46" s="19" t="s">
        <v>17</v>
      </c>
      <c r="B46" s="20"/>
      <c r="C46" s="21">
        <f>163/1.93627</f>
        <v>84.1824745515863</v>
      </c>
      <c r="D46" s="20"/>
      <c r="E46" s="21">
        <f>162/1.93627</f>
        <v>83.66601765249682</v>
      </c>
      <c r="F46" s="20"/>
      <c r="G46" s="21">
        <f>318/1.93627</f>
        <v>164.2332939104567</v>
      </c>
      <c r="H46" s="20"/>
      <c r="I46" s="21">
        <v>160</v>
      </c>
      <c r="J46" s="20"/>
      <c r="K46" s="21">
        <v>78</v>
      </c>
      <c r="L46" s="20"/>
      <c r="M46" s="21">
        <v>100</v>
      </c>
      <c r="N46" s="20"/>
      <c r="O46" s="21">
        <v>74</v>
      </c>
      <c r="P46" s="20"/>
      <c r="Q46" s="21">
        <v>46</v>
      </c>
      <c r="R46" s="20"/>
      <c r="S46" s="21">
        <v>40</v>
      </c>
      <c r="T46" s="20"/>
      <c r="U46" s="21">
        <v>27</v>
      </c>
      <c r="AO46" s="20"/>
      <c r="AP46" s="21" t="e">
        <f>+#REF!+#REF!+#REF!+#REF!+#REF!+#REF!+#REF!+#REF!+#REF!</f>
        <v>#REF!</v>
      </c>
    </row>
    <row r="47" spans="1:42" ht="12.75">
      <c r="A47" s="19"/>
      <c r="B47" s="20"/>
      <c r="C47" s="21"/>
      <c r="D47" s="20"/>
      <c r="E47" s="21"/>
      <c r="F47" s="20"/>
      <c r="G47" s="21"/>
      <c r="H47" s="20"/>
      <c r="I47" s="21"/>
      <c r="J47" s="20"/>
      <c r="K47" s="21"/>
      <c r="L47" s="20"/>
      <c r="M47" s="21"/>
      <c r="N47" s="20"/>
      <c r="O47" s="21"/>
      <c r="P47" s="20"/>
      <c r="Q47" s="21"/>
      <c r="R47" s="20"/>
      <c r="S47" s="21"/>
      <c r="T47" s="20"/>
      <c r="U47" s="21"/>
      <c r="AO47" s="20"/>
      <c r="AP47" s="21"/>
    </row>
    <row r="48" spans="1:42" s="58" customFormat="1" ht="12.75">
      <c r="A48" s="55" t="s">
        <v>19</v>
      </c>
      <c r="B48" s="56">
        <f>SUM(B7:B42)</f>
        <v>22376.011609951092</v>
      </c>
      <c r="C48" s="57"/>
      <c r="D48" s="56">
        <f>SUM(D7:D42)</f>
        <v>23976.853264265832</v>
      </c>
      <c r="E48" s="57"/>
      <c r="F48" s="56">
        <f>SUM(F7:F42)</f>
        <v>27476.373000666226</v>
      </c>
      <c r="G48" s="57"/>
      <c r="H48" s="56">
        <f>SUM(H7:H42)</f>
        <v>28627</v>
      </c>
      <c r="I48" s="57"/>
      <c r="J48" s="56">
        <f>SUM(J7:J42)</f>
        <v>30113</v>
      </c>
      <c r="K48" s="57"/>
      <c r="L48" s="56">
        <f>SUM(L7:L42)</f>
        <v>31748</v>
      </c>
      <c r="M48" s="57"/>
      <c r="N48" s="56">
        <f>SUM(N7:N42)</f>
        <v>31988</v>
      </c>
      <c r="O48" s="57"/>
      <c r="P48" s="56">
        <f>SUM(P7:P42)</f>
        <v>33320</v>
      </c>
      <c r="Q48" s="57"/>
      <c r="R48" s="56">
        <f>SUM(R7:R42)</f>
        <v>33340</v>
      </c>
      <c r="S48" s="57"/>
      <c r="T48" s="56">
        <f>SUM(T7:T42)</f>
        <v>33810</v>
      </c>
      <c r="U48" s="57"/>
      <c r="AO48" s="56" t="e">
        <f>SUM(AO7:AO42)</f>
        <v>#REF!</v>
      </c>
      <c r="AP48" s="59"/>
    </row>
    <row r="49" spans="1:21" ht="4.5" customHeight="1">
      <c r="A49" s="25"/>
      <c r="B49" s="41"/>
      <c r="C49" s="33"/>
      <c r="D49" s="41"/>
      <c r="E49" s="33"/>
      <c r="F49" s="41"/>
      <c r="G49" s="33"/>
      <c r="H49" s="41"/>
      <c r="I49" s="33"/>
      <c r="J49" s="41"/>
      <c r="K49" s="33"/>
      <c r="L49" s="41"/>
      <c r="M49" s="33"/>
      <c r="N49" s="41"/>
      <c r="O49" s="33"/>
      <c r="P49" s="41"/>
      <c r="Q49" s="33"/>
      <c r="R49" s="41"/>
      <c r="S49" s="33"/>
      <c r="T49" s="41"/>
      <c r="U49" s="33"/>
    </row>
    <row r="50" spans="1:42" ht="12.75">
      <c r="A50" s="40" t="s">
        <v>49</v>
      </c>
      <c r="B50" s="46">
        <f>20/1.93627</f>
        <v>10.32913798178973</v>
      </c>
      <c r="C50" s="32"/>
      <c r="D50" s="42">
        <f>22/1.93627</f>
        <v>11.362051779968704</v>
      </c>
      <c r="E50" s="32"/>
      <c r="F50" s="42">
        <f>30/1.93627</f>
        <v>15.493706972684596</v>
      </c>
      <c r="G50" s="32"/>
      <c r="H50" s="42">
        <f>332/1.93627</f>
        <v>171.4636904977095</v>
      </c>
      <c r="I50" s="44">
        <v>4</v>
      </c>
      <c r="J50" s="42">
        <v>919</v>
      </c>
      <c r="K50" s="32"/>
      <c r="L50" s="42">
        <v>551</v>
      </c>
      <c r="M50" s="44"/>
      <c r="N50" s="42">
        <v>812</v>
      </c>
      <c r="O50" s="44"/>
      <c r="P50" s="42">
        <v>411</v>
      </c>
      <c r="Q50" s="44"/>
      <c r="R50" s="42">
        <v>340</v>
      </c>
      <c r="S50" s="44"/>
      <c r="T50" s="42">
        <v>435</v>
      </c>
      <c r="U50" s="44"/>
      <c r="AO50" s="27" t="e">
        <f>+#REF!-#REF!</f>
        <v>#REF!</v>
      </c>
      <c r="AP50" s="28"/>
    </row>
    <row r="51" spans="1:41" ht="5.25" customHeight="1">
      <c r="A51" s="25"/>
      <c r="B51" s="3"/>
      <c r="D51" s="3"/>
      <c r="E51" s="4"/>
      <c r="F51" s="3"/>
      <c r="G51" s="4"/>
      <c r="H51" s="3"/>
      <c r="I51" s="45"/>
      <c r="J51" s="3"/>
      <c r="K51" s="4"/>
      <c r="L51" s="3"/>
      <c r="M51" s="4"/>
      <c r="N51" s="3"/>
      <c r="O51" s="4"/>
      <c r="P51" s="3"/>
      <c r="Q51" s="4"/>
      <c r="R51" s="3"/>
      <c r="S51" s="4"/>
      <c r="T51" s="3"/>
      <c r="U51" s="4"/>
      <c r="AO51" s="3"/>
    </row>
    <row r="52" spans="1:42" ht="12.75">
      <c r="A52" s="40" t="s">
        <v>21</v>
      </c>
      <c r="B52" s="46">
        <f>430/1.93627</f>
        <v>222.0764666084792</v>
      </c>
      <c r="C52" s="44">
        <v>1</v>
      </c>
      <c r="D52" s="42">
        <f>1024/1.93627</f>
        <v>528.8518646676342</v>
      </c>
      <c r="E52" s="44">
        <v>2</v>
      </c>
      <c r="F52" s="42">
        <f>1842/1.93627</f>
        <v>951.3136081228341</v>
      </c>
      <c r="G52" s="44">
        <v>3</v>
      </c>
      <c r="H52" s="42">
        <f>1364/1.93627</f>
        <v>704.4472103580596</v>
      </c>
      <c r="I52" s="44">
        <v>5</v>
      </c>
      <c r="J52" s="42"/>
      <c r="K52" s="44"/>
      <c r="L52" s="42"/>
      <c r="M52" s="44"/>
      <c r="N52" s="42"/>
      <c r="O52" s="44"/>
      <c r="P52" s="42"/>
      <c r="Q52" s="44"/>
      <c r="R52" s="42"/>
      <c r="S52" s="44"/>
      <c r="T52" s="42"/>
      <c r="U52" s="44"/>
      <c r="AO52" s="27" t="e">
        <f>+#REF!-#REF!</f>
        <v>#REF!</v>
      </c>
      <c r="AP52" s="29" t="s">
        <v>20</v>
      </c>
    </row>
    <row r="53" spans="1:41" ht="5.25" customHeight="1">
      <c r="A53" s="25"/>
      <c r="B53" s="3"/>
      <c r="D53" s="3"/>
      <c r="E53" s="4"/>
      <c r="F53" s="3"/>
      <c r="G53" s="4"/>
      <c r="H53" s="3"/>
      <c r="I53" s="4"/>
      <c r="J53" s="3"/>
      <c r="K53" s="4"/>
      <c r="L53" s="3"/>
      <c r="M53" s="4"/>
      <c r="N53" s="3"/>
      <c r="O53" s="4"/>
      <c r="P53" s="3"/>
      <c r="Q53" s="4"/>
      <c r="R53" s="3"/>
      <c r="S53" s="4"/>
      <c r="T53" s="3"/>
      <c r="U53" s="4"/>
      <c r="AO53" s="3"/>
    </row>
    <row r="54" spans="1:42" ht="12.75">
      <c r="A54" s="26" t="s">
        <v>48</v>
      </c>
      <c r="B54" s="27">
        <f>+B52+B50+B48</f>
        <v>22608.41721454136</v>
      </c>
      <c r="C54" s="32"/>
      <c r="D54" s="27">
        <f>+D52+D50+D48</f>
        <v>24517.067180713435</v>
      </c>
      <c r="E54" s="32"/>
      <c r="F54" s="27">
        <f>+F52+F50+F48</f>
        <v>28443.180315761743</v>
      </c>
      <c r="G54" s="32"/>
      <c r="H54" s="27">
        <f>+H52+H50+H48</f>
        <v>29502.910900855768</v>
      </c>
      <c r="I54" s="32"/>
      <c r="J54" s="27">
        <f>+J52+J50+J48</f>
        <v>31032</v>
      </c>
      <c r="K54" s="32"/>
      <c r="L54" s="27">
        <f>+L52+L50+L48</f>
        <v>32299</v>
      </c>
      <c r="M54" s="32"/>
      <c r="N54" s="27">
        <f>+N52+N50+N48</f>
        <v>32800</v>
      </c>
      <c r="O54" s="32"/>
      <c r="P54" s="27">
        <f>+P52+P50+P48</f>
        <v>33731</v>
      </c>
      <c r="Q54" s="32"/>
      <c r="R54" s="27">
        <f>+R52+R50+R48</f>
        <v>33680</v>
      </c>
      <c r="S54" s="32"/>
      <c r="T54" s="27">
        <f>+T52+T50+T48</f>
        <v>34245</v>
      </c>
      <c r="U54" s="32"/>
      <c r="AO54" s="27" t="e">
        <f>+AO52+AO50+AO48</f>
        <v>#REF!</v>
      </c>
      <c r="AP54" s="28"/>
    </row>
    <row r="55" ht="5.25" customHeight="1">
      <c r="C55"/>
    </row>
    <row r="56" spans="1:42" ht="12.75">
      <c r="A56" s="26" t="s">
        <v>25</v>
      </c>
      <c r="B56" s="47">
        <f>+B54/$B$54*100</f>
        <v>100</v>
      </c>
      <c r="C56" s="32"/>
      <c r="D56" s="47">
        <f>+D54/$B$54*100</f>
        <v>108.44220958972954</v>
      </c>
      <c r="E56" s="32"/>
      <c r="F56" s="47">
        <f>+F54/$B$54*100</f>
        <v>125.80792386239033</v>
      </c>
      <c r="G56" s="32"/>
      <c r="H56" s="47">
        <f>+H54/$B$54*100</f>
        <v>130.49525148483184</v>
      </c>
      <c r="I56" s="32"/>
      <c r="J56" s="47">
        <f>+J54/$B$54*100</f>
        <v>137.2586134868421</v>
      </c>
      <c r="K56" s="32"/>
      <c r="L56" s="47">
        <f>+L54/$B$54*100</f>
        <v>142.862720965826</v>
      </c>
      <c r="M56" s="32"/>
      <c r="N56" s="47">
        <f>+N54/$B$54*100</f>
        <v>145.07870979532163</v>
      </c>
      <c r="O56" s="32"/>
      <c r="P56" s="47">
        <f>+P54/$B$54*100</f>
        <v>149.19664512518273</v>
      </c>
      <c r="Q56" s="32"/>
      <c r="R56" s="47">
        <f>+R54/$B$54*100</f>
        <v>148.9710654239766</v>
      </c>
      <c r="S56" s="32"/>
      <c r="T56" s="47">
        <f>+T54/$B$54*100</f>
        <v>151.47013466282894</v>
      </c>
      <c r="U56" s="32"/>
      <c r="AO56" s="27">
        <f>+AO53+AO51+AO49</f>
        <v>0</v>
      </c>
      <c r="AP56" s="28"/>
    </row>
    <row r="57" spans="1:42" ht="12.75">
      <c r="A57" s="26" t="s">
        <v>24</v>
      </c>
      <c r="B57" s="47">
        <v>100</v>
      </c>
      <c r="C57" s="32"/>
      <c r="D57" s="47">
        <v>101.8</v>
      </c>
      <c r="E57" s="32"/>
      <c r="F57" s="47">
        <v>104.3</v>
      </c>
      <c r="G57" s="48"/>
      <c r="H57" s="47">
        <v>107</v>
      </c>
      <c r="I57" s="48"/>
      <c r="J57" s="47">
        <v>109.6</v>
      </c>
      <c r="K57" s="48"/>
      <c r="L57" s="47">
        <v>111.7</v>
      </c>
      <c r="M57" s="48"/>
      <c r="N57" s="47">
        <v>113.5</v>
      </c>
      <c r="O57" s="48"/>
      <c r="P57" s="47">
        <v>115.1</v>
      </c>
      <c r="Q57" s="48"/>
      <c r="R57" s="47">
        <v>117.5</v>
      </c>
      <c r="S57" s="48"/>
      <c r="T57" s="47">
        <v>119.6</v>
      </c>
      <c r="U57" s="48"/>
      <c r="AO57" s="27" t="e">
        <f>+AO54+AO52+AO50</f>
        <v>#REF!</v>
      </c>
      <c r="AP57" s="28"/>
    </row>
    <row r="58" spans="1:7" s="3" customFormat="1" ht="12.75">
      <c r="A58" s="43" t="s">
        <v>42</v>
      </c>
      <c r="B58"/>
      <c r="C58"/>
      <c r="D58" s="25"/>
      <c r="F58" s="4"/>
      <c r="G58"/>
    </row>
    <row r="59" spans="1:7" s="3" customFormat="1" ht="12.75">
      <c r="A59" s="43" t="s">
        <v>43</v>
      </c>
      <c r="B59"/>
      <c r="C59"/>
      <c r="F59"/>
      <c r="G59"/>
    </row>
    <row r="60" spans="1:5" ht="15" customHeight="1">
      <c r="A60" s="43" t="s">
        <v>44</v>
      </c>
      <c r="C60"/>
      <c r="E60" s="4"/>
    </row>
    <row r="61" spans="1:3" ht="15" customHeight="1">
      <c r="A61" s="43" t="s">
        <v>45</v>
      </c>
      <c r="C61"/>
    </row>
    <row r="62" spans="1:3" ht="15" customHeight="1">
      <c r="A62" s="43" t="s">
        <v>46</v>
      </c>
      <c r="C62"/>
    </row>
    <row r="63" spans="1:13" ht="15" customHeight="1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</row>
    <row r="64" ht="12.75">
      <c r="C64"/>
    </row>
    <row r="65" spans="1:3" ht="15" customHeight="1">
      <c r="A65" s="34"/>
      <c r="C65"/>
    </row>
    <row r="66" spans="1:3" ht="15" customHeight="1">
      <c r="A66" s="34"/>
      <c r="C66"/>
    </row>
    <row r="67" ht="12.75">
      <c r="C67"/>
    </row>
    <row r="68" spans="1:3" ht="15" customHeight="1">
      <c r="A68" s="34"/>
      <c r="C68"/>
    </row>
    <row r="69" spans="1:3" ht="15" customHeight="1">
      <c r="A69" s="34"/>
      <c r="C69"/>
    </row>
    <row r="70" ht="12.75">
      <c r="C70"/>
    </row>
    <row r="71" spans="1:3" ht="15" customHeight="1">
      <c r="A71" s="34"/>
      <c r="C71"/>
    </row>
    <row r="72" spans="1:3" ht="15" customHeight="1">
      <c r="A72" s="34"/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  <row r="105" ht="12.75">
      <c r="C105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2.75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  <row r="161" ht="12.75">
      <c r="C161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ht="12.75">
      <c r="C167"/>
    </row>
    <row r="168" ht="12.75">
      <c r="C168"/>
    </row>
    <row r="169" ht="12.75">
      <c r="C169"/>
    </row>
    <row r="170" ht="12.75">
      <c r="C170"/>
    </row>
    <row r="171" ht="12.75">
      <c r="C171"/>
    </row>
    <row r="172" ht="12.75">
      <c r="C172"/>
    </row>
    <row r="173" ht="12.75">
      <c r="C173"/>
    </row>
    <row r="174" ht="12.75">
      <c r="C174"/>
    </row>
    <row r="175" ht="12.75">
      <c r="C175"/>
    </row>
    <row r="176" ht="12.75">
      <c r="C176"/>
    </row>
    <row r="177" ht="12.75">
      <c r="C177"/>
    </row>
    <row r="178" ht="12.75">
      <c r="C178"/>
    </row>
    <row r="179" ht="12.75">
      <c r="C179"/>
    </row>
    <row r="180" ht="12.75">
      <c r="C180"/>
    </row>
    <row r="181" ht="12.75">
      <c r="C181"/>
    </row>
    <row r="182" ht="12.75">
      <c r="C182"/>
    </row>
    <row r="183" ht="12.75">
      <c r="C183"/>
    </row>
    <row r="184" ht="12.75">
      <c r="C184"/>
    </row>
    <row r="185" ht="12.75">
      <c r="C185"/>
    </row>
    <row r="186" ht="12.75">
      <c r="C186"/>
    </row>
    <row r="187" ht="12.75">
      <c r="C187"/>
    </row>
    <row r="188" ht="12.75">
      <c r="C188"/>
    </row>
    <row r="189" ht="12.75">
      <c r="C189"/>
    </row>
    <row r="190" ht="12.75">
      <c r="C190"/>
    </row>
    <row r="191" ht="12.75">
      <c r="C191"/>
    </row>
    <row r="192" ht="12.75">
      <c r="C192"/>
    </row>
    <row r="193" ht="12.75">
      <c r="C193"/>
    </row>
    <row r="194" ht="12.75">
      <c r="C194"/>
    </row>
    <row r="195" ht="12.75">
      <c r="C195"/>
    </row>
    <row r="196" ht="12.75">
      <c r="C196"/>
    </row>
    <row r="197" ht="12.75">
      <c r="C197"/>
    </row>
    <row r="198" ht="12.75">
      <c r="C198"/>
    </row>
    <row r="199" ht="12.75">
      <c r="C199"/>
    </row>
    <row r="200" ht="12.75">
      <c r="C200"/>
    </row>
    <row r="201" ht="12.75">
      <c r="C201"/>
    </row>
    <row r="202" ht="12.75">
      <c r="C202"/>
    </row>
    <row r="203" ht="12.75">
      <c r="C203"/>
    </row>
    <row r="204" ht="12.75">
      <c r="C204"/>
    </row>
    <row r="205" ht="12.75">
      <c r="C205"/>
    </row>
    <row r="206" ht="12.75">
      <c r="C206"/>
    </row>
    <row r="207" ht="12.75">
      <c r="C207"/>
    </row>
    <row r="208" ht="12.75">
      <c r="C208"/>
    </row>
    <row r="209" ht="12.75">
      <c r="C209"/>
    </row>
    <row r="210" ht="12.75">
      <c r="C210"/>
    </row>
    <row r="211" ht="12.75">
      <c r="C211"/>
    </row>
    <row r="212" ht="12.75">
      <c r="C212"/>
    </row>
    <row r="213" ht="12.75">
      <c r="C213"/>
    </row>
    <row r="214" ht="12.75">
      <c r="C214"/>
    </row>
    <row r="215" ht="12.75">
      <c r="C215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  <row r="245" ht="12.75">
      <c r="C245"/>
    </row>
    <row r="246" ht="12.75">
      <c r="C246"/>
    </row>
    <row r="247" ht="12.75">
      <c r="C247"/>
    </row>
    <row r="248" ht="12.75">
      <c r="C248"/>
    </row>
    <row r="249" ht="12.75">
      <c r="C249"/>
    </row>
    <row r="250" ht="12.75">
      <c r="C250"/>
    </row>
    <row r="251" ht="12.75">
      <c r="C251"/>
    </row>
    <row r="252" ht="12.75">
      <c r="C252"/>
    </row>
    <row r="253" ht="12.75">
      <c r="C253"/>
    </row>
    <row r="254" ht="12.75">
      <c r="C254"/>
    </row>
    <row r="255" ht="12.75">
      <c r="C255"/>
    </row>
    <row r="256" ht="12.75">
      <c r="C256"/>
    </row>
    <row r="257" ht="12.75">
      <c r="C257"/>
    </row>
    <row r="258" ht="12.75">
      <c r="C258"/>
    </row>
    <row r="259" ht="12.75">
      <c r="C259"/>
    </row>
    <row r="260" ht="12.75">
      <c r="C260"/>
    </row>
    <row r="261" ht="12.75">
      <c r="C261"/>
    </row>
    <row r="262" ht="12.75">
      <c r="C262"/>
    </row>
    <row r="263" ht="12.75">
      <c r="C263"/>
    </row>
    <row r="264" ht="12.75">
      <c r="C264"/>
    </row>
    <row r="265" ht="12.75">
      <c r="C265"/>
    </row>
    <row r="266" ht="12.75">
      <c r="C266"/>
    </row>
    <row r="267" ht="12.75">
      <c r="C267"/>
    </row>
    <row r="268" ht="12.75">
      <c r="C268"/>
    </row>
    <row r="269" ht="12.75">
      <c r="C269"/>
    </row>
    <row r="270" ht="12.75">
      <c r="C270"/>
    </row>
    <row r="271" ht="12.75">
      <c r="C271"/>
    </row>
    <row r="272" ht="12.75">
      <c r="C272"/>
    </row>
    <row r="273" ht="12.75">
      <c r="C273"/>
    </row>
    <row r="274" ht="12.75">
      <c r="C274"/>
    </row>
    <row r="275" ht="12.75">
      <c r="C275"/>
    </row>
    <row r="276" ht="12.75">
      <c r="C276"/>
    </row>
    <row r="277" ht="12.75">
      <c r="C277"/>
    </row>
    <row r="278" ht="12.75">
      <c r="C278"/>
    </row>
    <row r="279" ht="12.75">
      <c r="C279"/>
    </row>
    <row r="280" ht="12.75">
      <c r="C280"/>
    </row>
    <row r="281" ht="12.75">
      <c r="C281"/>
    </row>
    <row r="282" ht="12.75">
      <c r="C282"/>
    </row>
    <row r="283" ht="12.75">
      <c r="C283"/>
    </row>
    <row r="284" ht="12.75">
      <c r="C284"/>
    </row>
    <row r="285" ht="12.75">
      <c r="C285"/>
    </row>
    <row r="286" ht="12.75">
      <c r="C286"/>
    </row>
    <row r="287" ht="12.75">
      <c r="C287"/>
    </row>
    <row r="288" ht="12.75">
      <c r="C288"/>
    </row>
    <row r="289" ht="12.75">
      <c r="C289"/>
    </row>
    <row r="290" ht="12.75">
      <c r="C290"/>
    </row>
    <row r="291" ht="12.75">
      <c r="C291"/>
    </row>
    <row r="292" ht="12.75">
      <c r="C292"/>
    </row>
    <row r="293" ht="12.75">
      <c r="C293"/>
    </row>
    <row r="294" ht="12.75">
      <c r="C294"/>
    </row>
    <row r="295" ht="12.75">
      <c r="C295"/>
    </row>
    <row r="296" ht="12.75">
      <c r="C296"/>
    </row>
    <row r="297" ht="12.75">
      <c r="C297"/>
    </row>
    <row r="298" ht="12.75">
      <c r="C298"/>
    </row>
    <row r="299" ht="12.75">
      <c r="C299"/>
    </row>
    <row r="300" ht="12.75">
      <c r="C300"/>
    </row>
    <row r="301" ht="12.75">
      <c r="C301"/>
    </row>
    <row r="302" ht="12.75">
      <c r="C302"/>
    </row>
    <row r="303" ht="12.75">
      <c r="C303"/>
    </row>
    <row r="304" ht="12.75">
      <c r="C304"/>
    </row>
    <row r="305" ht="12.75">
      <c r="C305"/>
    </row>
    <row r="306" ht="12.75">
      <c r="C306"/>
    </row>
    <row r="307" ht="12.75">
      <c r="C307"/>
    </row>
    <row r="308" ht="12.75">
      <c r="C308"/>
    </row>
    <row r="309" ht="12.75">
      <c r="C309"/>
    </row>
    <row r="310" ht="12.75">
      <c r="C310"/>
    </row>
    <row r="311" ht="12.75">
      <c r="C311"/>
    </row>
    <row r="312" ht="12.75">
      <c r="C312"/>
    </row>
    <row r="313" ht="12.75">
      <c r="C313"/>
    </row>
    <row r="314" ht="12.75">
      <c r="C314"/>
    </row>
    <row r="315" ht="12.75">
      <c r="C315"/>
    </row>
    <row r="316" ht="12.75">
      <c r="C316"/>
    </row>
    <row r="317" ht="12.75">
      <c r="C317"/>
    </row>
    <row r="318" ht="12.75">
      <c r="C318"/>
    </row>
    <row r="319" ht="12.75">
      <c r="C319"/>
    </row>
    <row r="320" ht="12.75">
      <c r="C320"/>
    </row>
    <row r="321" ht="12.75">
      <c r="C321"/>
    </row>
    <row r="322" ht="12.75">
      <c r="C322"/>
    </row>
    <row r="323" ht="12.75">
      <c r="C323"/>
    </row>
  </sheetData>
  <mergeCells count="1">
    <mergeCell ref="A63:M63"/>
  </mergeCells>
  <printOptions horizontalCentered="1"/>
  <pageMargins left="0.7874015748031497" right="0.7874015748031497" top="0.62" bottom="0.1968503937007874" header="0.2362204724409449" footer="0.11811023622047245"/>
  <pageSetup horizontalDpi="600" verticalDpi="600" orientation="landscape" paperSize="9" scale="87" r:id="rId1"/>
  <rowBreaks count="1" manualBreakCount="1">
    <brk id="4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rcorsini</cp:lastModifiedBy>
  <cp:lastPrinted>2008-06-04T09:47:27Z</cp:lastPrinted>
  <dcterms:created xsi:type="dcterms:W3CDTF">1999-02-19T11:32:50Z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