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45" tabRatio="601" activeTab="0"/>
  </bookViews>
  <sheets>
    <sheet name="Entrate tot e finalizzati" sheetId="1" r:id="rId1"/>
    <sheet name="Entrate nette" sheetId="2" r:id="rId2"/>
  </sheets>
  <externalReferences>
    <externalReference r:id="rId5"/>
  </externalReferences>
  <definedNames>
    <definedName name="_xlnm.Print_Area" localSheetId="1">'Entrate nette'!$A$1:$L$256</definedName>
    <definedName name="_xlnm.Print_Area" localSheetId="0">'Entrate tot e finalizzati'!$A$1:$U$256</definedName>
    <definedName name="CRITERIO100">#REF!</definedName>
    <definedName name="CRITERIO101">#REF!</definedName>
    <definedName name="CRITERIO102">#REF!</definedName>
    <definedName name="CRITERIO103">#REF!</definedName>
    <definedName name="CRITERIO104">#REF!</definedName>
    <definedName name="CRITERIO105">#REF!</definedName>
    <definedName name="CRITERIO106">#REF!</definedName>
    <definedName name="CRITERIO107">#REF!</definedName>
    <definedName name="CRITERIO108">#REF!</definedName>
    <definedName name="CRITERIO109">#REF!</definedName>
    <definedName name="CRITERIO11">#REF!</definedName>
    <definedName name="CRITERIO116">#REF!</definedName>
    <definedName name="CRITERIO117">#REF!</definedName>
    <definedName name="CRITERIO118">#REF!</definedName>
    <definedName name="CRITERIO119">#REF!</definedName>
    <definedName name="CRITERIO120">#REF!</definedName>
    <definedName name="CRITERIO121">#REF!</definedName>
    <definedName name="CRITERIO123">#REF!</definedName>
    <definedName name="CRITERIO124">#REF!</definedName>
    <definedName name="CRITERIO125">#REF!</definedName>
    <definedName name="CRITERIO126">#REF!</definedName>
    <definedName name="CRITERIO127">#REF!</definedName>
    <definedName name="CRITERIO129">#REF!</definedName>
    <definedName name="CRITERIO130">#REF!</definedName>
    <definedName name="CRITERIO132">#REF!</definedName>
    <definedName name="CRITERIO133">#REF!</definedName>
    <definedName name="CRITERIO134">#REF!</definedName>
    <definedName name="CRITERIO135">#REF!</definedName>
    <definedName name="CRITERIO136">#REF!</definedName>
    <definedName name="CRITERIO137">#REF!</definedName>
    <definedName name="CRITERIO138">#REF!</definedName>
    <definedName name="CRITERIO139">#REF!</definedName>
    <definedName name="CRITERIO140">#REF!</definedName>
    <definedName name="CRITERIO141">#REF!</definedName>
    <definedName name="CRITERIO142">#REF!</definedName>
    <definedName name="CRITERIO143">#REF!</definedName>
    <definedName name="CRITERIO144">#REF!</definedName>
    <definedName name="CRITERIO145">#REF!</definedName>
    <definedName name="CRITERIO146">#REF!</definedName>
    <definedName name="CRITERIO156">#REF!</definedName>
    <definedName name="CRITERIO157">#REF!</definedName>
    <definedName name="CRITERIO158">#REF!</definedName>
    <definedName name="CRITERIO159">#REF!</definedName>
    <definedName name="CRITERIO160">#REF!</definedName>
    <definedName name="CRITERIO161">#REF!</definedName>
    <definedName name="CRITERIO162">#REF!</definedName>
    <definedName name="CRITERIO163">#REF!</definedName>
    <definedName name="CRITERIO164">#REF!</definedName>
    <definedName name="CRITERIO165">#REF!</definedName>
    <definedName name="CRITERIO166">#REF!</definedName>
    <definedName name="CRITERIO167">#REF!</definedName>
    <definedName name="CRITERIO168">#REF!</definedName>
    <definedName name="CRITERIO169">#REF!</definedName>
    <definedName name="CRITERIO170">#REF!</definedName>
    <definedName name="CRITERIO171">#REF!</definedName>
    <definedName name="CRITERIO172">#REF!</definedName>
    <definedName name="CRITERIO173">#REF!</definedName>
    <definedName name="CRITERIO174">#REF!</definedName>
    <definedName name="CRITERIO175">#REF!</definedName>
    <definedName name="CRITERIO176">#REF!</definedName>
    <definedName name="CRITERIO177">#REF!</definedName>
    <definedName name="CRITERIO178">#REF!</definedName>
    <definedName name="CRITERIO179">#REF!</definedName>
    <definedName name="CRITERIO180">#REF!</definedName>
    <definedName name="CRITERIO181">#REF!</definedName>
    <definedName name="CRITERIO182">#REF!</definedName>
    <definedName name="CRITERIO183">#REF!</definedName>
    <definedName name="CRITERIO184">#REF!</definedName>
    <definedName name="CRITERIO185">#REF!</definedName>
    <definedName name="CRITERIO186">#REF!</definedName>
    <definedName name="CRITERIO187">#REF!</definedName>
    <definedName name="CRITERIO188">#REF!</definedName>
    <definedName name="CRITERIO189">#REF!</definedName>
    <definedName name="CRITERIO190">#REF!</definedName>
    <definedName name="CRITERIO191">#REF!</definedName>
    <definedName name="CRITERIO192">#REF!</definedName>
    <definedName name="CRITERIO193">#REF!</definedName>
    <definedName name="CRITERIO194">#REF!</definedName>
    <definedName name="CRITERIO195">#REF!</definedName>
    <definedName name="CRITERIO196">#REF!</definedName>
    <definedName name="CRITERIO197">#REF!</definedName>
    <definedName name="CRITERIO198">#REF!</definedName>
    <definedName name="CRITERIO199">#REF!</definedName>
    <definedName name="CRITERIO2">#REF!</definedName>
    <definedName name="CRITERIO200">#REF!</definedName>
    <definedName name="CRITERIO201">#REF!</definedName>
    <definedName name="CRITERIO202">#REF!</definedName>
    <definedName name="CRITERIO203">#REF!</definedName>
    <definedName name="CRITERIO204">#REF!</definedName>
    <definedName name="CRITERIO205">#REF!</definedName>
    <definedName name="CRITERIO206">#REF!</definedName>
    <definedName name="CRITERIO207">#REF!</definedName>
    <definedName name="CRITERIO208">#REF!</definedName>
    <definedName name="CRITERIO209">#REF!</definedName>
    <definedName name="CRITERIO210">#REF!</definedName>
    <definedName name="CRITERIO211">#REF!</definedName>
    <definedName name="CRITERIO212">#REF!</definedName>
    <definedName name="CRITERIO213">#REF!</definedName>
    <definedName name="CRITERIO214">#REF!</definedName>
    <definedName name="CRITERIO215">#REF!</definedName>
    <definedName name="CRITERIO216">#REF!</definedName>
    <definedName name="CRITERIO217">#REF!</definedName>
    <definedName name="CRITERIO218">#REF!</definedName>
    <definedName name="CRITERIO219">#REF!</definedName>
    <definedName name="CRITERIO220">#REF!</definedName>
    <definedName name="CRITERIO221">#REF!</definedName>
    <definedName name="CRITERIO222">#REF!</definedName>
    <definedName name="CRITERIO223">#REF!</definedName>
    <definedName name="CRITERIO224">#REF!</definedName>
    <definedName name="CRITERIO225">#REF!</definedName>
    <definedName name="CRITERIO226">#REF!</definedName>
    <definedName name="CRITERIO227">#REF!</definedName>
    <definedName name="CRITERIO228">#REF!</definedName>
    <definedName name="CRITERIO229">#REF!</definedName>
    <definedName name="CRITERIO230">#REF!</definedName>
    <definedName name="CRITERIO231">#REF!</definedName>
    <definedName name="CRITERIO232">#REF!</definedName>
    <definedName name="CRITERIO233">#REF!</definedName>
    <definedName name="CRITERIO234">#REF!</definedName>
    <definedName name="CRITERIO235">#REF!</definedName>
    <definedName name="CRITERIO236">#REF!</definedName>
    <definedName name="CRITERIO237">#REF!</definedName>
    <definedName name="CRITERIO238">#REF!</definedName>
    <definedName name="CRITERIO239">#REF!</definedName>
    <definedName name="CRITERIO240">#REF!</definedName>
    <definedName name="CRITERIO241">#REF!</definedName>
    <definedName name="CRITERIO242">#REF!</definedName>
    <definedName name="CRITERIO243">#REF!</definedName>
    <definedName name="CRITERIO244">#REF!</definedName>
    <definedName name="CRITERIO245">#REF!</definedName>
    <definedName name="CRITERIO246">#REF!</definedName>
    <definedName name="CRITERIO251">#REF!</definedName>
    <definedName name="CRITERIO254">#REF!</definedName>
    <definedName name="CRITERIO259">#REF!</definedName>
    <definedName name="CRITERIO260">#REF!</definedName>
    <definedName name="CRITERIO28">#REF!</definedName>
    <definedName name="CRITERIO29">#REF!</definedName>
    <definedName name="CRITERIO30">#REF!</definedName>
    <definedName name="CRITERIO31">#REF!</definedName>
    <definedName name="CRITERIO32">#REF!</definedName>
    <definedName name="CRITERIO33">#REF!</definedName>
    <definedName name="CRITERIO34">#REF!</definedName>
    <definedName name="CRITERIO35">#REF!</definedName>
    <definedName name="CRITERIO36">#REF!</definedName>
    <definedName name="CRITERIO37">#REF!</definedName>
    <definedName name="CRITERIO38">#REF!</definedName>
    <definedName name="CRITERIO39">#REF!</definedName>
    <definedName name="CRITERIO4">#REF!</definedName>
    <definedName name="CRITERIO40">#REF!</definedName>
    <definedName name="CRITERIO41">#REF!</definedName>
    <definedName name="CRITERIO42">#REF!</definedName>
    <definedName name="CRITERIO43">#REF!</definedName>
    <definedName name="CRITERIO44">#REF!</definedName>
    <definedName name="CRITERIO45">#REF!</definedName>
    <definedName name="CRITERIO47">#REF!</definedName>
    <definedName name="CRITERIO48">#REF!</definedName>
    <definedName name="CRITERIO49">#REF!</definedName>
    <definedName name="CRITERIO5">#REF!</definedName>
    <definedName name="CRITERIO50">#REF!</definedName>
    <definedName name="CRITERIO51">#REF!</definedName>
    <definedName name="CRITERIO52">#REF!</definedName>
    <definedName name="CRITERIO53">#REF!</definedName>
    <definedName name="CRITERIO55">#REF!</definedName>
    <definedName name="CRITERIO56">#REF!</definedName>
    <definedName name="CRITERIO57">#REF!</definedName>
    <definedName name="CRITERIO58">#REF!</definedName>
    <definedName name="CRITERIO59">#REF!</definedName>
    <definedName name="CRITERIO6">#REF!</definedName>
    <definedName name="CRITERIO60">#REF!</definedName>
    <definedName name="CRITERIO61">#REF!</definedName>
    <definedName name="CRITERIO62">#REF!</definedName>
    <definedName name="CRITERIO63">#REF!</definedName>
    <definedName name="CRITERIO64">#REF!</definedName>
    <definedName name="CRITERIO65">#REF!</definedName>
    <definedName name="CRITERIO66">#REF!</definedName>
    <definedName name="CRITERIO67">#REF!</definedName>
    <definedName name="CRITERIO68">#REF!</definedName>
    <definedName name="CRITERIO69">#REF!</definedName>
    <definedName name="CRITERIO7">#REF!</definedName>
    <definedName name="CRITERIO70">#REF!</definedName>
    <definedName name="CRITERIO71">#REF!</definedName>
    <definedName name="CRITERIO72">#REF!</definedName>
    <definedName name="CRITERIO73">#REF!</definedName>
    <definedName name="CRITERIO74">#REF!</definedName>
    <definedName name="CRITERIO75">#REF!</definedName>
    <definedName name="CRITERIO76">#REF!</definedName>
    <definedName name="CRITERIO77">#REF!</definedName>
    <definedName name="CRITERIO78">#REF!</definedName>
    <definedName name="CRITERIO79">#REF!</definedName>
    <definedName name="CRITERIO8">#REF!</definedName>
    <definedName name="CRITERIO80">#REF!</definedName>
    <definedName name="CRITERIO81">#REF!</definedName>
    <definedName name="CRITERIO82">#REF!</definedName>
    <definedName name="CRITERIO83">#REF!</definedName>
    <definedName name="CRITERIO84">#REF!</definedName>
    <definedName name="CRITERIO85">#REF!</definedName>
    <definedName name="CRITERIO86">#REF!</definedName>
    <definedName name="CRITERIO87">#REF!</definedName>
    <definedName name="CRITERIO88">#REF!</definedName>
    <definedName name="CRITERIO89">#REF!</definedName>
    <definedName name="CRITERIO9">#REF!</definedName>
    <definedName name="CRITERIO90">#REF!</definedName>
    <definedName name="CRITERIO91">#REF!</definedName>
    <definedName name="CRITERIO92">#REF!</definedName>
    <definedName name="CRITERIO93">#REF!</definedName>
    <definedName name="CRITERIO94">#REF!</definedName>
    <definedName name="CRITERIO95">#REF!</definedName>
    <definedName name="CRITERIO96">#REF!</definedName>
    <definedName name="CRITERIO97">#REF!</definedName>
    <definedName name="CRITERIO98">#REF!</definedName>
    <definedName name="CRITERIO99">#REF!</definedName>
    <definedName name="dbase">'[1]file'!$A$1:$N$450</definedName>
    <definedName name="_xlnm.Print_Titles" localSheetId="1">'Entrate nette'!$1:$7</definedName>
    <definedName name="_xlnm.Print_Titles" localSheetId="0">'Entrate tot e finalizzati'!$1:$7</definedName>
  </definedNames>
  <calcPr fullCalcOnLoad="1"/>
</workbook>
</file>

<file path=xl/sharedStrings.xml><?xml version="1.0" encoding="utf-8"?>
<sst xmlns="http://schemas.openxmlformats.org/spreadsheetml/2006/main" count="550" uniqueCount="141">
  <si>
    <t>DIREZIONE GENERALE</t>
  </si>
  <si>
    <t>PERSONALE E ORGANIZZAZIONE</t>
  </si>
  <si>
    <t>QUARTIERE NAVILE</t>
  </si>
  <si>
    <t>QUARTIERE RENO</t>
  </si>
  <si>
    <t>QUARTIERE S.DONATO</t>
  </si>
  <si>
    <t>QUARTIERE SAVENA</t>
  </si>
  <si>
    <t>IN MIGLIAIA DI EURO</t>
  </si>
  <si>
    <t>TOTALE</t>
  </si>
  <si>
    <t>+</t>
  </si>
  <si>
    <t>TOT</t>
  </si>
  <si>
    <t>CONS</t>
  </si>
  <si>
    <t>* Per risorse "finalizzate" si intendono le entrate derivanti da trasferimenti ed altro a cui corrisponde un'uscita vincolata.</t>
  </si>
  <si>
    <t>ENTRATE</t>
  </si>
  <si>
    <t>QUARTIERI</t>
  </si>
  <si>
    <t>ALTRE ENTRATE CORRENTI</t>
  </si>
  <si>
    <t>UTILI DI AZIENDE E SOCIETA'</t>
  </si>
  <si>
    <t>TRASFERIMENTI DA ALTRI ENTI DEL SETTORE PUBBLICO</t>
  </si>
  <si>
    <t>TRASFERIMENTI DA ORGANISMI INTERNAZIONALI E COMUNITARI</t>
  </si>
  <si>
    <t>ALTRI PROVENTI E SANZIONI</t>
  </si>
  <si>
    <t>ALTRI PROVENTI DI BENI</t>
  </si>
  <si>
    <t>PROVENTI E SANZIONI</t>
  </si>
  <si>
    <t>DIRITTI DIVERSI</t>
  </si>
  <si>
    <t>PROVENTI NIDI</t>
  </si>
  <si>
    <t>TRASFERIMENTI REGIONE PER GESTIONE SERVIZI</t>
  </si>
  <si>
    <t>RIMBORSO SPESE DIVERSE</t>
  </si>
  <si>
    <t>FONDO ORDINARIO</t>
  </si>
  <si>
    <t>CONCORSO PER MUTUI</t>
  </si>
  <si>
    <t>INTERESSI FINALIZZATI</t>
  </si>
  <si>
    <t>INTERESSI SU ANTICIPAZIONI E CREDITI</t>
  </si>
  <si>
    <t>IVA</t>
  </si>
  <si>
    <t>FONDO CONSOLIDATO</t>
  </si>
  <si>
    <t>FONDO PEREQUATIVO SQUILIBRI FISCALITA' LOCALE</t>
  </si>
  <si>
    <t>CONTRIBUTI DI ENTI, ISTITUTI E PRIVATI</t>
  </si>
  <si>
    <t>RIMBORSO DI SPESE DIVERSE</t>
  </si>
  <si>
    <t>AVANZO DI AMMINISTRAZIONE APPLICATO</t>
  </si>
  <si>
    <t>TRASFERIMENTI DA STATO</t>
  </si>
  <si>
    <t>TRASFERIMENTI DA REGIONE</t>
  </si>
  <si>
    <t>ICIAP</t>
  </si>
  <si>
    <t>ICI</t>
  </si>
  <si>
    <t>IMPOSTA SULLA PUBBLICITA'</t>
  </si>
  <si>
    <t>ADDIZIONALE ENEL (e altro)</t>
  </si>
  <si>
    <t>TASSA SMALTIMENTO RIFIUTI</t>
  </si>
  <si>
    <t>TASSA OCCUPAZIONE SPAZI</t>
  </si>
  <si>
    <t>TASSA SULLE CONCESSIONI COMUNALI</t>
  </si>
  <si>
    <t>DIRITTI PER PUBBLICHE AFFISSIONI</t>
  </si>
  <si>
    <t>CANONE ACQUE REFLUE (11)</t>
  </si>
  <si>
    <t>ALTRI PROVENTI E SANZIONI FINALIZZATI</t>
  </si>
  <si>
    <t>PROVENTI CONCESSIONI PUBBLICITARIE</t>
  </si>
  <si>
    <t>IRAP</t>
  </si>
  <si>
    <t>ADDIZIONALE COMUNALE IRPEF</t>
  </si>
  <si>
    <t>CANONE OCCUPAZIONE SPAZI E AREE PUBBLICHE (ex TOSAP)</t>
  </si>
  <si>
    <t>PROVENTI SERVIZI FOGNATURA</t>
  </si>
  <si>
    <t xml:space="preserve">PROVENTI DI SERVIZI </t>
  </si>
  <si>
    <t xml:space="preserve">PROVENTI DI BENI </t>
  </si>
  <si>
    <t>FITTI IMMOBILI COMMERCIALI COMUNALI</t>
  </si>
  <si>
    <t>FITTI IMMOBILI COMMERCIALI AREE MERCATALI</t>
  </si>
  <si>
    <t>FITTI IMMOBILI COMMERCIALI IPPODROMO ARCOVEGGIO</t>
  </si>
  <si>
    <t>FITTI IMMOBILI USO ABITATIVO (12)</t>
  </si>
  <si>
    <t>FITTI COMMERCIALI FINALIZZATI</t>
  </si>
  <si>
    <t>FITTI IMMOBILI LFA</t>
  </si>
  <si>
    <t>PROVENTI SERVIZI CIMITERIALI</t>
  </si>
  <si>
    <t>PROVENTI SERVIZI AGENZIA TRASPORTI ED ONORANZE FUNEBRI</t>
  </si>
  <si>
    <t>PROVENTI SERVIZI NECROSCOPICI/POLIZIA MORTUARIA</t>
  </si>
  <si>
    <t>PROVENTI VENDITA LOCULI</t>
  </si>
  <si>
    <t xml:space="preserve">ALTRI PROVENTI E SANZIONI </t>
  </si>
  <si>
    <t xml:space="preserve">RIMBORSO SPESE DIVERSE </t>
  </si>
  <si>
    <t xml:space="preserve">TRASFERIMENTI DA STATO </t>
  </si>
  <si>
    <t xml:space="preserve">CONTRIBUTI DI ENTI ED ISTITUTI PRIVATI </t>
  </si>
  <si>
    <t>PROVENTI SERVIZI INTEGRATIVI</t>
  </si>
  <si>
    <t>TRASFERIMENTI REGIONE PER FUNZIONI DELEGATE</t>
  </si>
  <si>
    <t>PROVENTI REFEZIONE SCOLASTICA</t>
  </si>
  <si>
    <t>PROVENTI ATTIVITA' CULTURALI</t>
  </si>
  <si>
    <t xml:space="preserve">TRASFERIMENTI DA ALTRI ENTI DEL SETTORE PUBBLICO </t>
  </si>
  <si>
    <t>FITTI PALAZZO RE ENZO</t>
  </si>
  <si>
    <t>PROVENTI IMPIANTI SPORTIVI</t>
  </si>
  <si>
    <t>PROVENTI DA ISTITUZIONI ESTIVE</t>
  </si>
  <si>
    <t>PROVENTI CONTROLLO EDILIZIO</t>
  </si>
  <si>
    <t>PROVENTI DA PARCHEGGI</t>
  </si>
  <si>
    <t>PROVENTI E DIRITTI SERVIZI DEMOGRAFICI</t>
  </si>
  <si>
    <t>AMMENDE PER CONTRAVVENZIONI</t>
  </si>
  <si>
    <t>AMMENDE PER CONTRAVVENZIONI: ORDINARIE</t>
  </si>
  <si>
    <t>AMMENDE PER CONTRAVVENZIONI: PREGRESSE</t>
  </si>
  <si>
    <t>PROVENTI PER RIMOZIONE</t>
  </si>
  <si>
    <t>AMMENDE PER CONTRAVVENZIONI: RECUPERO CREDITI</t>
  </si>
  <si>
    <t>(**) Il 2001 è al netto di contributi (€ 34.206 mgl da Regione e € 3.434 mgl da Stato) per trasporto pubblico locale trasferiti ad ATC</t>
  </si>
  <si>
    <t>MOBILITA' URBANA (**)</t>
  </si>
  <si>
    <t xml:space="preserve">LEGALE </t>
  </si>
  <si>
    <t xml:space="preserve">SEGRETERIA GENERALE </t>
  </si>
  <si>
    <t>SISTEMI INFORMATIVI E TELEMATICI</t>
  </si>
  <si>
    <t>COMPARTECIPAZIONE GETTITO IRPEF</t>
  </si>
  <si>
    <t>FITTI IMMOBILI COMMERCIALI ACER</t>
  </si>
  <si>
    <t>ICI RECUPERO ARRETRATI</t>
  </si>
  <si>
    <t>ADDIZIONALE COMUNALE IRPEF- ESERCIZI PRECEDENTI</t>
  </si>
  <si>
    <t>TASSA SMALTIMENTO RIFIUTI - RECUPERO ARRETRATI</t>
  </si>
  <si>
    <t>FITTI ALLOGGI IMMIGRATI/PROFUGHI/NOMADI</t>
  </si>
  <si>
    <t>FITTI SALA BORSA</t>
  </si>
  <si>
    <t>di cui fin.*</t>
  </si>
  <si>
    <t xml:space="preserve">TRASFERIMENTI DA ORGANISMI INTERNAZIONALI E COMUNITARI </t>
  </si>
  <si>
    <t>PARTECIPAZIONI SOCIETARIE</t>
  </si>
  <si>
    <t>POLIZIA MUNICIPALE E PROTEZIONE CIVILE</t>
  </si>
  <si>
    <t>LAVORI PUBBLICI</t>
  </si>
  <si>
    <t>AMBIENTE E VERDE URBANO</t>
  </si>
  <si>
    <t>SERVIZI DEMOGRAFICI</t>
  </si>
  <si>
    <t>SOPRAVVENIENZE ATTIVE</t>
  </si>
  <si>
    <t>PROVENTI SERVIZI: RECUPERO PREGRESSI</t>
  </si>
  <si>
    <t>FITTI IMM. USO ABITATIVO IAR</t>
  </si>
  <si>
    <t>FITTI IMMOBILI COMMERCIALI IAR</t>
  </si>
  <si>
    <t>CONCESSIONI IN USO FOGNATURE E RETI (HERA)</t>
  </si>
  <si>
    <t>PROVENTI SERVIZI SOCIO ASSISTENZIALI</t>
  </si>
  <si>
    <t xml:space="preserve">DIRITTI DIVERSI </t>
  </si>
  <si>
    <t>QUARTIERE S.VITALE</t>
  </si>
  <si>
    <t xml:space="preserve">TRASFERIMENTI DA REGIONE </t>
  </si>
  <si>
    <t xml:space="preserve">ALTRI PROVENTI DI BENI </t>
  </si>
  <si>
    <t xml:space="preserve">ALTRE ENTRATE CORRENTI </t>
  </si>
  <si>
    <t>TRASFERIMENTI DA STATO (**)</t>
  </si>
  <si>
    <t>TRASFERIMENTI DA REGIONE  (**)</t>
  </si>
  <si>
    <t xml:space="preserve">FITTI ERP </t>
  </si>
  <si>
    <t xml:space="preserve">TRASFERIMENTI DA ALTRI ENTI DEL SETTORE PUBBLICO  </t>
  </si>
  <si>
    <t xml:space="preserve">ENTRATE: SERIE STORICA (1998 - 2006) </t>
  </si>
  <si>
    <t>PROVENTI PERMESSI ACCESSO ZONA TRAFFICO LIMITATO</t>
  </si>
  <si>
    <t>QUARTIERE BORGO PANIGALE</t>
  </si>
  <si>
    <t>QUARTIERE SANTO STEFANO</t>
  </si>
  <si>
    <t>QUARTIERE SARAGOZZA</t>
  </si>
  <si>
    <t>ADDIZIONALE COMUNALE DIRITTI D'IMBARCO</t>
  </si>
  <si>
    <t>STAFF POLITICO ISTITUZIONALE</t>
  </si>
  <si>
    <t>GABINETTO E STAFF DEL SINDACO</t>
  </si>
  <si>
    <t>SETTORI DI STAFF</t>
  </si>
  <si>
    <t>AFFARI ISTITUZIONALI E DECENTRAMENTO</t>
  </si>
  <si>
    <t xml:space="preserve"> ACQUISTI BENI E SERVIZI</t>
  </si>
  <si>
    <t>FINANZA E RAGIONERIA</t>
  </si>
  <si>
    <t>COMUNICAZIONE E RAPPORTI CON I CITTADINI</t>
  </si>
  <si>
    <t>SETTORI DI LINE</t>
  </si>
  <si>
    <t xml:space="preserve"> PATRIMONIO</t>
  </si>
  <si>
    <t>COORDINAMENTO SOCIALE E SALUTE</t>
  </si>
  <si>
    <t>ISTRUZIONE E POLITICHE DELLE DIFFERENZE</t>
  </si>
  <si>
    <t>CULTURA E RAPPORTI CON L'UNIVERSITA'</t>
  </si>
  <si>
    <t>ATTIVITA' PRODUTTIVE E COMMERCIALI</t>
  </si>
  <si>
    <t>SPORT, GIOVANI E TURISMO</t>
  </si>
  <si>
    <t>TERRITORIO E URBANISTICA</t>
  </si>
  <si>
    <t>POLITICHE ABITATIVE</t>
  </si>
  <si>
    <t xml:space="preserve">ENTRATE NETTE : SERIE STORICA (1998 - 2006) </t>
  </si>
</sst>
</file>

<file path=xl/styles.xml><?xml version="1.0" encoding="utf-8"?>
<styleSheet xmlns="http://schemas.openxmlformats.org/spreadsheetml/2006/main">
  <numFmts count="2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_-* #,##0.0_-;\-* #,##0.0_-;_-* &quot;-&quot;_-;_-@_-"/>
    <numFmt numFmtId="179" formatCode="0.0"/>
    <numFmt numFmtId="180" formatCode="0.000"/>
    <numFmt numFmtId="181" formatCode="0_ ;\-0\ "/>
  </numFmts>
  <fonts count="1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Symbol"/>
      <family val="1"/>
    </font>
    <font>
      <sz val="12"/>
      <name val="Symbol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 horizontal="centerContinuous"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3" fillId="0" borderId="1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 quotePrefix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3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2" xfId="0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3" fontId="2" fillId="2" borderId="1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1" fillId="0" borderId="6" xfId="0" applyFont="1" applyBorder="1" applyAlignment="1">
      <alignment/>
    </xf>
    <xf numFmtId="3" fontId="2" fillId="2" borderId="10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right"/>
    </xf>
    <xf numFmtId="3" fontId="2" fillId="2" borderId="6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6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6" fillId="3" borderId="8" xfId="0" applyFont="1" applyFill="1" applyBorder="1" applyAlignment="1">
      <alignment horizontal="centerContinuous"/>
    </xf>
    <xf numFmtId="0" fontId="6" fillId="3" borderId="11" xfId="0" applyFont="1" applyFill="1" applyBorder="1" applyAlignment="1">
      <alignment horizontal="centerContinuous"/>
    </xf>
    <xf numFmtId="0" fontId="6" fillId="3" borderId="3" xfId="0" applyFont="1" applyFill="1" applyBorder="1" applyAlignment="1">
      <alignment horizontal="centerContinuous"/>
    </xf>
    <xf numFmtId="0" fontId="6" fillId="3" borderId="5" xfId="0" applyFont="1" applyFill="1" applyBorder="1" applyAlignment="1">
      <alignment horizontal="centerContinuous"/>
    </xf>
    <xf numFmtId="0" fontId="2" fillId="3" borderId="11" xfId="0" applyFont="1" applyFill="1" applyBorder="1" applyAlignment="1">
      <alignment horizontal="centerContinuous"/>
    </xf>
    <xf numFmtId="3" fontId="1" fillId="0" borderId="4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3" fontId="1" fillId="0" borderId="4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2" fillId="3" borderId="12" xfId="0" applyFont="1" applyFill="1" applyBorder="1" applyAlignment="1">
      <alignment horizontal="centerContinuous"/>
    </xf>
    <xf numFmtId="0" fontId="2" fillId="0" borderId="1" xfId="0" applyFont="1" applyFill="1" applyBorder="1" applyAlignment="1">
      <alignment/>
    </xf>
    <xf numFmtId="3" fontId="1" fillId="0" borderId="4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 quotePrefix="1">
      <alignment/>
    </xf>
    <xf numFmtId="3" fontId="1" fillId="0" borderId="6" xfId="0" applyNumberFormat="1" applyFont="1" applyBorder="1" applyAlignment="1">
      <alignment horizontal="left"/>
    </xf>
    <xf numFmtId="0" fontId="0" fillId="0" borderId="0" xfId="0" applyFont="1" applyFill="1" applyAlignment="1">
      <alignment/>
    </xf>
    <xf numFmtId="3" fontId="1" fillId="0" borderId="5" xfId="0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2" xfId="0" applyFill="1" applyBorder="1" applyAlignment="1">
      <alignment/>
    </xf>
    <xf numFmtId="3" fontId="1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" fillId="0" borderId="6" xfId="0" applyFont="1" applyFill="1" applyBorder="1" applyAlignment="1">
      <alignment/>
    </xf>
    <xf numFmtId="0" fontId="1" fillId="0" borderId="6" xfId="0" applyFont="1" applyFill="1" applyBorder="1" applyAlignment="1">
      <alignment horizontal="right"/>
    </xf>
    <xf numFmtId="3" fontId="1" fillId="0" borderId="7" xfId="0" applyNumberFormat="1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0" fillId="0" borderId="1" xfId="0" applyFont="1" applyBorder="1" applyAlignment="1">
      <alignment/>
    </xf>
    <xf numFmtId="0" fontId="8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41" fontId="1" fillId="0" borderId="6" xfId="16" applyFont="1" applyFill="1" applyBorder="1" applyAlignment="1">
      <alignment horizontal="right"/>
    </xf>
    <xf numFmtId="41" fontId="1" fillId="0" borderId="4" xfId="16" applyFont="1" applyFill="1" applyBorder="1" applyAlignment="1">
      <alignment horizontal="right"/>
    </xf>
    <xf numFmtId="41" fontId="1" fillId="0" borderId="4" xfId="16" applyFont="1" applyFill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 horizontal="centerContinuous"/>
    </xf>
    <xf numFmtId="3" fontId="8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left"/>
    </xf>
    <xf numFmtId="0" fontId="4" fillId="0" borderId="0" xfId="0" applyFont="1" applyAlignment="1">
      <alignment vertical="center"/>
    </xf>
    <xf numFmtId="41" fontId="1" fillId="0" borderId="6" xfId="16" applyFont="1" applyFill="1" applyBorder="1" applyAlignment="1">
      <alignment/>
    </xf>
    <xf numFmtId="41" fontId="1" fillId="0" borderId="4" xfId="16" applyFont="1" applyBorder="1" applyAlignment="1">
      <alignment/>
    </xf>
    <xf numFmtId="41" fontId="1" fillId="0" borderId="5" xfId="16" applyFont="1" applyFill="1" applyBorder="1" applyAlignment="1">
      <alignment/>
    </xf>
    <xf numFmtId="0" fontId="2" fillId="0" borderId="4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4" borderId="8" xfId="0" applyFont="1" applyFill="1" applyBorder="1" applyAlignment="1">
      <alignment/>
    </xf>
    <xf numFmtId="3" fontId="2" fillId="0" borderId="6" xfId="0" applyNumberFormat="1" applyFont="1" applyBorder="1" applyAlignment="1">
      <alignment horizontal="right"/>
    </xf>
    <xf numFmtId="0" fontId="1" fillId="0" borderId="2" xfId="0" applyFont="1" applyBorder="1" applyAlignment="1">
      <alignment/>
    </xf>
    <xf numFmtId="3" fontId="7" fillId="5" borderId="12" xfId="0" applyNumberFormat="1" applyFont="1" applyFill="1" applyBorder="1" applyAlignment="1">
      <alignment/>
    </xf>
    <xf numFmtId="0" fontId="2" fillId="0" borderId="1" xfId="0" applyFont="1" applyFill="1" applyBorder="1" applyAlignment="1" quotePrefix="1">
      <alignment/>
    </xf>
    <xf numFmtId="41" fontId="1" fillId="0" borderId="6" xfId="16" applyFont="1" applyFill="1" applyBorder="1" applyAlignment="1">
      <alignment/>
    </xf>
    <xf numFmtId="3" fontId="1" fillId="0" borderId="5" xfId="0" applyNumberFormat="1" applyFont="1" applyBorder="1" applyAlignment="1">
      <alignment/>
    </xf>
    <xf numFmtId="0" fontId="6" fillId="3" borderId="3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6" fillId="3" borderId="7" xfId="0" applyFont="1" applyFill="1" applyBorder="1" applyAlignment="1">
      <alignment horizontal="center"/>
    </xf>
    <xf numFmtId="41" fontId="1" fillId="0" borderId="7" xfId="16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1" fillId="0" borderId="1" xfId="0" applyFont="1" applyBorder="1" applyAlignment="1">
      <alignment/>
    </xf>
    <xf numFmtId="3" fontId="1" fillId="0" borderId="6" xfId="0" applyNumberFormat="1" applyFont="1" applyBorder="1" applyAlignment="1">
      <alignment horizontal="left"/>
    </xf>
    <xf numFmtId="41" fontId="1" fillId="0" borderId="5" xfId="16" applyFont="1" applyBorder="1" applyAlignment="1">
      <alignment/>
    </xf>
    <xf numFmtId="3" fontId="1" fillId="0" borderId="0" xfId="0" applyNumberFormat="1" applyFont="1" applyAlignment="1">
      <alignment/>
    </xf>
    <xf numFmtId="0" fontId="1" fillId="4" borderId="9" xfId="0" applyFont="1" applyFill="1" applyBorder="1" applyAlignment="1">
      <alignment/>
    </xf>
    <xf numFmtId="0" fontId="3" fillId="0" borderId="0" xfId="0" applyFont="1" applyFill="1" applyAlignment="1">
      <alignment/>
    </xf>
    <xf numFmtId="3" fontId="1" fillId="0" borderId="4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3" fontId="0" fillId="0" borderId="0" xfId="0" applyNumberFormat="1" applyFill="1" applyAlignment="1">
      <alignment/>
    </xf>
    <xf numFmtId="0" fontId="2" fillId="0" borderId="3" xfId="0" applyFont="1" applyFill="1" applyBorder="1" applyAlignment="1">
      <alignment/>
    </xf>
    <xf numFmtId="0" fontId="4" fillId="0" borderId="2" xfId="0" applyFont="1" applyBorder="1" applyAlignment="1">
      <alignment horizontal="centerContinuous"/>
    </xf>
    <xf numFmtId="0" fontId="2" fillId="3" borderId="13" xfId="0" applyFont="1" applyFill="1" applyBorder="1" applyAlignment="1">
      <alignment horizontal="centerContinuous"/>
    </xf>
    <xf numFmtId="0" fontId="0" fillId="0" borderId="2" xfId="0" applyFont="1" applyBorder="1" applyAlignment="1">
      <alignment/>
    </xf>
    <xf numFmtId="3" fontId="1" fillId="0" borderId="2" xfId="0" applyNumberFormat="1" applyFont="1" applyFill="1" applyBorder="1" applyAlignment="1">
      <alignment horizontal="right"/>
    </xf>
    <xf numFmtId="3" fontId="1" fillId="0" borderId="2" xfId="0" applyNumberFormat="1" applyFont="1" applyBorder="1" applyAlignment="1">
      <alignment/>
    </xf>
    <xf numFmtId="0" fontId="3" fillId="0" borderId="3" xfId="0" applyFont="1" applyFill="1" applyBorder="1" applyAlignment="1">
      <alignment/>
    </xf>
    <xf numFmtId="41" fontId="1" fillId="0" borderId="7" xfId="16" applyFont="1" applyFill="1" applyBorder="1" applyAlignment="1">
      <alignment/>
    </xf>
    <xf numFmtId="0" fontId="6" fillId="3" borderId="10" xfId="0" applyFont="1" applyFill="1" applyBorder="1" applyAlignment="1">
      <alignment horizontal="centerContinuous"/>
    </xf>
    <xf numFmtId="0" fontId="6" fillId="3" borderId="3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4" borderId="9" xfId="0" applyFill="1" applyBorder="1" applyAlignment="1">
      <alignment/>
    </xf>
    <xf numFmtId="3" fontId="3" fillId="4" borderId="10" xfId="0" applyNumberFormat="1" applyFont="1" applyFill="1" applyBorder="1" applyAlignment="1">
      <alignment/>
    </xf>
    <xf numFmtId="0" fontId="0" fillId="2" borderId="9" xfId="0" applyFill="1" applyBorder="1" applyAlignment="1">
      <alignment/>
    </xf>
    <xf numFmtId="0" fontId="7" fillId="5" borderId="14" xfId="0" applyFont="1" applyFill="1" applyBorder="1" applyAlignment="1">
      <alignment/>
    </xf>
    <xf numFmtId="0" fontId="8" fillId="5" borderId="1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faella\BDG%20In%20EURO\Uscite%20con%20sp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le"/>
      <sheetName val="TAVOLA"/>
    </sheetNames>
    <sheetDataSet>
      <sheetData sheetId="0">
        <row r="1">
          <cell r="A1" t="str">
            <v>CODA</v>
          </cell>
          <cell r="B1" t="str">
            <v>CODB</v>
          </cell>
          <cell r="C1" t="str">
            <v>CODC</v>
          </cell>
          <cell r="D1" t="str">
            <v>CODD</v>
          </cell>
          <cell r="E1" t="str">
            <v>CODE</v>
          </cell>
          <cell r="F1" t="str">
            <v>CODF</v>
          </cell>
          <cell r="G1" t="str">
            <v>CODG</v>
          </cell>
          <cell r="H1" t="str">
            <v>CODH</v>
          </cell>
          <cell r="I1" t="str">
            <v>CODI</v>
          </cell>
          <cell r="J1" t="str">
            <v>CODL</v>
          </cell>
          <cell r="K1" t="str">
            <v>CODM</v>
          </cell>
          <cell r="L1" t="str">
            <v>CODN</v>
          </cell>
          <cell r="M1" t="str">
            <v>CODO</v>
          </cell>
          <cell r="N1" t="str">
            <v>CODP</v>
          </cell>
        </row>
        <row r="2">
          <cell r="A2" t="str">
            <v>CDG6 </v>
          </cell>
          <cell r="B2">
            <v>146</v>
          </cell>
          <cell r="C2" t="str">
            <v>Coordinamento organizzazione decentrata                     </v>
          </cell>
          <cell r="D2">
            <v>5</v>
          </cell>
          <cell r="E2">
            <v>71</v>
          </cell>
          <cell r="F2" t="str">
            <v>CONSUMI SPECIFICI                                           </v>
          </cell>
          <cell r="G2">
            <v>0</v>
          </cell>
          <cell r="H2">
            <v>72122.78</v>
          </cell>
          <cell r="I2">
            <v>1438848.92</v>
          </cell>
          <cell r="J2">
            <v>1901077.85</v>
          </cell>
          <cell r="K2">
            <v>2253301.45</v>
          </cell>
        </row>
        <row r="3">
          <cell r="A3" t="str">
            <v>CDG6 </v>
          </cell>
          <cell r="B3">
            <v>5</v>
          </cell>
          <cell r="C3" t="str">
            <v>Staff del Consiglio                                         </v>
          </cell>
          <cell r="D3">
            <v>5</v>
          </cell>
          <cell r="E3">
            <v>71</v>
          </cell>
          <cell r="F3" t="str">
            <v>CONSUMI SPECIFICI                                           </v>
          </cell>
          <cell r="G3">
            <v>0</v>
          </cell>
          <cell r="H3">
            <v>21239.29</v>
          </cell>
          <cell r="I3">
            <v>340861.55</v>
          </cell>
          <cell r="J3">
            <v>289215.86</v>
          </cell>
          <cell r="K3">
            <v>289215.86</v>
          </cell>
        </row>
        <row r="4">
          <cell r="A4" t="str">
            <v>CDG6 </v>
          </cell>
          <cell r="B4">
            <v>28</v>
          </cell>
          <cell r="C4" t="str">
            <v>Direzione, amm.ne/altro - Gabinetto                         </v>
          </cell>
          <cell r="D4">
            <v>5</v>
          </cell>
          <cell r="E4">
            <v>71</v>
          </cell>
          <cell r="F4" t="str">
            <v>CONSUMI SPECIFICI                                           </v>
          </cell>
          <cell r="G4">
            <v>0</v>
          </cell>
          <cell r="H4">
            <v>48589.98</v>
          </cell>
          <cell r="I4">
            <v>521518.18</v>
          </cell>
          <cell r="J4">
            <v>782432.21</v>
          </cell>
          <cell r="K4">
            <v>472558.07</v>
          </cell>
        </row>
        <row r="5">
          <cell r="A5" t="str">
            <v>CDG6 </v>
          </cell>
          <cell r="B5">
            <v>31</v>
          </cell>
          <cell r="C5" t="str">
            <v>Cerimoniale                                                 </v>
          </cell>
          <cell r="D5">
            <v>5</v>
          </cell>
          <cell r="E5">
            <v>71</v>
          </cell>
          <cell r="F5" t="str">
            <v>CONSUMI SPECIFICI                                           </v>
          </cell>
          <cell r="G5">
            <v>0</v>
          </cell>
          <cell r="H5">
            <v>13040.54</v>
          </cell>
          <cell r="I5">
            <v>113620.52</v>
          </cell>
          <cell r="J5">
            <v>258228.45</v>
          </cell>
          <cell r="K5">
            <v>258228.45</v>
          </cell>
        </row>
        <row r="6">
          <cell r="A6" t="str">
            <v>CDG6 </v>
          </cell>
          <cell r="B6">
            <v>247</v>
          </cell>
          <cell r="C6" t="str">
            <v>Direzione, amm.,CDG/altro-inf.cittadino                     </v>
          </cell>
          <cell r="D6">
            <v>5</v>
          </cell>
          <cell r="E6">
            <v>71</v>
          </cell>
          <cell r="F6" t="str">
            <v>CONSUMI SPECIFICI                                           </v>
          </cell>
          <cell r="G6">
            <v>0</v>
          </cell>
          <cell r="H6">
            <v>72371.38</v>
          </cell>
          <cell r="I6">
            <v>103291.37</v>
          </cell>
          <cell r="J6">
            <v>103291.37</v>
          </cell>
          <cell r="K6">
            <v>92962.25</v>
          </cell>
        </row>
        <row r="7">
          <cell r="A7" t="str">
            <v>CDG6 </v>
          </cell>
          <cell r="B7">
            <v>11</v>
          </cell>
          <cell r="C7" t="str">
            <v>Ragioneria                                                  </v>
          </cell>
          <cell r="D7">
            <v>5</v>
          </cell>
          <cell r="E7">
            <v>71</v>
          </cell>
          <cell r="F7" t="str">
            <v>CONSUMI SPECIFICI                                           </v>
          </cell>
          <cell r="G7">
            <v>0</v>
          </cell>
          <cell r="H7">
            <v>13856.54</v>
          </cell>
          <cell r="I7">
            <v>181772.16</v>
          </cell>
          <cell r="J7">
            <v>186936.76</v>
          </cell>
          <cell r="K7">
            <v>181772.16</v>
          </cell>
        </row>
        <row r="8">
          <cell r="A8" t="str">
            <v>CDG6 </v>
          </cell>
          <cell r="B8">
            <v>75</v>
          </cell>
          <cell r="C8" t="str">
            <v>Progetti e relazioni internazionali                         </v>
          </cell>
          <cell r="D8">
            <v>5</v>
          </cell>
          <cell r="E8">
            <v>71</v>
          </cell>
          <cell r="F8" t="str">
            <v>CONSUMI SPECIFICI                                           </v>
          </cell>
          <cell r="G8">
            <v>0</v>
          </cell>
          <cell r="H8">
            <v>140390.21</v>
          </cell>
          <cell r="I8">
            <v>2052970.4</v>
          </cell>
          <cell r="J8">
            <v>2034840.19</v>
          </cell>
          <cell r="K8">
            <v>1874738.55</v>
          </cell>
        </row>
        <row r="9">
          <cell r="A9" t="str">
            <v>CDG6 </v>
          </cell>
          <cell r="B9">
            <v>36</v>
          </cell>
          <cell r="C9" t="str">
            <v>Inn.amm./regolamenti/Città metr./contr.                     </v>
          </cell>
          <cell r="D9">
            <v>5</v>
          </cell>
          <cell r="E9">
            <v>71</v>
          </cell>
          <cell r="F9" t="str">
            <v>CONSUMI SPECIFICI                                           </v>
          </cell>
          <cell r="G9">
            <v>0</v>
          </cell>
          <cell r="H9">
            <v>11593.93</v>
          </cell>
          <cell r="I9">
            <v>134278.79</v>
          </cell>
          <cell r="J9">
            <v>134278.79</v>
          </cell>
          <cell r="K9">
            <v>126531.94</v>
          </cell>
        </row>
        <row r="10">
          <cell r="A10" t="str">
            <v>CDG6 </v>
          </cell>
          <cell r="B10">
            <v>37</v>
          </cell>
          <cell r="C10" t="str">
            <v>Trasformazioni strutturali                                  </v>
          </cell>
          <cell r="D10">
            <v>5</v>
          </cell>
          <cell r="E10">
            <v>71</v>
          </cell>
          <cell r="F10" t="str">
            <v>CONSUMI SPECIFICI                                           </v>
          </cell>
          <cell r="G10">
            <v>0</v>
          </cell>
          <cell r="H10">
            <v>21617.35</v>
          </cell>
          <cell r="I10">
            <v>81504.13</v>
          </cell>
          <cell r="J10">
            <v>80980.44</v>
          </cell>
          <cell r="K10">
            <v>80998.06</v>
          </cell>
        </row>
        <row r="11">
          <cell r="A11" t="str">
            <v>CDG6 </v>
          </cell>
          <cell r="B11">
            <v>30</v>
          </cell>
          <cell r="C11" t="str">
            <v>Ufficio Stampa                                              </v>
          </cell>
          <cell r="D11">
            <v>5</v>
          </cell>
          <cell r="E11">
            <v>71</v>
          </cell>
          <cell r="F11" t="str">
            <v>CONSUMI SPECIFICI                                           </v>
          </cell>
          <cell r="G11">
            <v>0</v>
          </cell>
          <cell r="H11">
            <v>28534.24</v>
          </cell>
          <cell r="I11">
            <v>292417.9</v>
          </cell>
          <cell r="J11">
            <v>294380.44</v>
          </cell>
          <cell r="K11">
            <v>294380.43</v>
          </cell>
        </row>
        <row r="12">
          <cell r="A12" t="str">
            <v>CDG6 </v>
          </cell>
          <cell r="B12">
            <v>248</v>
          </cell>
          <cell r="C12" t="str">
            <v>U.R.P.                                                      </v>
          </cell>
          <cell r="D12">
            <v>5</v>
          </cell>
          <cell r="E12">
            <v>71</v>
          </cell>
          <cell r="F12" t="str">
            <v>CONSUMI SPECIFICI                                           </v>
          </cell>
          <cell r="G12">
            <v>0</v>
          </cell>
          <cell r="H12">
            <v>2036.29</v>
          </cell>
          <cell r="I12">
            <v>83666.02</v>
          </cell>
          <cell r="J12">
            <v>83666.02</v>
          </cell>
          <cell r="K12">
            <v>83666.02</v>
          </cell>
        </row>
        <row r="13">
          <cell r="A13" t="str">
            <v>CDG6 </v>
          </cell>
          <cell r="B13">
            <v>249</v>
          </cell>
          <cell r="C13" t="str">
            <v>Iperbole/progetti europei                                   </v>
          </cell>
          <cell r="D13">
            <v>5</v>
          </cell>
          <cell r="E13">
            <v>71</v>
          </cell>
          <cell r="F13" t="str">
            <v>CONSUMI SPECIFICI                                           </v>
          </cell>
          <cell r="G13">
            <v>0</v>
          </cell>
          <cell r="H13">
            <v>3658.24</v>
          </cell>
          <cell r="I13">
            <v>748862.5</v>
          </cell>
          <cell r="J13">
            <v>612001.42</v>
          </cell>
          <cell r="K13">
            <v>612001.42</v>
          </cell>
        </row>
        <row r="14">
          <cell r="A14" t="str">
            <v>CDG6 </v>
          </cell>
          <cell r="B14">
            <v>61</v>
          </cell>
          <cell r="C14" t="str">
            <v>Direzione, amm., CDG/altro - Pers.e org.                    </v>
          </cell>
          <cell r="D14">
            <v>5</v>
          </cell>
          <cell r="E14">
            <v>71</v>
          </cell>
          <cell r="F14" t="str">
            <v>CONSUMI SPECIFICI                                           </v>
          </cell>
          <cell r="G14">
            <v>0</v>
          </cell>
          <cell r="H14">
            <v>32349.05</v>
          </cell>
          <cell r="I14">
            <v>294380.44</v>
          </cell>
          <cell r="J14">
            <v>294380.44</v>
          </cell>
          <cell r="K14">
            <v>232405.61</v>
          </cell>
        </row>
        <row r="15">
          <cell r="A15" t="str">
            <v>CDG6 </v>
          </cell>
          <cell r="B15">
            <v>64</v>
          </cell>
          <cell r="C15" t="str">
            <v>Formazione e sviluppo -C.U.F.                               </v>
          </cell>
          <cell r="D15">
            <v>5</v>
          </cell>
          <cell r="E15">
            <v>71</v>
          </cell>
          <cell r="F15" t="str">
            <v>CONSUMI SPECIFICI                                           </v>
          </cell>
          <cell r="G15">
            <v>0</v>
          </cell>
          <cell r="H15">
            <v>26253.22</v>
          </cell>
          <cell r="I15">
            <v>366684.4</v>
          </cell>
          <cell r="J15">
            <v>366684.4</v>
          </cell>
          <cell r="K15">
            <v>433823.8</v>
          </cell>
        </row>
        <row r="16">
          <cell r="A16" t="str">
            <v>CDG6 </v>
          </cell>
          <cell r="B16">
            <v>62</v>
          </cell>
          <cell r="C16" t="str">
            <v>Personale e organizzazione non gestiti                      </v>
          </cell>
          <cell r="D16">
            <v>5</v>
          </cell>
          <cell r="E16">
            <v>71</v>
          </cell>
          <cell r="F16" t="str">
            <v>CONSUMI SPECIFICI                                           </v>
          </cell>
          <cell r="G16">
            <v>0</v>
          </cell>
          <cell r="H16">
            <v>2151.9</v>
          </cell>
          <cell r="I16">
            <v>20658.28</v>
          </cell>
          <cell r="J16">
            <v>20658.28</v>
          </cell>
          <cell r="K16">
            <v>20658.28</v>
          </cell>
        </row>
        <row r="17">
          <cell r="A17" t="str">
            <v>CDG6 </v>
          </cell>
          <cell r="B17">
            <v>33</v>
          </cell>
          <cell r="C17" t="str">
            <v>Direzione, amm./altro - Aff. gen. e ist.                    </v>
          </cell>
          <cell r="D17">
            <v>5</v>
          </cell>
          <cell r="E17">
            <v>71</v>
          </cell>
          <cell r="F17" t="str">
            <v>CONSUMI SPECIFICI                                           </v>
          </cell>
          <cell r="G17">
            <v>0</v>
          </cell>
          <cell r="H17">
            <v>6994.89</v>
          </cell>
          <cell r="I17">
            <v>74369.8</v>
          </cell>
          <cell r="J17">
            <v>51645.68</v>
          </cell>
          <cell r="K17">
            <v>51645.68</v>
          </cell>
        </row>
        <row r="18">
          <cell r="A18" t="str">
            <v>CDG6 </v>
          </cell>
          <cell r="B18">
            <v>252</v>
          </cell>
          <cell r="C18" t="str">
            <v>Segreteria generale                                         </v>
          </cell>
          <cell r="D18">
            <v>5</v>
          </cell>
          <cell r="E18">
            <v>71</v>
          </cell>
          <cell r="F18" t="str">
            <v>CONSUMI SPECIFICI                                           </v>
          </cell>
          <cell r="G18">
            <v>0</v>
          </cell>
          <cell r="H18">
            <v>12911.42</v>
          </cell>
          <cell r="I18">
            <v>250481.59</v>
          </cell>
          <cell r="J18">
            <v>825298.13</v>
          </cell>
          <cell r="K18">
            <v>802057.57</v>
          </cell>
        </row>
        <row r="19">
          <cell r="A19" t="str">
            <v>CDG6 </v>
          </cell>
          <cell r="B19">
            <v>2</v>
          </cell>
          <cell r="C19" t="str">
            <v>Direzione Generale                                          </v>
          </cell>
          <cell r="D19">
            <v>5</v>
          </cell>
          <cell r="E19">
            <v>71</v>
          </cell>
          <cell r="F19" t="str">
            <v>CONSUMI SPECIFICI                                           </v>
          </cell>
          <cell r="G19">
            <v>0</v>
          </cell>
          <cell r="H19">
            <v>150.63</v>
          </cell>
          <cell r="I19">
            <v>2065.83</v>
          </cell>
          <cell r="J19">
            <v>2065.83</v>
          </cell>
          <cell r="K19">
            <v>2065.83</v>
          </cell>
        </row>
        <row r="20">
          <cell r="A20" t="str">
            <v>CDG6 </v>
          </cell>
          <cell r="B20">
            <v>65</v>
          </cell>
          <cell r="C20" t="str">
            <v>Normativa amministrazione e bilancio                        </v>
          </cell>
          <cell r="D20">
            <v>5</v>
          </cell>
          <cell r="E20">
            <v>71</v>
          </cell>
          <cell r="F20" t="str">
            <v>CONSUMI SPECIFICI                                           </v>
          </cell>
          <cell r="G20">
            <v>0</v>
          </cell>
          <cell r="H20">
            <v>24101.33</v>
          </cell>
          <cell r="I20">
            <v>234987.88</v>
          </cell>
          <cell r="J20">
            <v>234987.88</v>
          </cell>
          <cell r="K20">
            <v>260810.73</v>
          </cell>
        </row>
        <row r="21">
          <cell r="A21" t="str">
            <v>CDG6 </v>
          </cell>
          <cell r="B21">
            <v>63</v>
          </cell>
          <cell r="C21" t="str">
            <v>Relazioni sindacali e organizzazione                        </v>
          </cell>
          <cell r="D21">
            <v>5</v>
          </cell>
          <cell r="E21">
            <v>71</v>
          </cell>
          <cell r="F21" t="str">
            <v>CONSUMI SPECIFICI                                           </v>
          </cell>
          <cell r="G21">
            <v>0</v>
          </cell>
          <cell r="H21">
            <v>7919.01</v>
          </cell>
          <cell r="I21">
            <v>61974.83</v>
          </cell>
          <cell r="J21">
            <v>61974.83</v>
          </cell>
          <cell r="K21">
            <v>41316.55</v>
          </cell>
        </row>
        <row r="22">
          <cell r="A22" t="str">
            <v>CDG6 </v>
          </cell>
          <cell r="B22">
            <v>34</v>
          </cell>
          <cell r="C22" t="str">
            <v>Protocollo archivio                                         </v>
          </cell>
          <cell r="D22">
            <v>5</v>
          </cell>
          <cell r="E22">
            <v>71</v>
          </cell>
          <cell r="F22" t="str">
            <v>CONSUMI SPECIFICI                                           </v>
          </cell>
          <cell r="G22">
            <v>0</v>
          </cell>
          <cell r="H22">
            <v>5438.39</v>
          </cell>
          <cell r="I22">
            <v>23240.56</v>
          </cell>
          <cell r="J22">
            <v>23240.56</v>
          </cell>
          <cell r="K22">
            <v>23240.56</v>
          </cell>
        </row>
        <row r="23">
          <cell r="A23" t="str">
            <v>CDG6 </v>
          </cell>
          <cell r="B23">
            <v>66</v>
          </cell>
          <cell r="C23" t="str">
            <v>Direzione, amm./altro - Pianif. e contr.                    </v>
          </cell>
          <cell r="D23">
            <v>5</v>
          </cell>
          <cell r="E23">
            <v>71</v>
          </cell>
          <cell r="F23" t="str">
            <v>CONSUMI SPECIFICI                                           </v>
          </cell>
          <cell r="G23">
            <v>0</v>
          </cell>
          <cell r="H23">
            <v>4519</v>
          </cell>
          <cell r="I23">
            <v>74886.26</v>
          </cell>
          <cell r="J23">
            <v>147190.22</v>
          </cell>
          <cell r="K23">
            <v>121367.37</v>
          </cell>
        </row>
        <row r="24">
          <cell r="A24" t="str">
            <v>CDG6 </v>
          </cell>
          <cell r="B24">
            <v>39</v>
          </cell>
          <cell r="C24" t="str">
            <v>Direzione, amm., CDG/altro - Acquisti                       </v>
          </cell>
          <cell r="D24">
            <v>5</v>
          </cell>
          <cell r="E24">
            <v>71</v>
          </cell>
          <cell r="F24" t="str">
            <v>CONSUMI SPECIFICI                                           </v>
          </cell>
          <cell r="G24">
            <v>0</v>
          </cell>
          <cell r="H24">
            <v>1721.52</v>
          </cell>
          <cell r="I24">
            <v>20658.28</v>
          </cell>
          <cell r="J24">
            <v>20700</v>
          </cell>
          <cell r="K24">
            <v>20658.28</v>
          </cell>
        </row>
        <row r="25">
          <cell r="A25" t="str">
            <v>CDG6 </v>
          </cell>
          <cell r="B25">
            <v>43</v>
          </cell>
          <cell r="C25" t="str">
            <v>Coordinamento entrate                                       </v>
          </cell>
          <cell r="D25">
            <v>5</v>
          </cell>
          <cell r="E25">
            <v>71</v>
          </cell>
          <cell r="F25" t="str">
            <v>CONSUMI SPECIFICI                                           </v>
          </cell>
          <cell r="G25">
            <v>0</v>
          </cell>
          <cell r="H25">
            <v>62851.76</v>
          </cell>
          <cell r="I25">
            <v>928135.02</v>
          </cell>
          <cell r="J25">
            <v>1003604.87</v>
          </cell>
          <cell r="K25">
            <v>1003604.86</v>
          </cell>
        </row>
        <row r="26">
          <cell r="A26" t="str">
            <v>CDG6 </v>
          </cell>
          <cell r="B26">
            <v>44</v>
          </cell>
          <cell r="C26" t="str">
            <v>Patrimonio                                                  </v>
          </cell>
          <cell r="D26">
            <v>5</v>
          </cell>
          <cell r="E26">
            <v>71</v>
          </cell>
          <cell r="F26" t="str">
            <v>CONSUMI SPECIFICI                                           </v>
          </cell>
          <cell r="G26">
            <v>0</v>
          </cell>
          <cell r="H26">
            <v>13277.24</v>
          </cell>
          <cell r="I26">
            <v>152354.78</v>
          </cell>
          <cell r="J26">
            <v>175595.35</v>
          </cell>
          <cell r="K26">
            <v>123949.66</v>
          </cell>
        </row>
        <row r="27">
          <cell r="A27" t="str">
            <v>CDG6 </v>
          </cell>
          <cell r="B27">
            <v>58</v>
          </cell>
          <cell r="C27" t="str">
            <v>Manutenzione edilizia e servizio calore                     </v>
          </cell>
          <cell r="D27">
            <v>5</v>
          </cell>
          <cell r="E27">
            <v>71</v>
          </cell>
          <cell r="F27" t="str">
            <v>CONSUMI SPECIFICI                                           </v>
          </cell>
          <cell r="G27">
            <v>0</v>
          </cell>
          <cell r="H27">
            <v>418507.5</v>
          </cell>
          <cell r="I27">
            <v>3870328</v>
          </cell>
          <cell r="J27">
            <v>4157478.05</v>
          </cell>
          <cell r="K27">
            <v>4131655.18</v>
          </cell>
        </row>
        <row r="28">
          <cell r="A28" t="str">
            <v>CDG6 </v>
          </cell>
          <cell r="B28">
            <v>45</v>
          </cell>
          <cell r="C28" t="str">
            <v>Direzione, amm., CDG, qualità/altro LLPP                    </v>
          </cell>
          <cell r="D28">
            <v>5</v>
          </cell>
          <cell r="E28">
            <v>71</v>
          </cell>
          <cell r="F28" t="str">
            <v>CONSUMI SPECIFICI                                           </v>
          </cell>
          <cell r="G28">
            <v>0</v>
          </cell>
          <cell r="H28">
            <v>133835.5</v>
          </cell>
          <cell r="I28">
            <v>1499002.71</v>
          </cell>
          <cell r="J28">
            <v>2667499.86</v>
          </cell>
          <cell r="K28">
            <v>1376357.62</v>
          </cell>
        </row>
        <row r="29">
          <cell r="A29" t="str">
            <v>CDG6 </v>
          </cell>
          <cell r="B29">
            <v>140</v>
          </cell>
          <cell r="C29" t="str">
            <v>Direzione, amm.,CDG/altro - demografici                     </v>
          </cell>
          <cell r="D29">
            <v>5</v>
          </cell>
          <cell r="E29">
            <v>71</v>
          </cell>
          <cell r="F29" t="str">
            <v>CONSUMI SPECIFICI                                           </v>
          </cell>
          <cell r="G29">
            <v>0</v>
          </cell>
          <cell r="H29">
            <v>24338.04</v>
          </cell>
          <cell r="I29">
            <v>302437.16</v>
          </cell>
          <cell r="J29">
            <v>480304.92</v>
          </cell>
          <cell r="K29">
            <v>286633.58</v>
          </cell>
        </row>
        <row r="30">
          <cell r="A30" t="str">
            <v>CDG6 </v>
          </cell>
          <cell r="B30">
            <v>143</v>
          </cell>
          <cell r="C30" t="str">
            <v>Elettorale                                                  </v>
          </cell>
          <cell r="D30">
            <v>5</v>
          </cell>
          <cell r="E30">
            <v>71</v>
          </cell>
          <cell r="F30" t="str">
            <v>CONSUMI SPECIFICI                                           </v>
          </cell>
          <cell r="G30">
            <v>0</v>
          </cell>
          <cell r="H30">
            <v>1248.1</v>
          </cell>
          <cell r="I30">
            <v>12911.42</v>
          </cell>
          <cell r="J30">
            <v>9296.22</v>
          </cell>
          <cell r="K30">
            <v>9296.22</v>
          </cell>
        </row>
        <row r="31">
          <cell r="A31" t="str">
            <v>CDG6 </v>
          </cell>
          <cell r="B31">
            <v>141</v>
          </cell>
          <cell r="C31" t="str">
            <v>Stato civile                                                </v>
          </cell>
          <cell r="D31">
            <v>5</v>
          </cell>
          <cell r="E31">
            <v>71</v>
          </cell>
          <cell r="F31" t="str">
            <v>CONSUMI SPECIFICI                                           </v>
          </cell>
          <cell r="G31">
            <v>0</v>
          </cell>
          <cell r="H31">
            <v>24488.66</v>
          </cell>
          <cell r="I31">
            <v>302437.16</v>
          </cell>
          <cell r="J31">
            <v>303263.49</v>
          </cell>
          <cell r="K31">
            <v>199972.11</v>
          </cell>
        </row>
        <row r="32">
          <cell r="A32" t="str">
            <v>CDG6 </v>
          </cell>
          <cell r="B32">
            <v>69</v>
          </cell>
          <cell r="C32" t="str">
            <v>Direzione, amm., CDG/altro - sist. info.                    </v>
          </cell>
          <cell r="D32">
            <v>5</v>
          </cell>
          <cell r="E32">
            <v>71</v>
          </cell>
          <cell r="F32" t="str">
            <v>CONSUMI SPECIFICI                                           </v>
          </cell>
          <cell r="G32">
            <v>0</v>
          </cell>
          <cell r="H32">
            <v>4303.81</v>
          </cell>
          <cell r="I32">
            <v>51645.69</v>
          </cell>
          <cell r="J32">
            <v>51645.69</v>
          </cell>
          <cell r="K32">
            <v>51645.69</v>
          </cell>
        </row>
        <row r="33">
          <cell r="A33" t="str">
            <v>CDG6 </v>
          </cell>
          <cell r="B33">
            <v>8</v>
          </cell>
          <cell r="C33" t="str">
            <v>Qualita'                                                    </v>
          </cell>
          <cell r="D33">
            <v>5</v>
          </cell>
          <cell r="E33">
            <v>71</v>
          </cell>
          <cell r="F33" t="str">
            <v>CONSUMI SPECIFICI                                           </v>
          </cell>
          <cell r="G33">
            <v>0</v>
          </cell>
          <cell r="H33">
            <v>16718.87</v>
          </cell>
          <cell r="I33">
            <v>73853.34</v>
          </cell>
          <cell r="J33">
            <v>73853.34</v>
          </cell>
          <cell r="K33">
            <v>48030.5</v>
          </cell>
        </row>
        <row r="34">
          <cell r="A34" t="str">
            <v>CDG6 </v>
          </cell>
          <cell r="B34">
            <v>9</v>
          </cell>
          <cell r="C34" t="str">
            <v>Legale                                                      </v>
          </cell>
          <cell r="D34">
            <v>5</v>
          </cell>
          <cell r="E34">
            <v>71</v>
          </cell>
          <cell r="F34" t="str">
            <v>CONSUMI SPECIFICI                                           </v>
          </cell>
          <cell r="G34">
            <v>0</v>
          </cell>
          <cell r="H34">
            <v>26287.17</v>
          </cell>
          <cell r="I34">
            <v>281469.01</v>
          </cell>
          <cell r="J34">
            <v>281469.01</v>
          </cell>
          <cell r="K34">
            <v>255646.16</v>
          </cell>
        </row>
        <row r="35">
          <cell r="A35" t="str">
            <v>CDG6 </v>
          </cell>
          <cell r="B35">
            <v>70</v>
          </cell>
          <cell r="C35" t="str">
            <v>Operazioni e qualità                                        </v>
          </cell>
          <cell r="D35">
            <v>5</v>
          </cell>
          <cell r="E35">
            <v>71</v>
          </cell>
          <cell r="F35" t="str">
            <v>CONSUMI SPECIFICI                                           </v>
          </cell>
          <cell r="G35">
            <v>0</v>
          </cell>
          <cell r="H35">
            <v>177281.95</v>
          </cell>
          <cell r="I35">
            <v>2065827.6</v>
          </cell>
          <cell r="J35">
            <v>2117473.29</v>
          </cell>
          <cell r="K35">
            <v>1859244.84</v>
          </cell>
        </row>
        <row r="36">
          <cell r="A36" t="str">
            <v>CDG6 </v>
          </cell>
          <cell r="B36">
            <v>71</v>
          </cell>
          <cell r="C36" t="str">
            <v>Progettazione e sviluppo                                    </v>
          </cell>
          <cell r="D36">
            <v>5</v>
          </cell>
          <cell r="E36">
            <v>71</v>
          </cell>
          <cell r="F36" t="str">
            <v>CONSUMI SPECIFICI                                           </v>
          </cell>
          <cell r="G36">
            <v>0</v>
          </cell>
          <cell r="H36">
            <v>415362.4</v>
          </cell>
          <cell r="I36">
            <v>5009631.92</v>
          </cell>
          <cell r="J36">
            <v>6533179.77</v>
          </cell>
          <cell r="K36">
            <v>4880517.7</v>
          </cell>
        </row>
        <row r="37">
          <cell r="A37" t="str">
            <v>CDG6 </v>
          </cell>
          <cell r="B37">
            <v>51</v>
          </cell>
          <cell r="C37" t="str">
            <v>Impianti tecnologici                                        </v>
          </cell>
          <cell r="D37">
            <v>5</v>
          </cell>
          <cell r="E37">
            <v>71</v>
          </cell>
          <cell r="F37" t="str">
            <v>CONSUMI SPECIFICI                                           </v>
          </cell>
          <cell r="G37">
            <v>0</v>
          </cell>
          <cell r="H37">
            <v>37658.32</v>
          </cell>
          <cell r="I37">
            <v>344476.75</v>
          </cell>
          <cell r="J37">
            <v>353772.98</v>
          </cell>
          <cell r="K37">
            <v>353772.98</v>
          </cell>
        </row>
        <row r="38">
          <cell r="A38" t="str">
            <v>CDG6 </v>
          </cell>
          <cell r="B38">
            <v>135</v>
          </cell>
          <cell r="C38" t="str">
            <v>Atti amministrativi                                         </v>
          </cell>
          <cell r="D38">
            <v>5</v>
          </cell>
          <cell r="E38">
            <v>71</v>
          </cell>
          <cell r="F38" t="str">
            <v>CONSUMI SPECIFICI                                           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 t="str">
            <v>CDG6 </v>
          </cell>
          <cell r="B39">
            <v>102</v>
          </cell>
          <cell r="C39" t="str">
            <v>Direzione, amm.,CDG/altro - polizia mun.                    </v>
          </cell>
          <cell r="D39">
            <v>5</v>
          </cell>
          <cell r="E39">
            <v>71</v>
          </cell>
          <cell r="F39" t="str">
            <v>CONSUMI SPECIFICI                                           </v>
          </cell>
          <cell r="G39">
            <v>0</v>
          </cell>
          <cell r="H39">
            <v>48503.91</v>
          </cell>
          <cell r="I39">
            <v>573267.16</v>
          </cell>
          <cell r="J39">
            <v>694633.55</v>
          </cell>
          <cell r="K39">
            <v>694634.52</v>
          </cell>
        </row>
        <row r="40">
          <cell r="A40" t="str">
            <v>CDG6 </v>
          </cell>
          <cell r="B40">
            <v>107</v>
          </cell>
          <cell r="C40" t="str">
            <v>Servizio grande viabilità                                   </v>
          </cell>
          <cell r="D40">
            <v>5</v>
          </cell>
          <cell r="E40">
            <v>71</v>
          </cell>
          <cell r="F40" t="str">
            <v>CONSUMI SPECIFICI                                           </v>
          </cell>
          <cell r="G40">
            <v>0</v>
          </cell>
          <cell r="H40">
            <v>38276.63</v>
          </cell>
          <cell r="I40">
            <v>472558.06</v>
          </cell>
          <cell r="J40">
            <v>472558.08</v>
          </cell>
          <cell r="K40">
            <v>420912.37</v>
          </cell>
        </row>
        <row r="41">
          <cell r="A41" t="str">
            <v>CDG6 </v>
          </cell>
          <cell r="B41">
            <v>106</v>
          </cell>
          <cell r="C41" t="str">
            <v>Servizio violazioni amministrative                          </v>
          </cell>
          <cell r="D41">
            <v>5</v>
          </cell>
          <cell r="E41">
            <v>71</v>
          </cell>
          <cell r="F41" t="str">
            <v>CONSUMI SPECIFICI                                           </v>
          </cell>
          <cell r="G41">
            <v>0</v>
          </cell>
          <cell r="H41">
            <v>96862.92</v>
          </cell>
          <cell r="I41">
            <v>1730130.61</v>
          </cell>
          <cell r="J41">
            <v>1730130.61</v>
          </cell>
          <cell r="K41">
            <v>697216.81</v>
          </cell>
        </row>
        <row r="42">
          <cell r="A42" t="str">
            <v>CDG6 </v>
          </cell>
          <cell r="B42">
            <v>90</v>
          </cell>
          <cell r="C42" t="str">
            <v>Servizi all'infanzia                                        </v>
          </cell>
          <cell r="D42">
            <v>5</v>
          </cell>
          <cell r="E42">
            <v>71</v>
          </cell>
          <cell r="F42" t="str">
            <v>CONSUMI SPECIFICI                                           </v>
          </cell>
          <cell r="G42">
            <v>0</v>
          </cell>
          <cell r="H42">
            <v>49656.04</v>
          </cell>
          <cell r="I42">
            <v>750974.3</v>
          </cell>
          <cell r="J42">
            <v>855769.09</v>
          </cell>
          <cell r="K42">
            <v>736983.99</v>
          </cell>
        </row>
        <row r="43">
          <cell r="A43" t="str">
            <v>CDG6 </v>
          </cell>
          <cell r="B43">
            <v>260</v>
          </cell>
          <cell r="C43" t="str">
            <v>Diritto allo studio/handicap/rete scol.                     </v>
          </cell>
          <cell r="D43">
            <v>5</v>
          </cell>
          <cell r="E43">
            <v>71</v>
          </cell>
          <cell r="F43" t="str">
            <v>CONSUMI SPECIFICI                                           </v>
          </cell>
          <cell r="G43">
            <v>0</v>
          </cell>
          <cell r="H43">
            <v>38519.09</v>
          </cell>
          <cell r="I43">
            <v>825848.66</v>
          </cell>
          <cell r="J43">
            <v>1263770.02</v>
          </cell>
          <cell r="K43">
            <v>1232782.6</v>
          </cell>
        </row>
        <row r="44">
          <cell r="A44" t="str">
            <v>CDG6 </v>
          </cell>
          <cell r="B44">
            <v>95</v>
          </cell>
          <cell r="C44" t="str">
            <v>Laboratori e aule didattiche centrali                       </v>
          </cell>
          <cell r="D44">
            <v>5</v>
          </cell>
          <cell r="E44">
            <v>71</v>
          </cell>
          <cell r="F44" t="str">
            <v>CONSUMI SPECIFICI                                           </v>
          </cell>
          <cell r="G44">
            <v>0</v>
          </cell>
          <cell r="H44">
            <v>16440.54</v>
          </cell>
          <cell r="I44">
            <v>218461.27</v>
          </cell>
          <cell r="J44">
            <v>208132.13</v>
          </cell>
          <cell r="K44">
            <v>196253.62</v>
          </cell>
        </row>
        <row r="45">
          <cell r="A45" t="str">
            <v>CDG6 </v>
          </cell>
          <cell r="B45">
            <v>92</v>
          </cell>
          <cell r="C45" t="str">
            <v>Istituti Aldini Valeriani e Sirani                          </v>
          </cell>
          <cell r="D45">
            <v>5</v>
          </cell>
          <cell r="E45">
            <v>71</v>
          </cell>
          <cell r="F45" t="str">
            <v>CONSUMI SPECIFICI                                           </v>
          </cell>
          <cell r="G45">
            <v>0</v>
          </cell>
          <cell r="H45">
            <v>40914.06</v>
          </cell>
          <cell r="I45">
            <v>470298.55</v>
          </cell>
          <cell r="J45">
            <v>489407.46</v>
          </cell>
          <cell r="K45">
            <v>473913.76</v>
          </cell>
        </row>
        <row r="46">
          <cell r="A46" t="str">
            <v>CDG6 </v>
          </cell>
          <cell r="B46">
            <v>96</v>
          </cell>
          <cell r="C46" t="str">
            <v>Formazione professionale                                    </v>
          </cell>
          <cell r="D46">
            <v>5</v>
          </cell>
          <cell r="E46">
            <v>71</v>
          </cell>
          <cell r="F46" t="str">
            <v>CONSUMI SPECIFICI                                           </v>
          </cell>
          <cell r="G46">
            <v>0</v>
          </cell>
          <cell r="H46">
            <v>45189.97</v>
          </cell>
          <cell r="I46">
            <v>0</v>
          </cell>
          <cell r="J46">
            <v>0</v>
          </cell>
          <cell r="K46">
            <v>0</v>
          </cell>
        </row>
        <row r="47">
          <cell r="A47" t="str">
            <v>CDG6 </v>
          </cell>
          <cell r="B47">
            <v>91</v>
          </cell>
          <cell r="C47" t="str">
            <v>Scambi internazionali e istituz. estive                     </v>
          </cell>
          <cell r="D47">
            <v>5</v>
          </cell>
          <cell r="E47">
            <v>71</v>
          </cell>
          <cell r="F47" t="str">
            <v>CONSUMI SPECIFICI                                           </v>
          </cell>
          <cell r="G47">
            <v>0</v>
          </cell>
          <cell r="H47">
            <v>82202.72</v>
          </cell>
          <cell r="I47">
            <v>973521.26</v>
          </cell>
          <cell r="J47">
            <v>911546.43</v>
          </cell>
          <cell r="K47">
            <v>911546.43</v>
          </cell>
        </row>
        <row r="48">
          <cell r="A48" t="str">
            <v>CDG6 </v>
          </cell>
          <cell r="B48">
            <v>88</v>
          </cell>
          <cell r="C48" t="str">
            <v>Direzione,amm.,CDG/altro - istr. e sport                    </v>
          </cell>
          <cell r="D48">
            <v>5</v>
          </cell>
          <cell r="E48">
            <v>71</v>
          </cell>
          <cell r="F48" t="str">
            <v>CONSUMI SPECIFICI                                           </v>
          </cell>
          <cell r="G48">
            <v>0</v>
          </cell>
          <cell r="H48">
            <v>19474.72</v>
          </cell>
          <cell r="I48">
            <v>457064.34</v>
          </cell>
          <cell r="J48">
            <v>315038.7</v>
          </cell>
          <cell r="K48">
            <v>291798.14</v>
          </cell>
        </row>
        <row r="49">
          <cell r="A49" t="str">
            <v>CDG6 </v>
          </cell>
          <cell r="B49">
            <v>94</v>
          </cell>
          <cell r="C49" t="str">
            <v>Politiche giovanili                                         </v>
          </cell>
          <cell r="D49">
            <v>5</v>
          </cell>
          <cell r="E49">
            <v>71</v>
          </cell>
          <cell r="F49" t="str">
            <v>CONSUMI SPECIFICI                                           </v>
          </cell>
          <cell r="G49">
            <v>0</v>
          </cell>
          <cell r="H49">
            <v>26339.31</v>
          </cell>
          <cell r="I49">
            <v>211747.32</v>
          </cell>
          <cell r="J49">
            <v>232405.6</v>
          </cell>
          <cell r="K49">
            <v>180759.91</v>
          </cell>
        </row>
        <row r="50">
          <cell r="A50" t="str">
            <v>CDG6 </v>
          </cell>
          <cell r="B50">
            <v>77</v>
          </cell>
          <cell r="C50" t="str">
            <v>Attività culturali gestione sale                            </v>
          </cell>
          <cell r="D50">
            <v>5</v>
          </cell>
          <cell r="E50">
            <v>71</v>
          </cell>
          <cell r="F50" t="str">
            <v>CONSUMI SPECIFICI                                           </v>
          </cell>
          <cell r="G50">
            <v>0</v>
          </cell>
          <cell r="H50">
            <v>73160.57</v>
          </cell>
          <cell r="I50">
            <v>520846.78</v>
          </cell>
          <cell r="J50">
            <v>1574289.73</v>
          </cell>
          <cell r="K50">
            <v>722135.86</v>
          </cell>
        </row>
        <row r="51">
          <cell r="A51" t="str">
            <v>CDG6 </v>
          </cell>
          <cell r="B51">
            <v>79</v>
          </cell>
          <cell r="C51" t="str">
            <v>Biblioteca dell'Archiginnasio                               </v>
          </cell>
          <cell r="D51">
            <v>5</v>
          </cell>
          <cell r="E51">
            <v>71</v>
          </cell>
          <cell r="F51" t="str">
            <v>CONSUMI SPECIFICI                                           </v>
          </cell>
          <cell r="G51">
            <v>0</v>
          </cell>
          <cell r="H51">
            <v>34994.26</v>
          </cell>
          <cell r="I51">
            <v>581530.47</v>
          </cell>
          <cell r="J51">
            <v>758675.18</v>
          </cell>
          <cell r="K51">
            <v>681206.65</v>
          </cell>
        </row>
        <row r="52">
          <cell r="A52" t="str">
            <v>CDG6 </v>
          </cell>
          <cell r="B52">
            <v>85</v>
          </cell>
          <cell r="C52" t="str">
            <v>Museo del Patrimonio industriale                            </v>
          </cell>
          <cell r="D52">
            <v>5</v>
          </cell>
          <cell r="E52">
            <v>71</v>
          </cell>
          <cell r="F52" t="str">
            <v>CONSUMI SPECIFICI                                           </v>
          </cell>
          <cell r="G52">
            <v>0</v>
          </cell>
          <cell r="H52">
            <v>14675.98</v>
          </cell>
          <cell r="I52">
            <v>287150.04</v>
          </cell>
          <cell r="J52">
            <v>184375.11</v>
          </cell>
          <cell r="K52">
            <v>184375.11</v>
          </cell>
        </row>
        <row r="53">
          <cell r="A53" t="str">
            <v>CDG6 </v>
          </cell>
          <cell r="B53">
            <v>82</v>
          </cell>
          <cell r="C53" t="str">
            <v>Musei Civici di arte antica                                 </v>
          </cell>
          <cell r="D53">
            <v>5</v>
          </cell>
          <cell r="E53">
            <v>71</v>
          </cell>
          <cell r="F53" t="str">
            <v>CONSUMI SPECIFICI                                           </v>
          </cell>
          <cell r="G53">
            <v>0</v>
          </cell>
          <cell r="H53">
            <v>45159.85</v>
          </cell>
          <cell r="I53">
            <v>565158.78</v>
          </cell>
          <cell r="J53">
            <v>710128.23</v>
          </cell>
          <cell r="K53">
            <v>635241.99</v>
          </cell>
        </row>
        <row r="54">
          <cell r="A54" t="str">
            <v>CDG6 </v>
          </cell>
          <cell r="B54">
            <v>80</v>
          </cell>
          <cell r="C54" t="str">
            <v>Sala Borsa/CentroDoc.Don.-Bibl.Naz.Don.                     </v>
          </cell>
          <cell r="D54">
            <v>5</v>
          </cell>
          <cell r="E54">
            <v>71</v>
          </cell>
          <cell r="F54" t="str">
            <v>CONSUMI SPECIFICI                                           </v>
          </cell>
          <cell r="G54">
            <v>0</v>
          </cell>
          <cell r="H54">
            <v>55971.02</v>
          </cell>
          <cell r="I54">
            <v>986949.12</v>
          </cell>
          <cell r="J54">
            <v>1422838.76</v>
          </cell>
          <cell r="K54">
            <v>1143952.04</v>
          </cell>
        </row>
        <row r="55">
          <cell r="A55" t="str">
            <v>CDG6 </v>
          </cell>
          <cell r="B55">
            <v>81</v>
          </cell>
          <cell r="C55" t="str">
            <v>Museo Archelogico                                           </v>
          </cell>
          <cell r="D55">
            <v>5</v>
          </cell>
          <cell r="E55">
            <v>71</v>
          </cell>
          <cell r="F55" t="str">
            <v>CONSUMI SPECIFICI                                           </v>
          </cell>
          <cell r="G55">
            <v>0</v>
          </cell>
          <cell r="H55">
            <v>24359.55</v>
          </cell>
          <cell r="I55">
            <v>261327.2</v>
          </cell>
          <cell r="J55">
            <v>543829.11</v>
          </cell>
          <cell r="K55">
            <v>445702.3</v>
          </cell>
        </row>
        <row r="56">
          <cell r="A56" t="str">
            <v>CDG6 </v>
          </cell>
          <cell r="B56">
            <v>254</v>
          </cell>
          <cell r="C56" t="str">
            <v>Prog.nuove ist.mus.:m.resistenza/Certosa                    </v>
          </cell>
          <cell r="D56">
            <v>5</v>
          </cell>
          <cell r="E56">
            <v>71</v>
          </cell>
          <cell r="F56" t="str">
            <v>CONSUMI SPECIFICI                                           </v>
          </cell>
          <cell r="G56">
            <v>0</v>
          </cell>
          <cell r="H56">
            <v>0</v>
          </cell>
          <cell r="I56">
            <v>36151.98</v>
          </cell>
          <cell r="J56">
            <v>531950.61</v>
          </cell>
          <cell r="K56">
            <v>214329.61</v>
          </cell>
        </row>
        <row r="57">
          <cell r="A57" t="str">
            <v>CDG6 </v>
          </cell>
          <cell r="B57">
            <v>83</v>
          </cell>
          <cell r="C57" t="str">
            <v>Istituzione Cineteca                                        </v>
          </cell>
          <cell r="D57">
            <v>5</v>
          </cell>
          <cell r="E57">
            <v>71</v>
          </cell>
          <cell r="F57" t="str">
            <v>CONSUMI SPECIFICI                                           </v>
          </cell>
          <cell r="G57">
            <v>0</v>
          </cell>
          <cell r="H57">
            <v>40929.21</v>
          </cell>
          <cell r="I57">
            <v>496315.08</v>
          </cell>
          <cell r="J57">
            <v>491150.51</v>
          </cell>
          <cell r="K57">
            <v>491150.51</v>
          </cell>
        </row>
        <row r="58">
          <cell r="A58" t="str">
            <v>CDG6 </v>
          </cell>
          <cell r="B58">
            <v>76</v>
          </cell>
          <cell r="C58" t="str">
            <v>Direzione, amm.,CDG/altro - Cultura                         </v>
          </cell>
          <cell r="D58">
            <v>5</v>
          </cell>
          <cell r="E58">
            <v>71</v>
          </cell>
          <cell r="F58" t="str">
            <v>CONSUMI SPECIFICI                                           </v>
          </cell>
          <cell r="G58">
            <v>0</v>
          </cell>
          <cell r="H58">
            <v>53899.7</v>
          </cell>
          <cell r="I58">
            <v>357465.66</v>
          </cell>
          <cell r="J58">
            <v>214701.46</v>
          </cell>
          <cell r="K58">
            <v>214701.46</v>
          </cell>
        </row>
        <row r="59">
          <cell r="A59" t="str">
            <v>CDG6 </v>
          </cell>
          <cell r="B59">
            <v>84</v>
          </cell>
          <cell r="C59" t="str">
            <v>Istituzione Galleria d'arte moderna                         </v>
          </cell>
          <cell r="D59">
            <v>5</v>
          </cell>
          <cell r="E59">
            <v>71</v>
          </cell>
          <cell r="F59" t="str">
            <v>CONSUMI SPECIFICI                                           </v>
          </cell>
          <cell r="G59">
            <v>0</v>
          </cell>
          <cell r="H59">
            <v>94683.76</v>
          </cell>
          <cell r="I59">
            <v>1133622.89</v>
          </cell>
          <cell r="J59">
            <v>1133622.89</v>
          </cell>
          <cell r="K59">
            <v>1133622.89</v>
          </cell>
        </row>
        <row r="60">
          <cell r="A60" t="str">
            <v>CDG6 </v>
          </cell>
          <cell r="B60">
            <v>86</v>
          </cell>
          <cell r="C60" t="str">
            <v>Enti culturali non gestiti                                  </v>
          </cell>
          <cell r="D60">
            <v>5</v>
          </cell>
          <cell r="E60">
            <v>71</v>
          </cell>
          <cell r="F60" t="str">
            <v>CONSUMI SPECIFICI                                           </v>
          </cell>
          <cell r="G60">
            <v>0</v>
          </cell>
          <cell r="H60">
            <v>11794.59</v>
          </cell>
          <cell r="I60">
            <v>212289.61</v>
          </cell>
          <cell r="J60">
            <v>167357.86</v>
          </cell>
          <cell r="K60">
            <v>167357.86</v>
          </cell>
        </row>
        <row r="61">
          <cell r="A61" t="str">
            <v>CDG6 </v>
          </cell>
          <cell r="B61">
            <v>78</v>
          </cell>
          <cell r="C61" t="str">
            <v>Teatri,spettacolo e prom.giovani artisti                    </v>
          </cell>
          <cell r="D61">
            <v>5</v>
          </cell>
          <cell r="E61">
            <v>71</v>
          </cell>
          <cell r="F61" t="str">
            <v>CONSUMI SPECIFICI                                           </v>
          </cell>
          <cell r="G61">
            <v>0</v>
          </cell>
          <cell r="H61">
            <v>254598.05</v>
          </cell>
          <cell r="I61">
            <v>3047575.5</v>
          </cell>
          <cell r="J61">
            <v>3015075.39</v>
          </cell>
          <cell r="K61">
            <v>2669049.27</v>
          </cell>
        </row>
        <row r="62">
          <cell r="A62" t="str">
            <v>CDG6 </v>
          </cell>
          <cell r="B62">
            <v>87</v>
          </cell>
          <cell r="C62" t="str">
            <v>Sistema dei musei ed attività espositive                    </v>
          </cell>
          <cell r="D62">
            <v>5</v>
          </cell>
          <cell r="E62">
            <v>71</v>
          </cell>
          <cell r="F62" t="str">
            <v>CONSUMI SPECIFICI                                           </v>
          </cell>
          <cell r="G62">
            <v>0</v>
          </cell>
          <cell r="H62">
            <v>12911.42</v>
          </cell>
          <cell r="I62">
            <v>154937.07</v>
          </cell>
          <cell r="J62">
            <v>175595.35</v>
          </cell>
          <cell r="K62">
            <v>175595.35</v>
          </cell>
        </row>
        <row r="63">
          <cell r="A63" t="str">
            <v>CDG6 </v>
          </cell>
          <cell r="B63">
            <v>204</v>
          </cell>
          <cell r="C63" t="str">
            <v>Cultura/giovani/sport - Q. San Donato                       </v>
          </cell>
          <cell r="D63">
            <v>5</v>
          </cell>
          <cell r="E63">
            <v>71</v>
          </cell>
          <cell r="F63" t="str">
            <v>CONSUMI SPECIFICI                                           </v>
          </cell>
          <cell r="G63">
            <v>0</v>
          </cell>
          <cell r="H63">
            <v>1721.52</v>
          </cell>
          <cell r="I63">
            <v>435118.04</v>
          </cell>
          <cell r="J63">
            <v>0</v>
          </cell>
          <cell r="K63">
            <v>0</v>
          </cell>
        </row>
        <row r="64">
          <cell r="A64" t="str">
            <v>CDG6 </v>
          </cell>
          <cell r="B64">
            <v>167</v>
          </cell>
          <cell r="C64" t="str">
            <v>Servizi socio assistenziali - Q. Navile                     </v>
          </cell>
          <cell r="D64">
            <v>5</v>
          </cell>
          <cell r="E64">
            <v>71</v>
          </cell>
          <cell r="F64" t="str">
            <v>CONSUMI SPECIFICI                                           </v>
          </cell>
          <cell r="G64">
            <v>0</v>
          </cell>
          <cell r="H64">
            <v>0</v>
          </cell>
          <cell r="I64">
            <v>10329.14</v>
          </cell>
          <cell r="J64">
            <v>0</v>
          </cell>
          <cell r="K64">
            <v>0</v>
          </cell>
        </row>
        <row r="65">
          <cell r="A65" t="str">
            <v>CDG6 </v>
          </cell>
          <cell r="B65">
            <v>47</v>
          </cell>
          <cell r="C65" t="str">
            <v>Studi e interventi storico-monumentali                      </v>
          </cell>
          <cell r="D65">
            <v>5</v>
          </cell>
          <cell r="E65">
            <v>71</v>
          </cell>
          <cell r="F65" t="str">
            <v>CONSUMI SPECIFICI                                           </v>
          </cell>
          <cell r="G65">
            <v>0</v>
          </cell>
          <cell r="H65">
            <v>150.63</v>
          </cell>
          <cell r="I65">
            <v>2065.83</v>
          </cell>
          <cell r="J65">
            <v>2065.83</v>
          </cell>
          <cell r="K65">
            <v>2065.83</v>
          </cell>
        </row>
        <row r="66">
          <cell r="A66" t="str">
            <v>CDG6 </v>
          </cell>
          <cell r="B66">
            <v>244</v>
          </cell>
          <cell r="C66" t="str">
            <v>Cultura/giovani/sport - Q. Savena                           </v>
          </cell>
          <cell r="D66">
            <v>5</v>
          </cell>
          <cell r="E66">
            <v>71</v>
          </cell>
          <cell r="F66" t="str">
            <v>CONSUMI SPECIFICI                                           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CDG6 </v>
          </cell>
          <cell r="B67">
            <v>126</v>
          </cell>
          <cell r="C67" t="str">
            <v>Istituz. Serv. per l'immigrazione (ISI)                     </v>
          </cell>
          <cell r="D67">
            <v>5</v>
          </cell>
          <cell r="E67">
            <v>71</v>
          </cell>
          <cell r="F67" t="str">
            <v>CONSUMI SPECIFICI                                           </v>
          </cell>
          <cell r="G67">
            <v>0</v>
          </cell>
          <cell r="H67">
            <v>96835.67</v>
          </cell>
          <cell r="I67">
            <v>1119590.76</v>
          </cell>
          <cell r="J67">
            <v>1734119.43</v>
          </cell>
          <cell r="K67">
            <v>1665829.49</v>
          </cell>
        </row>
        <row r="68">
          <cell r="A68" t="str">
            <v>CDG6 </v>
          </cell>
          <cell r="B68">
            <v>251</v>
          </cell>
          <cell r="C68" t="str">
            <v>Comitato Bologna 2000                                       </v>
          </cell>
          <cell r="D68">
            <v>5</v>
          </cell>
          <cell r="E68">
            <v>71</v>
          </cell>
          <cell r="F68" t="str">
            <v>CONSUMI SPECIFICI                                           </v>
          </cell>
          <cell r="G68">
            <v>0</v>
          </cell>
          <cell r="H68">
            <v>597113.86</v>
          </cell>
          <cell r="I68">
            <v>4648112.09</v>
          </cell>
          <cell r="J68">
            <v>0</v>
          </cell>
          <cell r="K68">
            <v>0</v>
          </cell>
        </row>
        <row r="69">
          <cell r="A69" t="str">
            <v>CDG6 </v>
          </cell>
          <cell r="B69">
            <v>93</v>
          </cell>
          <cell r="C69" t="str">
            <v>Sport                                                       </v>
          </cell>
          <cell r="D69">
            <v>5</v>
          </cell>
          <cell r="E69">
            <v>71</v>
          </cell>
          <cell r="F69" t="str">
            <v>CONSUMI SPECIFICI                                           </v>
          </cell>
          <cell r="G69">
            <v>0</v>
          </cell>
          <cell r="H69">
            <v>260557.24</v>
          </cell>
          <cell r="I69">
            <v>3052389.39</v>
          </cell>
          <cell r="J69">
            <v>3148966.83</v>
          </cell>
          <cell r="K69">
            <v>3128308.55</v>
          </cell>
        </row>
        <row r="70">
          <cell r="A70" t="str">
            <v>CDG6 </v>
          </cell>
          <cell r="B70">
            <v>73</v>
          </cell>
          <cell r="C70" t="str">
            <v>Economia e lavoro                                           </v>
          </cell>
          <cell r="D70">
            <v>5</v>
          </cell>
          <cell r="E70">
            <v>71</v>
          </cell>
          <cell r="F70" t="str">
            <v>CONSUMI SPECIFICI                                           </v>
          </cell>
          <cell r="G70">
            <v>0</v>
          </cell>
          <cell r="H70">
            <v>271617.38</v>
          </cell>
          <cell r="I70">
            <v>1997628.4</v>
          </cell>
          <cell r="J70">
            <v>3473835.61</v>
          </cell>
          <cell r="K70">
            <v>3431816.85</v>
          </cell>
        </row>
        <row r="71">
          <cell r="A71" t="str">
            <v>CDG6 </v>
          </cell>
          <cell r="B71">
            <v>74</v>
          </cell>
          <cell r="C71" t="str">
            <v>Controllo attività produttive                               </v>
          </cell>
          <cell r="D71">
            <v>5</v>
          </cell>
          <cell r="E71">
            <v>71</v>
          </cell>
          <cell r="F71" t="str">
            <v>CONSUMI SPECIFICI                                           </v>
          </cell>
          <cell r="G71">
            <v>0</v>
          </cell>
          <cell r="H71">
            <v>3651.35</v>
          </cell>
          <cell r="I71">
            <v>33525.28</v>
          </cell>
          <cell r="J71">
            <v>18075.99</v>
          </cell>
          <cell r="K71">
            <v>18075.99</v>
          </cell>
        </row>
        <row r="72">
          <cell r="A72" t="str">
            <v>CDG6 </v>
          </cell>
          <cell r="B72">
            <v>97</v>
          </cell>
          <cell r="C72" t="str">
            <v>Direzione, amm.,CDG/altro - traffico                        </v>
          </cell>
          <cell r="D72">
            <v>5</v>
          </cell>
          <cell r="E72">
            <v>71</v>
          </cell>
          <cell r="F72" t="str">
            <v>CONSUMI SPECIFICI                                           </v>
          </cell>
          <cell r="G72">
            <v>0</v>
          </cell>
          <cell r="H72">
            <v>6821.53</v>
          </cell>
          <cell r="I72">
            <v>655900.26</v>
          </cell>
          <cell r="J72">
            <v>239636</v>
          </cell>
          <cell r="K72">
            <v>231889.14</v>
          </cell>
        </row>
        <row r="73">
          <cell r="A73" t="str">
            <v>CDG6 </v>
          </cell>
          <cell r="B73">
            <v>60</v>
          </cell>
          <cell r="C73" t="str">
            <v>Manutenzione segnaletica e semafori                         </v>
          </cell>
          <cell r="D73">
            <v>5</v>
          </cell>
          <cell r="E73">
            <v>71</v>
          </cell>
          <cell r="F73" t="str">
            <v>CONSUMI SPECIFICI                                           </v>
          </cell>
          <cell r="G73">
            <v>0</v>
          </cell>
          <cell r="H73">
            <v>112410.65</v>
          </cell>
          <cell r="I73">
            <v>1714636.91</v>
          </cell>
          <cell r="J73">
            <v>1549370.7</v>
          </cell>
          <cell r="K73">
            <v>1394433.63</v>
          </cell>
        </row>
        <row r="74">
          <cell r="A74" t="str">
            <v>CDG6 </v>
          </cell>
          <cell r="B74">
            <v>56</v>
          </cell>
          <cell r="C74" t="str">
            <v>Manutenzione strade                                         </v>
          </cell>
          <cell r="D74">
            <v>5</v>
          </cell>
          <cell r="E74">
            <v>71</v>
          </cell>
          <cell r="F74" t="str">
            <v>CONSUMI SPECIFICI                                           </v>
          </cell>
          <cell r="G74">
            <v>0</v>
          </cell>
          <cell r="H74">
            <v>276511.03</v>
          </cell>
          <cell r="I74">
            <v>2176865.83</v>
          </cell>
          <cell r="J74">
            <v>2324056.05</v>
          </cell>
          <cell r="K74">
            <v>1962536.22</v>
          </cell>
        </row>
        <row r="75">
          <cell r="A75" t="str">
            <v>CDG6 </v>
          </cell>
          <cell r="B75">
            <v>101</v>
          </cell>
          <cell r="C75" t="str">
            <v>Rete semaforica                                             </v>
          </cell>
          <cell r="D75">
            <v>5</v>
          </cell>
          <cell r="E75">
            <v>71</v>
          </cell>
          <cell r="F75" t="str">
            <v>CONSUMI SPECIFICI                                           </v>
          </cell>
          <cell r="G75">
            <v>0</v>
          </cell>
          <cell r="H75">
            <v>22164.61</v>
          </cell>
          <cell r="I75">
            <v>165266.21</v>
          </cell>
          <cell r="J75">
            <v>125449.03</v>
          </cell>
          <cell r="K75">
            <v>99676.18</v>
          </cell>
        </row>
        <row r="76">
          <cell r="A76" t="str">
            <v>CDG6 </v>
          </cell>
          <cell r="B76">
            <v>262</v>
          </cell>
          <cell r="C76" t="str">
            <v>Piano sosta e parcheggi                                     </v>
          </cell>
          <cell r="D76">
            <v>5</v>
          </cell>
          <cell r="E76">
            <v>71</v>
          </cell>
          <cell r="F76" t="str">
            <v>CONSUMI SPECIFICI                                           </v>
          </cell>
          <cell r="G76">
            <v>0</v>
          </cell>
          <cell r="H76">
            <v>16010.17</v>
          </cell>
          <cell r="I76">
            <v>227241.03</v>
          </cell>
          <cell r="J76">
            <v>165266.2</v>
          </cell>
          <cell r="K76">
            <v>165266.2</v>
          </cell>
        </row>
        <row r="77">
          <cell r="A77" t="str">
            <v>CDG6 </v>
          </cell>
          <cell r="B77">
            <v>98</v>
          </cell>
          <cell r="C77" t="str">
            <v>Autorizz.ni,licenze e coord.interventi                      </v>
          </cell>
          <cell r="D77">
            <v>5</v>
          </cell>
          <cell r="E77">
            <v>71</v>
          </cell>
          <cell r="F77" t="str">
            <v>CONSUMI SPECIFICI                                           </v>
          </cell>
          <cell r="G77">
            <v>0</v>
          </cell>
          <cell r="H77">
            <v>8392.42</v>
          </cell>
          <cell r="I77">
            <v>103291.37</v>
          </cell>
          <cell r="J77">
            <v>108455.95</v>
          </cell>
          <cell r="K77">
            <v>92962.24</v>
          </cell>
        </row>
        <row r="78">
          <cell r="A78" t="str">
            <v>CDG6 </v>
          </cell>
          <cell r="B78">
            <v>4</v>
          </cell>
          <cell r="C78" t="str">
            <v>Pianificaz. infrastrutturale trasporti                      </v>
          </cell>
          <cell r="D78">
            <v>5</v>
          </cell>
          <cell r="E78">
            <v>71</v>
          </cell>
          <cell r="F78" t="str">
            <v>CONSUMI SPECIFICI                                           </v>
          </cell>
          <cell r="G78">
            <v>0</v>
          </cell>
          <cell r="H78">
            <v>10372.17</v>
          </cell>
          <cell r="I78">
            <v>54227.97</v>
          </cell>
          <cell r="J78">
            <v>299545</v>
          </cell>
          <cell r="K78">
            <v>299545</v>
          </cell>
        </row>
        <row r="79">
          <cell r="A79" t="str">
            <v>CDG6 </v>
          </cell>
          <cell r="B79">
            <v>100</v>
          </cell>
          <cell r="C79" t="str">
            <v>Studi, pianificazione e progettazione                       </v>
          </cell>
          <cell r="D79">
            <v>5</v>
          </cell>
          <cell r="E79">
            <v>71</v>
          </cell>
          <cell r="F79" t="str">
            <v>CONSUMI SPECIFICI                                           </v>
          </cell>
          <cell r="G79">
            <v>0</v>
          </cell>
          <cell r="H79">
            <v>60554.57</v>
          </cell>
          <cell r="I79">
            <v>1262737.12</v>
          </cell>
          <cell r="J79">
            <v>448284.59</v>
          </cell>
          <cell r="K79">
            <v>404385.75</v>
          </cell>
        </row>
        <row r="80">
          <cell r="A80" t="str">
            <v>CDG6 </v>
          </cell>
          <cell r="B80">
            <v>99</v>
          </cell>
          <cell r="C80" t="str">
            <v>Relazioni esterne                                           </v>
          </cell>
          <cell r="D80">
            <v>5</v>
          </cell>
          <cell r="E80">
            <v>71</v>
          </cell>
          <cell r="F80" t="str">
            <v>CONSUMI SPECIFICI                                           </v>
          </cell>
          <cell r="G80">
            <v>0</v>
          </cell>
          <cell r="H80">
            <v>1291.14</v>
          </cell>
          <cell r="I80">
            <v>67139.4</v>
          </cell>
          <cell r="J80">
            <v>69721.68</v>
          </cell>
          <cell r="K80">
            <v>43898.84</v>
          </cell>
        </row>
        <row r="81">
          <cell r="A81" t="str">
            <v>CDG6 </v>
          </cell>
          <cell r="B81">
            <v>261</v>
          </cell>
          <cell r="C81" t="str">
            <v>Gestione illuminazione e semafori                           </v>
          </cell>
          <cell r="D81">
            <v>5</v>
          </cell>
          <cell r="E81">
            <v>71</v>
          </cell>
          <cell r="F81" t="str">
            <v>CONSUMI SPECIFICI                                           </v>
          </cell>
          <cell r="G81">
            <v>0</v>
          </cell>
          <cell r="H81">
            <v>22843.21</v>
          </cell>
          <cell r="I81">
            <v>30987.41</v>
          </cell>
          <cell r="J81">
            <v>0</v>
          </cell>
          <cell r="K81">
            <v>3904414.15</v>
          </cell>
        </row>
        <row r="82">
          <cell r="A82" t="str">
            <v>CDG6 </v>
          </cell>
          <cell r="B82">
            <v>49</v>
          </cell>
          <cell r="C82" t="str">
            <v>Strade                                                      </v>
          </cell>
          <cell r="D82">
            <v>5</v>
          </cell>
          <cell r="E82">
            <v>71</v>
          </cell>
          <cell r="F82" t="str">
            <v>CONSUMI SPECIFICI                                           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A83" t="str">
            <v>CDG6 </v>
          </cell>
          <cell r="B83">
            <v>59</v>
          </cell>
          <cell r="C83" t="str">
            <v>Manutenzione illuminazione pubblica                         </v>
          </cell>
          <cell r="D83">
            <v>5</v>
          </cell>
          <cell r="E83">
            <v>71</v>
          </cell>
          <cell r="F83" t="str">
            <v>CONSUMI SPECIFICI                                           </v>
          </cell>
          <cell r="G83">
            <v>0</v>
          </cell>
          <cell r="H83">
            <v>135913.42</v>
          </cell>
          <cell r="I83">
            <v>1780743.39</v>
          </cell>
          <cell r="J83">
            <v>154937.07</v>
          </cell>
          <cell r="K83">
            <v>154937.07</v>
          </cell>
        </row>
        <row r="84">
          <cell r="A84" t="str">
            <v>CDG6 </v>
          </cell>
          <cell r="B84">
            <v>52</v>
          </cell>
          <cell r="C84" t="str">
            <v>Illuminazione pubblica                                      </v>
          </cell>
          <cell r="D84">
            <v>5</v>
          </cell>
          <cell r="E84">
            <v>71</v>
          </cell>
          <cell r="F84" t="str">
            <v>CONSUMI SPECIFICI                                           </v>
          </cell>
          <cell r="G84">
            <v>0</v>
          </cell>
          <cell r="H84">
            <v>27.97</v>
          </cell>
          <cell r="I84">
            <v>335.7</v>
          </cell>
          <cell r="J84">
            <v>361.51</v>
          </cell>
          <cell r="K84">
            <v>361.52</v>
          </cell>
        </row>
        <row r="85">
          <cell r="A85" t="str">
            <v>CDG6 </v>
          </cell>
          <cell r="B85">
            <v>136</v>
          </cell>
          <cell r="C85" t="str">
            <v>Urbanistica                                                 </v>
          </cell>
          <cell r="D85">
            <v>5</v>
          </cell>
          <cell r="E85">
            <v>71</v>
          </cell>
          <cell r="F85" t="str">
            <v>CONSUMI SPECIFICI                                           </v>
          </cell>
          <cell r="G85">
            <v>0</v>
          </cell>
          <cell r="H85">
            <v>26691.74</v>
          </cell>
          <cell r="I85">
            <v>473074.52</v>
          </cell>
          <cell r="J85">
            <v>1480165.84</v>
          </cell>
          <cell r="K85">
            <v>374947.71</v>
          </cell>
        </row>
        <row r="86">
          <cell r="A86" t="str">
            <v>CDG6 </v>
          </cell>
          <cell r="B86">
            <v>138</v>
          </cell>
          <cell r="C86" t="str">
            <v>Sistema informativo territoriale                            </v>
          </cell>
          <cell r="D86">
            <v>5</v>
          </cell>
          <cell r="E86">
            <v>71</v>
          </cell>
          <cell r="F86" t="str">
            <v>CONSUMI SPECIFICI                                           </v>
          </cell>
          <cell r="G86">
            <v>0</v>
          </cell>
          <cell r="H86">
            <v>18510.67</v>
          </cell>
          <cell r="I86">
            <v>343443.83</v>
          </cell>
          <cell r="J86">
            <v>344063.59</v>
          </cell>
          <cell r="K86">
            <v>307911.61</v>
          </cell>
        </row>
        <row r="87">
          <cell r="A87" t="str">
            <v>CDG6 </v>
          </cell>
          <cell r="B87">
            <v>134</v>
          </cell>
          <cell r="C87" t="str">
            <v>Ambiente                                                    </v>
          </cell>
          <cell r="D87">
            <v>5</v>
          </cell>
          <cell r="E87">
            <v>71</v>
          </cell>
          <cell r="F87" t="str">
            <v>CONSUMI SPECIFICI                                           </v>
          </cell>
          <cell r="G87">
            <v>0</v>
          </cell>
          <cell r="H87">
            <v>125959.53</v>
          </cell>
          <cell r="I87">
            <v>2910234.63</v>
          </cell>
          <cell r="J87">
            <v>1406828.61</v>
          </cell>
          <cell r="K87">
            <v>1680550.76</v>
          </cell>
        </row>
        <row r="88">
          <cell r="A88" t="str">
            <v>CDG6 </v>
          </cell>
          <cell r="B88">
            <v>137</v>
          </cell>
          <cell r="C88" t="str">
            <v>Controllo edilizio                                          </v>
          </cell>
          <cell r="D88">
            <v>5</v>
          </cell>
          <cell r="E88">
            <v>71</v>
          </cell>
          <cell r="F88" t="str">
            <v>CONSUMI SPECIFICI                                           </v>
          </cell>
          <cell r="G88">
            <v>0</v>
          </cell>
          <cell r="H88">
            <v>96405.29</v>
          </cell>
          <cell r="I88">
            <v>180759.91</v>
          </cell>
          <cell r="J88">
            <v>159585.19</v>
          </cell>
          <cell r="K88">
            <v>128597.77</v>
          </cell>
        </row>
        <row r="89">
          <cell r="A89" t="str">
            <v>CDG6 </v>
          </cell>
          <cell r="B89">
            <v>133</v>
          </cell>
          <cell r="C89" t="str">
            <v>Direz.,amm.,CDG/altro-territ.e riq.urb.                     </v>
          </cell>
          <cell r="D89">
            <v>5</v>
          </cell>
          <cell r="E89">
            <v>71</v>
          </cell>
          <cell r="F89" t="str">
            <v>CONSUMI SPECIFICI                                           </v>
          </cell>
          <cell r="G89">
            <v>0</v>
          </cell>
          <cell r="H89">
            <v>6025.33</v>
          </cell>
          <cell r="I89">
            <v>72303.97</v>
          </cell>
          <cell r="J89">
            <v>77468.54</v>
          </cell>
          <cell r="K89">
            <v>77468.53</v>
          </cell>
        </row>
        <row r="90">
          <cell r="A90" t="str">
            <v>CDG6 </v>
          </cell>
          <cell r="B90">
            <v>139</v>
          </cell>
          <cell r="C90" t="str">
            <v>Casa                                                        </v>
          </cell>
          <cell r="D90">
            <v>5</v>
          </cell>
          <cell r="E90">
            <v>71</v>
          </cell>
          <cell r="F90" t="str">
            <v>CONSUMI SPECIFICI                                           </v>
          </cell>
          <cell r="G90">
            <v>0</v>
          </cell>
          <cell r="H90">
            <v>45706.43</v>
          </cell>
          <cell r="I90">
            <v>958027.54</v>
          </cell>
          <cell r="J90">
            <v>6225888.04</v>
          </cell>
          <cell r="K90">
            <v>6225887.91</v>
          </cell>
        </row>
        <row r="91">
          <cell r="A91" t="str">
            <v>CDG6 </v>
          </cell>
          <cell r="B91">
            <v>7</v>
          </cell>
          <cell r="C91" t="str">
            <v>Protezione civile                                           </v>
          </cell>
          <cell r="D91">
            <v>5</v>
          </cell>
          <cell r="E91">
            <v>71</v>
          </cell>
          <cell r="F91" t="str">
            <v>CONSUMI SPECIFICI                                           </v>
          </cell>
          <cell r="G91">
            <v>0</v>
          </cell>
          <cell r="H91">
            <v>14719.03</v>
          </cell>
          <cell r="I91">
            <v>104840.76</v>
          </cell>
          <cell r="J91">
            <v>120334.47</v>
          </cell>
          <cell r="K91">
            <v>120334.47</v>
          </cell>
        </row>
        <row r="92">
          <cell r="A92" t="str">
            <v>CDG6 </v>
          </cell>
          <cell r="B92">
            <v>50</v>
          </cell>
          <cell r="C92" t="str">
            <v>Fognature                                                   </v>
          </cell>
          <cell r="D92">
            <v>5</v>
          </cell>
          <cell r="E92">
            <v>71</v>
          </cell>
          <cell r="F92" t="str">
            <v>CONSUMI SPECIFICI                                           </v>
          </cell>
          <cell r="G92">
            <v>0</v>
          </cell>
          <cell r="H92">
            <v>17215.23</v>
          </cell>
          <cell r="I92">
            <v>258228.45</v>
          </cell>
          <cell r="J92">
            <v>18592.45</v>
          </cell>
          <cell r="K92">
            <v>18592.45</v>
          </cell>
        </row>
        <row r="93">
          <cell r="A93" t="str">
            <v>CDG6 </v>
          </cell>
          <cell r="B93">
            <v>6</v>
          </cell>
          <cell r="C93" t="str">
            <v>Progetto speciale qualità urbana                            </v>
          </cell>
          <cell r="D93">
            <v>5</v>
          </cell>
          <cell r="E93">
            <v>71</v>
          </cell>
          <cell r="F93" t="str">
            <v>CONSUMI SPECIFICI                                           </v>
          </cell>
          <cell r="G93">
            <v>0</v>
          </cell>
          <cell r="H93">
            <v>1015.53</v>
          </cell>
          <cell r="I93">
            <v>237570.17</v>
          </cell>
          <cell r="J93">
            <v>309874.14</v>
          </cell>
          <cell r="K93">
            <v>51645.69</v>
          </cell>
        </row>
        <row r="94">
          <cell r="A94" t="str">
            <v>CDG6 </v>
          </cell>
          <cell r="B94">
            <v>57</v>
          </cell>
          <cell r="C94" t="str">
            <v>Manutenzione verde                                          </v>
          </cell>
          <cell r="D94">
            <v>5</v>
          </cell>
          <cell r="E94">
            <v>71</v>
          </cell>
          <cell r="F94" t="str">
            <v>CONSUMI SPECIFICI                                           </v>
          </cell>
          <cell r="G94">
            <v>0</v>
          </cell>
          <cell r="H94">
            <v>363239.46</v>
          </cell>
          <cell r="I94">
            <v>3697831.4</v>
          </cell>
          <cell r="J94">
            <v>3479370.13</v>
          </cell>
          <cell r="K94">
            <v>3479370.13</v>
          </cell>
        </row>
        <row r="95">
          <cell r="A95" t="str">
            <v>CDG6 </v>
          </cell>
          <cell r="B95">
            <v>118</v>
          </cell>
          <cell r="C95" t="str">
            <v>Servizi sociali a minori e famiglie                         </v>
          </cell>
          <cell r="D95">
            <v>5</v>
          </cell>
          <cell r="E95">
            <v>71</v>
          </cell>
          <cell r="F95" t="str">
            <v>CONSUMI SPECIFICI                                           </v>
          </cell>
          <cell r="G95">
            <v>0</v>
          </cell>
          <cell r="H95">
            <v>527390.59</v>
          </cell>
          <cell r="I95">
            <v>6607533.05</v>
          </cell>
          <cell r="J95">
            <v>6489679.78</v>
          </cell>
          <cell r="K95">
            <v>6258424.7</v>
          </cell>
        </row>
        <row r="96">
          <cell r="A96" t="str">
            <v>CDG6 </v>
          </cell>
          <cell r="B96">
            <v>108</v>
          </cell>
          <cell r="C96" t="str">
            <v>Direz., amm.,CDG/altro - socio sanitario                    </v>
          </cell>
          <cell r="D96">
            <v>5</v>
          </cell>
          <cell r="E96">
            <v>71</v>
          </cell>
          <cell r="F96" t="str">
            <v>CONSUMI SPECIFICI                                           </v>
          </cell>
          <cell r="G96">
            <v>0</v>
          </cell>
          <cell r="H96">
            <v>19465.01</v>
          </cell>
          <cell r="I96">
            <v>193671.33</v>
          </cell>
          <cell r="J96">
            <v>619748.29</v>
          </cell>
          <cell r="K96">
            <v>506127.76</v>
          </cell>
        </row>
        <row r="97">
          <cell r="A97" t="str">
            <v>CDG6 </v>
          </cell>
          <cell r="B97">
            <v>255</v>
          </cell>
          <cell r="C97" t="str">
            <v>Sicurezza urbana                                            </v>
          </cell>
          <cell r="D97">
            <v>5</v>
          </cell>
          <cell r="E97">
            <v>71</v>
          </cell>
          <cell r="F97" t="str">
            <v>CONSUMI SPECIFICI                                           </v>
          </cell>
          <cell r="G97">
            <v>0</v>
          </cell>
          <cell r="H97">
            <v>91423.31</v>
          </cell>
          <cell r="I97">
            <v>900184.38</v>
          </cell>
          <cell r="J97">
            <v>795343.63</v>
          </cell>
          <cell r="K97">
            <v>795343.62</v>
          </cell>
        </row>
        <row r="98">
          <cell r="A98" t="str">
            <v>CDG6 </v>
          </cell>
          <cell r="B98">
            <v>259</v>
          </cell>
          <cell r="C98" t="str">
            <v>Direzione/amm./altro salute e qualità                       </v>
          </cell>
          <cell r="D98">
            <v>5</v>
          </cell>
          <cell r="E98">
            <v>71</v>
          </cell>
          <cell r="F98" t="str">
            <v>CONSUMI SPECIFICI                                           </v>
          </cell>
          <cell r="G98">
            <v>0</v>
          </cell>
          <cell r="H98">
            <v>0</v>
          </cell>
          <cell r="I98">
            <v>5164.57</v>
          </cell>
          <cell r="J98">
            <v>5167.57</v>
          </cell>
          <cell r="K98">
            <v>5164.57</v>
          </cell>
        </row>
        <row r="99">
          <cell r="A99" t="str">
            <v>CDG6 </v>
          </cell>
          <cell r="B99">
            <v>130</v>
          </cell>
          <cell r="C99" t="str">
            <v>Sanità e igiene pubblica                                    </v>
          </cell>
          <cell r="D99">
            <v>5</v>
          </cell>
          <cell r="E99">
            <v>71</v>
          </cell>
          <cell r="F99" t="str">
            <v>CONSUMI SPECIFICI                                           </v>
          </cell>
          <cell r="G99">
            <v>0</v>
          </cell>
          <cell r="H99">
            <v>25040.01</v>
          </cell>
          <cell r="I99">
            <v>253063.88</v>
          </cell>
          <cell r="J99">
            <v>490634.05</v>
          </cell>
          <cell r="K99">
            <v>464811.2</v>
          </cell>
        </row>
        <row r="100">
          <cell r="A100" t="str">
            <v>CDG6 </v>
          </cell>
          <cell r="B100">
            <v>121</v>
          </cell>
          <cell r="C100" t="str">
            <v>Servizi sociali per adulti                                  </v>
          </cell>
          <cell r="D100">
            <v>5</v>
          </cell>
          <cell r="E100">
            <v>71</v>
          </cell>
          <cell r="F100" t="str">
            <v>CONSUMI SPECIFICI                                           </v>
          </cell>
          <cell r="G100">
            <v>0</v>
          </cell>
          <cell r="H100">
            <v>215159.31</v>
          </cell>
          <cell r="I100">
            <v>3232549.18</v>
          </cell>
          <cell r="J100">
            <v>2064371.36</v>
          </cell>
          <cell r="K100">
            <v>2064371.36</v>
          </cell>
        </row>
        <row r="101">
          <cell r="A101" t="str">
            <v>CDG6 </v>
          </cell>
          <cell r="B101">
            <v>119</v>
          </cell>
          <cell r="C101" t="str">
            <v>Servizi sociali per anziani e handicap                      </v>
          </cell>
          <cell r="D101">
            <v>5</v>
          </cell>
          <cell r="E101">
            <v>71</v>
          </cell>
          <cell r="F101" t="str">
            <v>CONSUMI SPECIFICI                                           </v>
          </cell>
          <cell r="G101">
            <v>0</v>
          </cell>
          <cell r="H101">
            <v>101231.4</v>
          </cell>
          <cell r="I101">
            <v>1484939.06</v>
          </cell>
          <cell r="J101">
            <v>1322296.99</v>
          </cell>
          <cell r="K101">
            <v>1322296.99</v>
          </cell>
        </row>
        <row r="102">
          <cell r="A102" t="str">
            <v>CDG6 </v>
          </cell>
          <cell r="B102">
            <v>116</v>
          </cell>
          <cell r="C102" t="str">
            <v>Direzione servizi sociali                                   </v>
          </cell>
          <cell r="D102">
            <v>5</v>
          </cell>
          <cell r="E102">
            <v>71</v>
          </cell>
          <cell r="F102" t="str">
            <v>CONSUMI SPECIFICI                                           </v>
          </cell>
          <cell r="G102">
            <v>0</v>
          </cell>
          <cell r="H102">
            <v>8607.62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CDG6 </v>
          </cell>
          <cell r="B103">
            <v>187</v>
          </cell>
          <cell r="C103" t="str">
            <v>Servi. socio assistenziali - Q. Reno                        </v>
          </cell>
          <cell r="D103">
            <v>5</v>
          </cell>
          <cell r="E103">
            <v>71</v>
          </cell>
          <cell r="F103" t="str">
            <v>CONSUMI SPECIFICI                                           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CDG6 </v>
          </cell>
          <cell r="B104">
            <v>125</v>
          </cell>
          <cell r="C104" t="str">
            <v>Servizi handicap gestione A.U.S.L.                          </v>
          </cell>
          <cell r="D104">
            <v>5</v>
          </cell>
          <cell r="E104">
            <v>71</v>
          </cell>
          <cell r="F104" t="str">
            <v>CONSUMI SPECIFICI                                           </v>
          </cell>
          <cell r="G104">
            <v>0</v>
          </cell>
          <cell r="H104">
            <v>291324.73</v>
          </cell>
          <cell r="I104">
            <v>4010287.82</v>
          </cell>
          <cell r="J104">
            <v>4131655.19</v>
          </cell>
          <cell r="K104">
            <v>4131655.19</v>
          </cell>
        </row>
        <row r="105">
          <cell r="A105" t="str">
            <v>CDG6 </v>
          </cell>
          <cell r="B105">
            <v>109</v>
          </cell>
          <cell r="C105" t="str">
            <v>Servizi funerari                                            </v>
          </cell>
          <cell r="D105">
            <v>5</v>
          </cell>
          <cell r="E105">
            <v>71</v>
          </cell>
          <cell r="F105" t="str">
            <v>CONSUMI SPECIFICI                                           </v>
          </cell>
          <cell r="G105">
            <v>0</v>
          </cell>
          <cell r="H105">
            <v>195074.39</v>
          </cell>
          <cell r="I105">
            <v>2412008.65</v>
          </cell>
          <cell r="J105">
            <v>2628920.56</v>
          </cell>
          <cell r="K105">
            <v>2499806.33</v>
          </cell>
        </row>
        <row r="106">
          <cell r="A106" t="str">
            <v>CDG6 </v>
          </cell>
          <cell r="B106">
            <v>48</v>
          </cell>
          <cell r="C106" t="str">
            <v>Edilizia pubblica                                           </v>
          </cell>
          <cell r="D106">
            <v>5</v>
          </cell>
          <cell r="E106">
            <v>71</v>
          </cell>
          <cell r="F106" t="str">
            <v>CONSUMI SPECIFICI                                           </v>
          </cell>
          <cell r="G106">
            <v>0</v>
          </cell>
          <cell r="H106">
            <v>30126.65</v>
          </cell>
          <cell r="I106">
            <v>413165.52</v>
          </cell>
          <cell r="J106">
            <v>516456.9</v>
          </cell>
          <cell r="K106">
            <v>516456.9</v>
          </cell>
        </row>
        <row r="107">
          <cell r="A107" t="str">
            <v>CDG6 </v>
          </cell>
          <cell r="B107">
            <v>72</v>
          </cell>
          <cell r="C107" t="str">
            <v>Direzione, amm.,CDG/altro - Economia                        </v>
          </cell>
          <cell r="D107">
            <v>5</v>
          </cell>
          <cell r="E107">
            <v>71</v>
          </cell>
          <cell r="F107" t="str">
            <v>CONSUMI SPECIFICI                                           </v>
          </cell>
          <cell r="G107">
            <v>0</v>
          </cell>
          <cell r="H107">
            <v>33139.32</v>
          </cell>
          <cell r="I107">
            <v>496831.53</v>
          </cell>
          <cell r="J107">
            <v>514907.52</v>
          </cell>
          <cell r="K107">
            <v>496831.53</v>
          </cell>
        </row>
        <row r="108">
          <cell r="A108" t="str">
            <v>CDG6 </v>
          </cell>
          <cell r="B108">
            <v>157</v>
          </cell>
          <cell r="C108" t="str">
            <v>Servizi socio assistenziali - Q. Borgo                      </v>
          </cell>
          <cell r="D108">
            <v>5</v>
          </cell>
          <cell r="E108">
            <v>5912</v>
          </cell>
          <cell r="F108" t="str">
            <v>Q.RI RIC.IN CASA RIP./AIUTI AUTONOMIA                       </v>
          </cell>
          <cell r="G108">
            <v>0</v>
          </cell>
          <cell r="H108">
            <v>26769.68</v>
          </cell>
          <cell r="I108">
            <v>185924.48</v>
          </cell>
          <cell r="J108">
            <v>154937.07</v>
          </cell>
          <cell r="K108">
            <v>154937.07</v>
          </cell>
        </row>
        <row r="109">
          <cell r="A109" t="str">
            <v>CDG6 </v>
          </cell>
          <cell r="B109">
            <v>167</v>
          </cell>
          <cell r="C109" t="str">
            <v>Servizi socio assistenziali - Q. Navile                     </v>
          </cell>
          <cell r="D109">
            <v>5</v>
          </cell>
          <cell r="E109">
            <v>5912</v>
          </cell>
          <cell r="F109" t="str">
            <v>Q.RI RIC.IN CASA RIP./AIUTI AUTONOMIA                       </v>
          </cell>
          <cell r="G109">
            <v>0</v>
          </cell>
          <cell r="H109">
            <v>79464.3</v>
          </cell>
          <cell r="I109">
            <v>1030847.97</v>
          </cell>
          <cell r="J109">
            <v>1027749.23</v>
          </cell>
          <cell r="K109">
            <v>1027749.23</v>
          </cell>
        </row>
        <row r="110">
          <cell r="A110" t="str">
            <v>CDG6 </v>
          </cell>
          <cell r="B110">
            <v>177</v>
          </cell>
          <cell r="C110" t="str">
            <v>Servizi socio assistenziali - Q. Porto                      </v>
          </cell>
          <cell r="D110">
            <v>5</v>
          </cell>
          <cell r="E110">
            <v>5912</v>
          </cell>
          <cell r="F110" t="str">
            <v>Q.RI RIC.IN CASA RIP./AIUTI AUTONOMIA                       </v>
          </cell>
          <cell r="G110">
            <v>0</v>
          </cell>
          <cell r="H110">
            <v>64961.67</v>
          </cell>
          <cell r="I110">
            <v>723039.66</v>
          </cell>
          <cell r="J110">
            <v>723039.66</v>
          </cell>
          <cell r="K110">
            <v>723039.66</v>
          </cell>
        </row>
        <row r="111">
          <cell r="A111" t="str">
            <v>CDG6 </v>
          </cell>
          <cell r="B111">
            <v>187</v>
          </cell>
          <cell r="C111" t="str">
            <v>Servi. socio assistenziali - Q. Reno                        </v>
          </cell>
          <cell r="D111">
            <v>5</v>
          </cell>
          <cell r="E111">
            <v>5912</v>
          </cell>
          <cell r="F111" t="str">
            <v>Q.RI RIC.IN CASA RIP./AIUTI AUTONOMIA                       </v>
          </cell>
          <cell r="G111">
            <v>0</v>
          </cell>
          <cell r="H111">
            <v>37109.51</v>
          </cell>
          <cell r="I111">
            <v>413165.52</v>
          </cell>
          <cell r="J111">
            <v>429692.14</v>
          </cell>
          <cell r="K111">
            <v>423494.66</v>
          </cell>
        </row>
        <row r="112">
          <cell r="A112" t="str">
            <v>CDG6 </v>
          </cell>
          <cell r="B112">
            <v>197</v>
          </cell>
          <cell r="C112" t="str">
            <v>Servi. socio assistenz. - Q. San Donato                     </v>
          </cell>
          <cell r="D112">
            <v>5</v>
          </cell>
          <cell r="E112">
            <v>5912</v>
          </cell>
          <cell r="F112" t="str">
            <v>Q.RI RIC.IN CASA RIP./AIUTI AUTONOMIA                       </v>
          </cell>
          <cell r="G112">
            <v>0</v>
          </cell>
          <cell r="H112">
            <v>44673.52</v>
          </cell>
          <cell r="I112">
            <v>562938.02</v>
          </cell>
          <cell r="J112">
            <v>588760.86</v>
          </cell>
          <cell r="K112">
            <v>583596.3</v>
          </cell>
        </row>
        <row r="113">
          <cell r="A113" t="str">
            <v>CDG6 </v>
          </cell>
          <cell r="B113">
            <v>207</v>
          </cell>
          <cell r="C113" t="str">
            <v>Servi. socio assistenz. - Q. S.Stefano                      </v>
          </cell>
          <cell r="D113">
            <v>5</v>
          </cell>
          <cell r="E113">
            <v>5912</v>
          </cell>
          <cell r="F113" t="str">
            <v>Q.RI RIC.IN CASA RIP./AIUTI AUTONOMIA                       </v>
          </cell>
          <cell r="G113">
            <v>0</v>
          </cell>
          <cell r="H113">
            <v>71659.94</v>
          </cell>
          <cell r="I113">
            <v>914128.71</v>
          </cell>
          <cell r="J113">
            <v>945116.13</v>
          </cell>
          <cell r="K113">
            <v>945116.13</v>
          </cell>
        </row>
        <row r="114">
          <cell r="A114" t="str">
            <v>CDG6 </v>
          </cell>
          <cell r="B114">
            <v>217</v>
          </cell>
          <cell r="C114" t="str">
            <v>Servi. socio assistenz. - Q. San Vitale                     </v>
          </cell>
          <cell r="D114">
            <v>5</v>
          </cell>
          <cell r="E114">
            <v>5912</v>
          </cell>
          <cell r="F114" t="str">
            <v>Q.RI RIC.IN CASA RIP./AIUTI AUTONOMIA                       </v>
          </cell>
          <cell r="G114">
            <v>0</v>
          </cell>
          <cell r="H114">
            <v>60287.05</v>
          </cell>
          <cell r="I114">
            <v>650735.69</v>
          </cell>
          <cell r="J114">
            <v>656416.72</v>
          </cell>
          <cell r="K114">
            <v>656416.72</v>
          </cell>
        </row>
        <row r="115">
          <cell r="A115" t="str">
            <v>CDG6 </v>
          </cell>
          <cell r="B115">
            <v>227</v>
          </cell>
          <cell r="C115" t="str">
            <v>Servi. socio assistenz. - Q. Saragozza                      </v>
          </cell>
          <cell r="D115">
            <v>5</v>
          </cell>
          <cell r="E115">
            <v>5912</v>
          </cell>
          <cell r="F115" t="str">
            <v>Q.RI RIC.IN CASA RIP./AIUTI AUTONOMIA                       </v>
          </cell>
          <cell r="G115">
            <v>0</v>
          </cell>
          <cell r="H115">
            <v>68860.92</v>
          </cell>
          <cell r="I115">
            <v>723039.66</v>
          </cell>
          <cell r="J115">
            <v>787597</v>
          </cell>
          <cell r="K115">
            <v>787596.77</v>
          </cell>
        </row>
        <row r="116">
          <cell r="A116" t="str">
            <v>CDG6 </v>
          </cell>
          <cell r="B116">
            <v>237</v>
          </cell>
          <cell r="C116" t="str">
            <v>Servi. socio assistenziali - Q. Savena                      </v>
          </cell>
          <cell r="D116">
            <v>5</v>
          </cell>
          <cell r="E116">
            <v>5912</v>
          </cell>
          <cell r="F116" t="str">
            <v>Q.RI RIC.IN CASA RIP./AIUTI AUTONOMIA                       </v>
          </cell>
          <cell r="G116">
            <v>0</v>
          </cell>
          <cell r="H116">
            <v>58316.59</v>
          </cell>
          <cell r="I116">
            <v>591859.61</v>
          </cell>
          <cell r="J116">
            <v>632143</v>
          </cell>
          <cell r="K116">
            <v>632143.24</v>
          </cell>
        </row>
        <row r="117">
          <cell r="A117" t="str">
            <v>CDG6 </v>
          </cell>
          <cell r="B117">
            <v>157</v>
          </cell>
          <cell r="C117" t="str">
            <v>Servizi socio assistenziali - Q. Borgo                      </v>
          </cell>
          <cell r="D117">
            <v>5</v>
          </cell>
          <cell r="E117">
            <v>5913</v>
          </cell>
          <cell r="F117" t="str">
            <v>Q.RI ASSISTENZA DOMICILIARE                                 </v>
          </cell>
          <cell r="G117">
            <v>0</v>
          </cell>
          <cell r="H117">
            <v>30099.75</v>
          </cell>
          <cell r="I117">
            <v>374431.25</v>
          </cell>
          <cell r="J117">
            <v>374431.25</v>
          </cell>
          <cell r="K117">
            <v>374431.25</v>
          </cell>
        </row>
        <row r="118">
          <cell r="A118" t="str">
            <v>CDG6 </v>
          </cell>
          <cell r="B118">
            <v>167</v>
          </cell>
          <cell r="C118" t="str">
            <v>Servizi socio assistenziali - Q. Navile                     </v>
          </cell>
          <cell r="D118">
            <v>5</v>
          </cell>
          <cell r="E118">
            <v>5913</v>
          </cell>
          <cell r="F118" t="str">
            <v>Q.RI ASSISTENZA DOMICILIARE                                 </v>
          </cell>
          <cell r="G118">
            <v>0</v>
          </cell>
          <cell r="H118">
            <v>63141.5</v>
          </cell>
          <cell r="I118">
            <v>836143.72</v>
          </cell>
          <cell r="J118">
            <v>893470.44</v>
          </cell>
          <cell r="K118">
            <v>893470.44</v>
          </cell>
        </row>
        <row r="119">
          <cell r="A119" t="str">
            <v>CDG6 </v>
          </cell>
          <cell r="B119">
            <v>177</v>
          </cell>
          <cell r="C119" t="str">
            <v>Servizi socio assistenziali - Q. Porto                      </v>
          </cell>
          <cell r="D119">
            <v>5</v>
          </cell>
          <cell r="E119">
            <v>5913</v>
          </cell>
          <cell r="F119" t="str">
            <v>Q.RI ASSISTENZA DOMICILIARE                                 </v>
          </cell>
          <cell r="G119">
            <v>0</v>
          </cell>
          <cell r="H119">
            <v>41079.84</v>
          </cell>
          <cell r="I119">
            <v>542279.74</v>
          </cell>
          <cell r="J119">
            <v>593925.44</v>
          </cell>
          <cell r="K119">
            <v>593925.43</v>
          </cell>
        </row>
        <row r="120">
          <cell r="A120" t="str">
            <v>CDG6 </v>
          </cell>
          <cell r="B120">
            <v>187</v>
          </cell>
          <cell r="C120" t="str">
            <v>Servi. socio assistenziali - Q. Reno                        </v>
          </cell>
          <cell r="D120">
            <v>5</v>
          </cell>
          <cell r="E120">
            <v>5913</v>
          </cell>
          <cell r="F120" t="str">
            <v>Q.RI ASSISTENZA DOMICILIARE                                 </v>
          </cell>
          <cell r="G120">
            <v>0</v>
          </cell>
          <cell r="H120">
            <v>35024.39</v>
          </cell>
          <cell r="I120">
            <v>464811.21</v>
          </cell>
          <cell r="J120">
            <v>480304.92</v>
          </cell>
          <cell r="K120">
            <v>475140.35</v>
          </cell>
        </row>
        <row r="121">
          <cell r="A121" t="str">
            <v>CDG6 </v>
          </cell>
          <cell r="B121">
            <v>197</v>
          </cell>
          <cell r="C121" t="str">
            <v>Servi. socio assistenz. - Q. San Donato                     </v>
          </cell>
          <cell r="D121">
            <v>5</v>
          </cell>
          <cell r="E121">
            <v>5913</v>
          </cell>
          <cell r="F121" t="str">
            <v>Q.RI ASSISTENZA DOMICILIARE                                 </v>
          </cell>
          <cell r="G121">
            <v>0</v>
          </cell>
          <cell r="H121">
            <v>43606.18</v>
          </cell>
          <cell r="I121">
            <v>635241.99</v>
          </cell>
          <cell r="J121">
            <v>593925.43</v>
          </cell>
          <cell r="K121">
            <v>586178.58</v>
          </cell>
        </row>
        <row r="122">
          <cell r="A122" t="str">
            <v>CDG6 </v>
          </cell>
          <cell r="B122">
            <v>207</v>
          </cell>
          <cell r="C122" t="str">
            <v>Servi. socio assistenz. - Q. S.Stefano                      </v>
          </cell>
          <cell r="D122">
            <v>5</v>
          </cell>
          <cell r="E122">
            <v>5913</v>
          </cell>
          <cell r="F122" t="str">
            <v>Q.RI ASSISTENZA DOMICILIARE                                 </v>
          </cell>
          <cell r="G122">
            <v>0</v>
          </cell>
          <cell r="H122">
            <v>50223.88</v>
          </cell>
          <cell r="I122">
            <v>666229.4</v>
          </cell>
          <cell r="J122">
            <v>699799.1</v>
          </cell>
          <cell r="K122">
            <v>699799.1</v>
          </cell>
        </row>
        <row r="123">
          <cell r="A123" t="str">
            <v>CDG6 </v>
          </cell>
          <cell r="B123">
            <v>217</v>
          </cell>
          <cell r="C123" t="str">
            <v>Servi. socio assistenz. - Q. San Vitale                     </v>
          </cell>
          <cell r="D123">
            <v>5</v>
          </cell>
          <cell r="E123">
            <v>5913</v>
          </cell>
          <cell r="F123" t="str">
            <v>Q.RI ASSISTENZA DOMICILIARE                                 </v>
          </cell>
          <cell r="G123">
            <v>0</v>
          </cell>
          <cell r="H123">
            <v>47622.06</v>
          </cell>
          <cell r="I123">
            <v>614583.71</v>
          </cell>
          <cell r="J123">
            <v>883915.98</v>
          </cell>
          <cell r="K123">
            <v>880300.78</v>
          </cell>
        </row>
        <row r="124">
          <cell r="A124" t="str">
            <v>CDG6 </v>
          </cell>
          <cell r="B124">
            <v>227</v>
          </cell>
          <cell r="C124" t="str">
            <v>Servi. socio assistenz. - Q. Saragozza                      </v>
          </cell>
          <cell r="D124">
            <v>5</v>
          </cell>
          <cell r="E124">
            <v>5913</v>
          </cell>
          <cell r="F124" t="str">
            <v>Q.RI ASSISTENZA DOMICILIARE                                 </v>
          </cell>
          <cell r="G124">
            <v>0</v>
          </cell>
          <cell r="H124">
            <v>49515.31</v>
          </cell>
          <cell r="I124">
            <v>655900.26</v>
          </cell>
          <cell r="J124">
            <v>676559</v>
          </cell>
          <cell r="K124">
            <v>676558.54</v>
          </cell>
        </row>
        <row r="125">
          <cell r="A125" t="str">
            <v>CDG6 </v>
          </cell>
          <cell r="B125">
            <v>237</v>
          </cell>
          <cell r="C125" t="str">
            <v>Servi. socio assistenziali - Q. Savena                      </v>
          </cell>
          <cell r="D125">
            <v>5</v>
          </cell>
          <cell r="E125">
            <v>5913</v>
          </cell>
          <cell r="F125" t="str">
            <v>Q.RI ASSISTENZA DOMICILIARE                                 </v>
          </cell>
          <cell r="G125">
            <v>0</v>
          </cell>
          <cell r="H125">
            <v>66631.55</v>
          </cell>
          <cell r="I125">
            <v>891921.06</v>
          </cell>
          <cell r="J125">
            <v>1106923</v>
          </cell>
          <cell r="K125">
            <v>1013520.84</v>
          </cell>
        </row>
        <row r="126">
          <cell r="A126" t="str">
            <v>CDG6 </v>
          </cell>
          <cell r="B126">
            <v>157</v>
          </cell>
          <cell r="C126" t="str">
            <v>Servizi socio assistenziali - Q. Borgo                      </v>
          </cell>
          <cell r="D126">
            <v>5</v>
          </cell>
          <cell r="E126">
            <v>5915</v>
          </cell>
          <cell r="F126" t="str">
            <v>Q.RI SUSSIDI MENSILI E UNA TANTUM                           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CDG6 </v>
          </cell>
          <cell r="B127">
            <v>167</v>
          </cell>
          <cell r="C127" t="str">
            <v>Servizi socio assistenziali - Q. Navile                     </v>
          </cell>
          <cell r="D127">
            <v>5</v>
          </cell>
          <cell r="E127">
            <v>5915</v>
          </cell>
          <cell r="F127" t="str">
            <v>Q.RI SUSSIDI MENSILI E UNA TANTUM                           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CDG6 </v>
          </cell>
          <cell r="B128">
            <v>177</v>
          </cell>
          <cell r="C128" t="str">
            <v>Servizi socio assistenziali - Q. Porto                      </v>
          </cell>
          <cell r="D128">
            <v>5</v>
          </cell>
          <cell r="E128">
            <v>5915</v>
          </cell>
          <cell r="F128" t="str">
            <v>Q.RI SUSSIDI MENSILI E UNA TANTUM                           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CDG6 </v>
          </cell>
          <cell r="B129">
            <v>187</v>
          </cell>
          <cell r="C129" t="str">
            <v>Servi. socio assistenziali - Q. Reno                        </v>
          </cell>
          <cell r="D129">
            <v>5</v>
          </cell>
          <cell r="E129">
            <v>5915</v>
          </cell>
          <cell r="F129" t="str">
            <v>Q.RI SUSSIDI MENSILI E UNA TANTUM                           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CDG6 </v>
          </cell>
          <cell r="B130">
            <v>197</v>
          </cell>
          <cell r="C130" t="str">
            <v>Servi. socio assistenz. - Q. San Donato                     </v>
          </cell>
          <cell r="D130">
            <v>5</v>
          </cell>
          <cell r="E130">
            <v>5915</v>
          </cell>
          <cell r="F130" t="str">
            <v>Q.RI SUSSIDI MENSILI E UNA TANTUM                           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CDG6 </v>
          </cell>
          <cell r="B131">
            <v>207</v>
          </cell>
          <cell r="C131" t="str">
            <v>Servi. socio assistenz. - Q. S.Stefano                      </v>
          </cell>
          <cell r="D131">
            <v>5</v>
          </cell>
          <cell r="E131">
            <v>5915</v>
          </cell>
          <cell r="F131" t="str">
            <v>Q.RI SUSSIDI MENSILI E UNA TANTUM                           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CDG6 </v>
          </cell>
          <cell r="B132">
            <v>217</v>
          </cell>
          <cell r="C132" t="str">
            <v>Servi. socio assistenz. - Q. San Vitale                     </v>
          </cell>
          <cell r="D132">
            <v>5</v>
          </cell>
          <cell r="E132">
            <v>5915</v>
          </cell>
          <cell r="F132" t="str">
            <v>Q.RI SUSSIDI MENSILI E UNA TANTUM                           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CDG6 </v>
          </cell>
          <cell r="B133">
            <v>227</v>
          </cell>
          <cell r="C133" t="str">
            <v>Servi. socio assistenz. - Q. Saragozza                      </v>
          </cell>
          <cell r="D133">
            <v>5</v>
          </cell>
          <cell r="E133">
            <v>5915</v>
          </cell>
          <cell r="F133" t="str">
            <v>Q.RI SUSSIDI MENSILI E UNA TANTUM                           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CDG6 </v>
          </cell>
          <cell r="B134">
            <v>237</v>
          </cell>
          <cell r="C134" t="str">
            <v>Servi. socio assistenziali - Q. Savena                      </v>
          </cell>
          <cell r="D134">
            <v>5</v>
          </cell>
          <cell r="E134">
            <v>5915</v>
          </cell>
          <cell r="F134" t="str">
            <v>Q.RI SUSSIDI MENSILI E UNA TANTUM                           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CDG6 </v>
          </cell>
          <cell r="B135">
            <v>157</v>
          </cell>
          <cell r="C135" t="str">
            <v>Servizi socio assistenziali - Q. Borgo                      </v>
          </cell>
          <cell r="D135">
            <v>5</v>
          </cell>
          <cell r="E135">
            <v>5916</v>
          </cell>
          <cell r="F135" t="str">
            <v>Q.RI BUONI TRASPORTO                                        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 t="str">
            <v>CDG6 </v>
          </cell>
          <cell r="B136">
            <v>167</v>
          </cell>
          <cell r="C136" t="str">
            <v>Servizi socio assistenziali - Q. Navile                     </v>
          </cell>
          <cell r="D136">
            <v>5</v>
          </cell>
          <cell r="E136">
            <v>5916</v>
          </cell>
          <cell r="F136" t="str">
            <v>Q.RI BUONI TRASPORTO                                        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 t="str">
            <v>CDG6 </v>
          </cell>
          <cell r="B137">
            <v>177</v>
          </cell>
          <cell r="C137" t="str">
            <v>Servizi socio assistenziali - Q. Porto                      </v>
          </cell>
          <cell r="D137">
            <v>5</v>
          </cell>
          <cell r="E137">
            <v>5916</v>
          </cell>
          <cell r="F137" t="str">
            <v>Q.RI BUONI TRASPORTO                                        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CDG6 </v>
          </cell>
          <cell r="B138">
            <v>187</v>
          </cell>
          <cell r="C138" t="str">
            <v>Servi. socio assistenziali - Q. Reno                        </v>
          </cell>
          <cell r="D138">
            <v>5</v>
          </cell>
          <cell r="E138">
            <v>5916</v>
          </cell>
          <cell r="F138" t="str">
            <v>Q.RI BUONI TRASPORTO                                        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CDG6 </v>
          </cell>
          <cell r="B139">
            <v>197</v>
          </cell>
          <cell r="C139" t="str">
            <v>Servi. socio assistenz. - Q. San Donato                     </v>
          </cell>
          <cell r="D139">
            <v>5</v>
          </cell>
          <cell r="E139">
            <v>5916</v>
          </cell>
          <cell r="F139" t="str">
            <v>Q.RI BUONI TRASPORTO                                        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CDG6 </v>
          </cell>
          <cell r="B140">
            <v>207</v>
          </cell>
          <cell r="C140" t="str">
            <v>Servi. socio assistenz. - Q. S.Stefano                      </v>
          </cell>
          <cell r="D140">
            <v>5</v>
          </cell>
          <cell r="E140">
            <v>5916</v>
          </cell>
          <cell r="F140" t="str">
            <v>Q.RI BUONI TRASPORTO                                        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CDG6 </v>
          </cell>
          <cell r="B141">
            <v>217</v>
          </cell>
          <cell r="C141" t="str">
            <v>Servi. socio assistenz. - Q. San Vitale                     </v>
          </cell>
          <cell r="D141">
            <v>5</v>
          </cell>
          <cell r="E141">
            <v>5916</v>
          </cell>
          <cell r="F141" t="str">
            <v>Q.RI BUONI TRASPORTO                                        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CDG6 </v>
          </cell>
          <cell r="B142">
            <v>227</v>
          </cell>
          <cell r="C142" t="str">
            <v>Servi. socio assistenz. - Q. Saragozza                      </v>
          </cell>
          <cell r="D142">
            <v>5</v>
          </cell>
          <cell r="E142">
            <v>5916</v>
          </cell>
          <cell r="F142" t="str">
            <v>Q.RI BUONI TRASPORTO                                        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CDG6 </v>
          </cell>
          <cell r="B143">
            <v>237</v>
          </cell>
          <cell r="C143" t="str">
            <v>Servi. socio assistenziali - Q. Savena                      </v>
          </cell>
          <cell r="D143">
            <v>5</v>
          </cell>
          <cell r="E143">
            <v>5916</v>
          </cell>
          <cell r="F143" t="str">
            <v>Q.RI BUONI TRASPORTO                                        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CDG6 </v>
          </cell>
          <cell r="B144">
            <v>157</v>
          </cell>
          <cell r="C144" t="str">
            <v>Servizi socio assistenziali - Q. Borgo                      </v>
          </cell>
          <cell r="D144">
            <v>5</v>
          </cell>
          <cell r="E144">
            <v>5917</v>
          </cell>
          <cell r="F144" t="str">
            <v>Q.RI INTERVENTI PER INVALIDI                                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 t="str">
            <v>CDG6 </v>
          </cell>
          <cell r="B145">
            <v>167</v>
          </cell>
          <cell r="C145" t="str">
            <v>Servizi socio assistenziali - Q. Navile                     </v>
          </cell>
          <cell r="D145">
            <v>5</v>
          </cell>
          <cell r="E145">
            <v>5917</v>
          </cell>
          <cell r="F145" t="str">
            <v>Q.RI INTERVENTI PER INVALIDI                                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A146" t="str">
            <v>CDG6 </v>
          </cell>
          <cell r="B146">
            <v>177</v>
          </cell>
          <cell r="C146" t="str">
            <v>Servizi socio assistenziali - Q. Porto                      </v>
          </cell>
          <cell r="D146">
            <v>5</v>
          </cell>
          <cell r="E146">
            <v>5917</v>
          </cell>
          <cell r="F146" t="str">
            <v>Q.RI INTERVENTI PER INVALIDI                                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CDG6 </v>
          </cell>
          <cell r="B147">
            <v>187</v>
          </cell>
          <cell r="C147" t="str">
            <v>Servi. socio assistenziali - Q. Reno                        </v>
          </cell>
          <cell r="D147">
            <v>5</v>
          </cell>
          <cell r="E147">
            <v>5917</v>
          </cell>
          <cell r="F147" t="str">
            <v>Q.RI INTERVENTI PER INVALIDI                                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CDG6 </v>
          </cell>
          <cell r="B148">
            <v>197</v>
          </cell>
          <cell r="C148" t="str">
            <v>Servi. socio assistenz. - Q. San Donato                     </v>
          </cell>
          <cell r="D148">
            <v>5</v>
          </cell>
          <cell r="E148">
            <v>5917</v>
          </cell>
          <cell r="F148" t="str">
            <v>Q.RI INTERVENTI PER INVALIDI                                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CDG6 </v>
          </cell>
          <cell r="B149">
            <v>207</v>
          </cell>
          <cell r="C149" t="str">
            <v>Servi. socio assistenz. - Q. S.Stefano                      </v>
          </cell>
          <cell r="D149">
            <v>5</v>
          </cell>
          <cell r="E149">
            <v>5917</v>
          </cell>
          <cell r="F149" t="str">
            <v>Q.RI INTERVENTI PER INVALIDI                                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CDG6 </v>
          </cell>
          <cell r="B150">
            <v>217</v>
          </cell>
          <cell r="C150" t="str">
            <v>Servi. socio assistenz. - Q. San Vitale                     </v>
          </cell>
          <cell r="D150">
            <v>5</v>
          </cell>
          <cell r="E150">
            <v>5917</v>
          </cell>
          <cell r="F150" t="str">
            <v>Q.RI INTERVENTI PER INVALIDI                                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CDG6 </v>
          </cell>
          <cell r="B151">
            <v>227</v>
          </cell>
          <cell r="C151" t="str">
            <v>Servi. socio assistenz. - Q. Saragozza                      </v>
          </cell>
          <cell r="D151">
            <v>5</v>
          </cell>
          <cell r="E151">
            <v>5917</v>
          </cell>
          <cell r="F151" t="str">
            <v>Q.RI INTERVENTI PER INVALIDI                                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CDG6 </v>
          </cell>
          <cell r="B152">
            <v>237</v>
          </cell>
          <cell r="C152" t="str">
            <v>Servi. socio assistenziali - Q. Savena                      </v>
          </cell>
          <cell r="D152">
            <v>5</v>
          </cell>
          <cell r="E152">
            <v>5917</v>
          </cell>
          <cell r="F152" t="str">
            <v>Q.RI INTERVENTI PER INVALIDI                                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CDG6 </v>
          </cell>
          <cell r="B153">
            <v>164</v>
          </cell>
          <cell r="C153" t="str">
            <v>Cultura/giovani/sport - Q. Borgo                            </v>
          </cell>
          <cell r="D153">
            <v>5</v>
          </cell>
          <cell r="E153">
            <v>5918</v>
          </cell>
          <cell r="F153" t="str">
            <v>Q.RI SERVIZI PER I GIOVANI                                  </v>
          </cell>
          <cell r="G153">
            <v>0</v>
          </cell>
          <cell r="H153">
            <v>860.76</v>
          </cell>
          <cell r="I153">
            <v>20141.82</v>
          </cell>
          <cell r="J153">
            <v>20658.28</v>
          </cell>
          <cell r="K153">
            <v>20658.28</v>
          </cell>
        </row>
        <row r="154">
          <cell r="A154" t="str">
            <v>CDG6 </v>
          </cell>
          <cell r="B154">
            <v>174</v>
          </cell>
          <cell r="C154" t="str">
            <v>Cultura/giovani/sport - Q. Navile                           </v>
          </cell>
          <cell r="D154">
            <v>5</v>
          </cell>
          <cell r="E154">
            <v>5918</v>
          </cell>
          <cell r="F154" t="str">
            <v>Q.RI SERVIZI PER I GIOVANI                                  </v>
          </cell>
          <cell r="G154">
            <v>0</v>
          </cell>
          <cell r="H154">
            <v>1506.33</v>
          </cell>
          <cell r="I154">
            <v>33569.7</v>
          </cell>
          <cell r="J154">
            <v>33569.7</v>
          </cell>
          <cell r="K154">
            <v>33569.7</v>
          </cell>
        </row>
        <row r="155">
          <cell r="A155" t="str">
            <v>CDG6 </v>
          </cell>
          <cell r="B155">
            <v>184</v>
          </cell>
          <cell r="C155" t="str">
            <v>Cultura/giovani/sport - Q. Porto                            </v>
          </cell>
          <cell r="D155">
            <v>5</v>
          </cell>
          <cell r="E155">
            <v>5918</v>
          </cell>
          <cell r="F155" t="str">
            <v>Q.RI SERVIZI PER I GIOVANI                                  </v>
          </cell>
          <cell r="G155">
            <v>0</v>
          </cell>
          <cell r="H155">
            <v>43.04</v>
          </cell>
          <cell r="I155">
            <v>15493.71</v>
          </cell>
          <cell r="J155">
            <v>10329.14</v>
          </cell>
          <cell r="K155">
            <v>10329.14</v>
          </cell>
        </row>
        <row r="156">
          <cell r="A156" t="str">
            <v>CDG6 </v>
          </cell>
          <cell r="B156">
            <v>194</v>
          </cell>
          <cell r="C156" t="str">
            <v>Cultura/iovani/sport - Q. Reno                              </v>
          </cell>
          <cell r="D156">
            <v>5</v>
          </cell>
          <cell r="E156">
            <v>5918</v>
          </cell>
          <cell r="F156" t="str">
            <v>Q.RI SERVIZI PER I GIOVANI                                  </v>
          </cell>
          <cell r="G156">
            <v>0</v>
          </cell>
          <cell r="H156">
            <v>1231.88</v>
          </cell>
          <cell r="I156">
            <v>21174.73</v>
          </cell>
          <cell r="J156">
            <v>21174.73</v>
          </cell>
          <cell r="K156">
            <v>22207.65</v>
          </cell>
        </row>
        <row r="157">
          <cell r="A157" t="str">
            <v>CDG6 </v>
          </cell>
          <cell r="B157">
            <v>204</v>
          </cell>
          <cell r="C157" t="str">
            <v>Cultura/giovani/sport - Q. San Donato                       </v>
          </cell>
          <cell r="D157">
            <v>5</v>
          </cell>
          <cell r="E157">
            <v>5918</v>
          </cell>
          <cell r="F157" t="str">
            <v>Q.RI SERVIZI PER I GIOVANI                                  </v>
          </cell>
          <cell r="G157">
            <v>0</v>
          </cell>
          <cell r="H157">
            <v>1075.95</v>
          </cell>
          <cell r="I157">
            <v>13427.88</v>
          </cell>
          <cell r="J157">
            <v>13427.88</v>
          </cell>
          <cell r="K157">
            <v>13427.88</v>
          </cell>
        </row>
        <row r="158">
          <cell r="A158" t="str">
            <v>CDG6 </v>
          </cell>
          <cell r="B158">
            <v>214</v>
          </cell>
          <cell r="C158" t="str">
            <v>Cultura/giovani/sport - Q. Santo Stefano                    </v>
          </cell>
          <cell r="D158">
            <v>5</v>
          </cell>
          <cell r="E158">
            <v>5918</v>
          </cell>
          <cell r="F158" t="str">
            <v>Q.RI SERVIZI PER I GIOVANI                                  </v>
          </cell>
          <cell r="G158">
            <v>0</v>
          </cell>
          <cell r="H158">
            <v>258.23</v>
          </cell>
          <cell r="I158">
            <v>10329.14</v>
          </cell>
          <cell r="J158">
            <v>10329.14</v>
          </cell>
          <cell r="K158">
            <v>10329.14</v>
          </cell>
        </row>
        <row r="159">
          <cell r="A159" t="str">
            <v>CDG6 </v>
          </cell>
          <cell r="B159">
            <v>224</v>
          </cell>
          <cell r="C159" t="str">
            <v>Cultura/giovani/sport - Q. San Vitale                       </v>
          </cell>
          <cell r="D159">
            <v>5</v>
          </cell>
          <cell r="E159">
            <v>5918</v>
          </cell>
          <cell r="F159" t="str">
            <v>Q.RI SERVIZI PER I GIOVANI                                  </v>
          </cell>
          <cell r="G159">
            <v>0</v>
          </cell>
          <cell r="H159">
            <v>516.46</v>
          </cell>
          <cell r="I159">
            <v>30987.41</v>
          </cell>
          <cell r="J159">
            <v>25822.84</v>
          </cell>
          <cell r="K159">
            <v>28405.13</v>
          </cell>
        </row>
        <row r="160">
          <cell r="A160" t="str">
            <v>CDG6 </v>
          </cell>
          <cell r="B160">
            <v>234</v>
          </cell>
          <cell r="C160" t="str">
            <v>Cultura/giovani/sport - Q. Saragozza                        </v>
          </cell>
          <cell r="D160">
            <v>5</v>
          </cell>
          <cell r="E160">
            <v>5918</v>
          </cell>
          <cell r="F160" t="str">
            <v>Q.RI SERVIZI PER I GIOVANI                                  </v>
          </cell>
          <cell r="G160">
            <v>0</v>
          </cell>
          <cell r="H160">
            <v>8.14</v>
          </cell>
          <cell r="I160">
            <v>10329.14</v>
          </cell>
          <cell r="J160">
            <v>10329</v>
          </cell>
          <cell r="K160">
            <v>10329.14</v>
          </cell>
        </row>
        <row r="161">
          <cell r="A161" t="str">
            <v>CDG6 </v>
          </cell>
          <cell r="B161">
            <v>244</v>
          </cell>
          <cell r="C161" t="str">
            <v>Cultura/giovani/sport - Q. Savena                           </v>
          </cell>
          <cell r="D161">
            <v>5</v>
          </cell>
          <cell r="E161">
            <v>5918</v>
          </cell>
          <cell r="F161" t="str">
            <v>Q.RI SERVIZI PER I GIOVANI                                  </v>
          </cell>
          <cell r="G161">
            <v>0</v>
          </cell>
          <cell r="H161">
            <v>1506.33</v>
          </cell>
          <cell r="I161">
            <v>19108.91</v>
          </cell>
          <cell r="J161">
            <v>17456</v>
          </cell>
          <cell r="K161">
            <v>14465.96</v>
          </cell>
        </row>
        <row r="162">
          <cell r="A162" t="str">
            <v>CDG6 </v>
          </cell>
          <cell r="B162">
            <v>164</v>
          </cell>
          <cell r="C162" t="str">
            <v>Cultura/giovani/sport - Q. Borgo                            </v>
          </cell>
          <cell r="D162">
            <v>5</v>
          </cell>
          <cell r="E162">
            <v>5919</v>
          </cell>
          <cell r="F162" t="str">
            <v>Q.RI BIBLIOTECHE DI QUARTIERE                               </v>
          </cell>
          <cell r="G162">
            <v>0</v>
          </cell>
          <cell r="H162">
            <v>3227.86</v>
          </cell>
          <cell r="I162">
            <v>40800.1</v>
          </cell>
          <cell r="J162">
            <v>45964.66</v>
          </cell>
          <cell r="K162">
            <v>45964.66</v>
          </cell>
        </row>
        <row r="163">
          <cell r="A163" t="str">
            <v>CDG6 </v>
          </cell>
          <cell r="B163">
            <v>174</v>
          </cell>
          <cell r="C163" t="str">
            <v>Cultura/giovani/sport - Q. Navile                           </v>
          </cell>
          <cell r="D163">
            <v>5</v>
          </cell>
          <cell r="E163">
            <v>5919</v>
          </cell>
          <cell r="F163" t="str">
            <v>Q.RI BIBLIOTECHE DI QUARTIERE                               </v>
          </cell>
          <cell r="G163">
            <v>0</v>
          </cell>
          <cell r="H163">
            <v>2344.76</v>
          </cell>
          <cell r="I163">
            <v>23240.56</v>
          </cell>
          <cell r="J163">
            <v>23240.56</v>
          </cell>
          <cell r="K163">
            <v>23240.56</v>
          </cell>
        </row>
        <row r="164">
          <cell r="A164" t="str">
            <v>CDG6 </v>
          </cell>
          <cell r="B164">
            <v>184</v>
          </cell>
          <cell r="C164" t="str">
            <v>Cultura/giovani/sport - Q. Porto                            </v>
          </cell>
          <cell r="D164">
            <v>5</v>
          </cell>
          <cell r="E164">
            <v>5919</v>
          </cell>
          <cell r="F164" t="str">
            <v>Q.RI BIBLIOTECHE DI QUARTIERE                               </v>
          </cell>
          <cell r="G164">
            <v>0</v>
          </cell>
          <cell r="H164">
            <v>1829.12</v>
          </cell>
          <cell r="I164">
            <v>34086.16</v>
          </cell>
          <cell r="J164">
            <v>28405.13</v>
          </cell>
          <cell r="K164">
            <v>28405.13</v>
          </cell>
        </row>
        <row r="165">
          <cell r="A165" t="str">
            <v>CDG6 </v>
          </cell>
          <cell r="B165">
            <v>194</v>
          </cell>
          <cell r="C165" t="str">
            <v>Cultura/iovani/sport - Q. Reno                              </v>
          </cell>
          <cell r="D165">
            <v>5</v>
          </cell>
          <cell r="E165">
            <v>5919</v>
          </cell>
          <cell r="F165" t="str">
            <v>Q.RI BIBLIOTECHE DI QUARTIERE                               </v>
          </cell>
          <cell r="G165">
            <v>0</v>
          </cell>
          <cell r="H165">
            <v>860.76</v>
          </cell>
          <cell r="I165">
            <v>15493.71</v>
          </cell>
          <cell r="J165">
            <v>15493.71</v>
          </cell>
          <cell r="K165">
            <v>15493.71</v>
          </cell>
        </row>
        <row r="166">
          <cell r="A166" t="str">
            <v>CDG6 </v>
          </cell>
          <cell r="B166">
            <v>204</v>
          </cell>
          <cell r="C166" t="str">
            <v>Cultura/giovani/sport - Q. San Donato                       </v>
          </cell>
          <cell r="D166">
            <v>5</v>
          </cell>
          <cell r="E166">
            <v>5919</v>
          </cell>
          <cell r="F166" t="str">
            <v>Q.RI BIBLIOTECHE DI QUARTIERE                               </v>
          </cell>
          <cell r="G166">
            <v>0</v>
          </cell>
          <cell r="H166">
            <v>860.76</v>
          </cell>
          <cell r="I166">
            <v>20658.28</v>
          </cell>
          <cell r="J166">
            <v>5164.57</v>
          </cell>
          <cell r="K166">
            <v>5164.57</v>
          </cell>
        </row>
        <row r="167">
          <cell r="A167" t="str">
            <v>CDG6 </v>
          </cell>
          <cell r="B167">
            <v>214</v>
          </cell>
          <cell r="C167" t="str">
            <v>Cultura/giovani/sport - Q. Santo Stefano                    </v>
          </cell>
          <cell r="D167">
            <v>5</v>
          </cell>
          <cell r="E167">
            <v>5919</v>
          </cell>
          <cell r="F167" t="str">
            <v>Q.RI BIBLIOTECHE DI QUARTIERE                               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CDG6 </v>
          </cell>
          <cell r="B168">
            <v>224</v>
          </cell>
          <cell r="C168" t="str">
            <v>Cultura/giovani/sport - Q. San Vitale                       </v>
          </cell>
          <cell r="D168">
            <v>5</v>
          </cell>
          <cell r="E168">
            <v>5919</v>
          </cell>
          <cell r="F168" t="str">
            <v>Q.RI BIBLIOTECHE DI QUARTIERE                               </v>
          </cell>
          <cell r="G168">
            <v>0</v>
          </cell>
          <cell r="H168">
            <v>301.27</v>
          </cell>
          <cell r="I168">
            <v>5164.57</v>
          </cell>
          <cell r="J168">
            <v>15493.71</v>
          </cell>
          <cell r="K168">
            <v>7746.85</v>
          </cell>
        </row>
        <row r="169">
          <cell r="A169" t="str">
            <v>CDG6 </v>
          </cell>
          <cell r="B169">
            <v>234</v>
          </cell>
          <cell r="C169" t="str">
            <v>Cultura/giovani/sport - Q. Saragozza                        </v>
          </cell>
          <cell r="D169">
            <v>5</v>
          </cell>
          <cell r="E169">
            <v>5919</v>
          </cell>
          <cell r="F169" t="str">
            <v>Q.RI BIBLIOTECHE DI QUARTIERE                               </v>
          </cell>
          <cell r="G169">
            <v>0</v>
          </cell>
          <cell r="H169">
            <v>2754.44</v>
          </cell>
          <cell r="I169">
            <v>43508.4</v>
          </cell>
          <cell r="J169">
            <v>51647</v>
          </cell>
          <cell r="K169">
            <v>51645.69</v>
          </cell>
        </row>
        <row r="170">
          <cell r="A170" t="str">
            <v>CDG6 </v>
          </cell>
          <cell r="B170">
            <v>244</v>
          </cell>
          <cell r="C170" t="str">
            <v>Cultura/giovani/sport - Q. Savena                           </v>
          </cell>
          <cell r="D170">
            <v>5</v>
          </cell>
          <cell r="E170">
            <v>5919</v>
          </cell>
          <cell r="F170" t="str">
            <v>Q.RI BIBLIOTECHE DI QUARTIERE                               </v>
          </cell>
          <cell r="G170">
            <v>0</v>
          </cell>
          <cell r="H170">
            <v>6283.56</v>
          </cell>
          <cell r="I170">
            <v>54744.43</v>
          </cell>
          <cell r="J170">
            <v>54744</v>
          </cell>
          <cell r="K170">
            <v>54744.43</v>
          </cell>
        </row>
        <row r="171">
          <cell r="A171" t="str">
            <v>CDG6 </v>
          </cell>
          <cell r="B171">
            <v>164</v>
          </cell>
          <cell r="C171" t="str">
            <v>Cultura/giovani/sport - Q. Borgo                            </v>
          </cell>
          <cell r="D171">
            <v>5</v>
          </cell>
          <cell r="E171">
            <v>5920</v>
          </cell>
          <cell r="F171" t="str">
            <v>Q.RI IMPIANTI SPORTIVI                                      </v>
          </cell>
          <cell r="G171">
            <v>0</v>
          </cell>
          <cell r="H171">
            <v>1506.33</v>
          </cell>
          <cell r="I171">
            <v>3615.2</v>
          </cell>
          <cell r="J171">
            <v>3615.2</v>
          </cell>
          <cell r="K171">
            <v>3615.2</v>
          </cell>
        </row>
        <row r="172">
          <cell r="A172" t="str">
            <v>CDG6 </v>
          </cell>
          <cell r="B172">
            <v>174</v>
          </cell>
          <cell r="C172" t="str">
            <v>Cultura/giovani/sport - Q. Navile                           </v>
          </cell>
          <cell r="D172">
            <v>5</v>
          </cell>
          <cell r="E172">
            <v>5920</v>
          </cell>
          <cell r="F172" t="str">
            <v>Q.RI IMPIANTI SPORTIVI                                      </v>
          </cell>
          <cell r="G172">
            <v>0</v>
          </cell>
          <cell r="H172">
            <v>8428.08</v>
          </cell>
          <cell r="I172">
            <v>105873.66</v>
          </cell>
          <cell r="J172">
            <v>105873.66</v>
          </cell>
          <cell r="K172">
            <v>105873.66</v>
          </cell>
        </row>
        <row r="173">
          <cell r="A173" t="str">
            <v>CDG6 </v>
          </cell>
          <cell r="B173">
            <v>184</v>
          </cell>
          <cell r="C173" t="str">
            <v>Cultura/giovani/sport - Q. Porto                            </v>
          </cell>
          <cell r="D173">
            <v>5</v>
          </cell>
          <cell r="E173">
            <v>5920</v>
          </cell>
          <cell r="F173" t="str">
            <v>Q.RI IMPIANTI SPORTIVI                                      </v>
          </cell>
          <cell r="G173">
            <v>0</v>
          </cell>
          <cell r="H173">
            <v>8231.03</v>
          </cell>
          <cell r="I173">
            <v>113620.52</v>
          </cell>
          <cell r="J173">
            <v>108455.95</v>
          </cell>
          <cell r="K173">
            <v>108455.95</v>
          </cell>
        </row>
        <row r="174">
          <cell r="A174" t="str">
            <v>CDG6 </v>
          </cell>
          <cell r="B174">
            <v>194</v>
          </cell>
          <cell r="C174" t="str">
            <v>Cultura/iovani/sport - Q. Reno                              </v>
          </cell>
          <cell r="D174">
            <v>5</v>
          </cell>
          <cell r="E174">
            <v>5920</v>
          </cell>
          <cell r="F174" t="str">
            <v>Q.RI IMPIANTI SPORTIVI                                      </v>
          </cell>
          <cell r="G174">
            <v>0</v>
          </cell>
          <cell r="H174">
            <v>24095.16</v>
          </cell>
          <cell r="I174">
            <v>284567.75</v>
          </cell>
          <cell r="J174">
            <v>284567.75</v>
          </cell>
          <cell r="K174">
            <v>284567.75</v>
          </cell>
        </row>
        <row r="175">
          <cell r="A175" t="str">
            <v>CDG6 </v>
          </cell>
          <cell r="B175">
            <v>204</v>
          </cell>
          <cell r="C175" t="str">
            <v>Cultura/giovani/sport - Q. San Donato                       </v>
          </cell>
          <cell r="D175">
            <v>5</v>
          </cell>
          <cell r="E175">
            <v>5920</v>
          </cell>
          <cell r="F175" t="str">
            <v>Q.RI IMPIANTI SPORTIVI                                      </v>
          </cell>
          <cell r="G175">
            <v>0</v>
          </cell>
          <cell r="H175">
            <v>344.3</v>
          </cell>
          <cell r="I175">
            <v>4131.66</v>
          </cell>
          <cell r="J175">
            <v>0</v>
          </cell>
          <cell r="K175">
            <v>0</v>
          </cell>
        </row>
        <row r="176">
          <cell r="A176" t="str">
            <v>CDG6 </v>
          </cell>
          <cell r="B176">
            <v>214</v>
          </cell>
          <cell r="C176" t="str">
            <v>Cultura/giovani/sport - Q. Santo Stefano                    </v>
          </cell>
          <cell r="D176">
            <v>5</v>
          </cell>
          <cell r="E176">
            <v>5920</v>
          </cell>
          <cell r="F176" t="str">
            <v>Q.RI IMPIANTI SPORTIVI                                      </v>
          </cell>
          <cell r="G176">
            <v>0</v>
          </cell>
          <cell r="H176">
            <v>1237.78</v>
          </cell>
          <cell r="I176">
            <v>14977.25</v>
          </cell>
          <cell r="J176">
            <v>14977.25</v>
          </cell>
          <cell r="K176">
            <v>14977.25</v>
          </cell>
        </row>
        <row r="177">
          <cell r="A177" t="str">
            <v>CDG6 </v>
          </cell>
          <cell r="B177">
            <v>224</v>
          </cell>
          <cell r="C177" t="str">
            <v>Cultura/giovani/sport - Q. San Vitale                       </v>
          </cell>
          <cell r="D177">
            <v>5</v>
          </cell>
          <cell r="E177">
            <v>5920</v>
          </cell>
          <cell r="F177" t="str">
            <v>Q.RI IMPIANTI SPORTIVI                                      </v>
          </cell>
          <cell r="G177">
            <v>0</v>
          </cell>
          <cell r="H177">
            <v>9468.38</v>
          </cell>
          <cell r="I177">
            <v>100709.1</v>
          </cell>
          <cell r="J177">
            <v>91051.35</v>
          </cell>
          <cell r="K177">
            <v>91051.35</v>
          </cell>
        </row>
        <row r="178">
          <cell r="A178" t="str">
            <v>CDG6 </v>
          </cell>
          <cell r="B178">
            <v>234</v>
          </cell>
          <cell r="C178" t="str">
            <v>Cultura/giovani/sport - Q. Saragozza                        </v>
          </cell>
          <cell r="D178">
            <v>5</v>
          </cell>
          <cell r="E178">
            <v>5920</v>
          </cell>
          <cell r="F178" t="str">
            <v>Q.RI IMPIANTI SPORTIVI                                      </v>
          </cell>
          <cell r="G178">
            <v>0</v>
          </cell>
          <cell r="H178">
            <v>0</v>
          </cell>
          <cell r="I178">
            <v>3615.2</v>
          </cell>
          <cell r="J178">
            <v>3615</v>
          </cell>
          <cell r="K178">
            <v>3615.2</v>
          </cell>
        </row>
        <row r="179">
          <cell r="A179" t="str">
            <v>CDG6 </v>
          </cell>
          <cell r="B179">
            <v>244</v>
          </cell>
          <cell r="C179" t="str">
            <v>Cultura/giovani/sport - Q. Savena                           </v>
          </cell>
          <cell r="D179">
            <v>5</v>
          </cell>
          <cell r="E179">
            <v>5920</v>
          </cell>
          <cell r="F179" t="str">
            <v>Q.RI IMPIANTI SPORTIVI                                      </v>
          </cell>
          <cell r="G179">
            <v>0</v>
          </cell>
          <cell r="H179">
            <v>7615.33</v>
          </cell>
          <cell r="I179">
            <v>61458.37</v>
          </cell>
          <cell r="J179">
            <v>61458</v>
          </cell>
          <cell r="K179">
            <v>61458.37</v>
          </cell>
        </row>
        <row r="180">
          <cell r="A180" t="str">
            <v>CDG6 </v>
          </cell>
          <cell r="B180">
            <v>157</v>
          </cell>
          <cell r="C180" t="str">
            <v>Servizi socio assistenziali - Q. Borgo                      </v>
          </cell>
          <cell r="D180">
            <v>5</v>
          </cell>
          <cell r="E180">
            <v>5921</v>
          </cell>
          <cell r="F180" t="str">
            <v>Q.RI CAMPI SOSTA NOMADI                                     </v>
          </cell>
          <cell r="G180">
            <v>0</v>
          </cell>
          <cell r="H180">
            <v>1075.95</v>
          </cell>
          <cell r="I180">
            <v>23240.56</v>
          </cell>
          <cell r="J180">
            <v>25822.84</v>
          </cell>
          <cell r="K180">
            <v>25822.84</v>
          </cell>
        </row>
        <row r="181">
          <cell r="A181" t="str">
            <v>CDG6 </v>
          </cell>
          <cell r="B181">
            <v>167</v>
          </cell>
          <cell r="C181" t="str">
            <v>Servizi socio assistenziali - Q. Navile                     </v>
          </cell>
          <cell r="D181">
            <v>5</v>
          </cell>
          <cell r="E181">
            <v>5921</v>
          </cell>
          <cell r="F181" t="str">
            <v>Q.RI CAMPI SOSTA NOMADI                                     </v>
          </cell>
          <cell r="G181">
            <v>0</v>
          </cell>
          <cell r="H181">
            <v>1936.71</v>
          </cell>
          <cell r="I181">
            <v>26855.76</v>
          </cell>
          <cell r="J181">
            <v>27888.67</v>
          </cell>
          <cell r="K181">
            <v>27888.67</v>
          </cell>
        </row>
        <row r="182">
          <cell r="A182" t="str">
            <v>CDG6 </v>
          </cell>
          <cell r="B182">
            <v>177</v>
          </cell>
          <cell r="C182" t="str">
            <v>Servizi socio assistenziali - Q. Porto                      </v>
          </cell>
          <cell r="D182">
            <v>5</v>
          </cell>
          <cell r="E182">
            <v>5921</v>
          </cell>
          <cell r="F182" t="str">
            <v>Q.RI CAMPI SOSTA NOMADI                                     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CDG6 </v>
          </cell>
          <cell r="B183">
            <v>187</v>
          </cell>
          <cell r="C183" t="str">
            <v>Servi. socio assistenziali - Q. Reno                        </v>
          </cell>
          <cell r="D183">
            <v>5</v>
          </cell>
          <cell r="E183">
            <v>5921</v>
          </cell>
          <cell r="F183" t="str">
            <v>Q.RI CAMPI SOSTA NOMADI                                     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CDG6 </v>
          </cell>
          <cell r="B184">
            <v>197</v>
          </cell>
          <cell r="C184" t="str">
            <v>Servi. socio assistenz. - Q. San Donato                     </v>
          </cell>
          <cell r="D184">
            <v>5</v>
          </cell>
          <cell r="E184">
            <v>5921</v>
          </cell>
          <cell r="F184" t="str">
            <v>Q.RI CAMPI SOSTA NOMADI                                     </v>
          </cell>
          <cell r="G184">
            <v>0</v>
          </cell>
          <cell r="H184">
            <v>4981.66</v>
          </cell>
          <cell r="I184">
            <v>77468.53</v>
          </cell>
          <cell r="J184">
            <v>74886.25</v>
          </cell>
          <cell r="K184">
            <v>74886.25</v>
          </cell>
        </row>
        <row r="185">
          <cell r="A185" t="str">
            <v>CDG6 </v>
          </cell>
          <cell r="B185">
            <v>207</v>
          </cell>
          <cell r="C185" t="str">
            <v>Servi. socio assistenz. - Q. S.Stefano                      </v>
          </cell>
          <cell r="D185">
            <v>5</v>
          </cell>
          <cell r="E185">
            <v>5921</v>
          </cell>
          <cell r="F185" t="str">
            <v>Q.RI CAMPI SOSTA NOMADI                                     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 t="str">
            <v>CDG6 </v>
          </cell>
          <cell r="B186">
            <v>217</v>
          </cell>
          <cell r="C186" t="str">
            <v>Servi. socio assistenz. - Q. San Vitale                     </v>
          </cell>
          <cell r="D186">
            <v>5</v>
          </cell>
          <cell r="E186">
            <v>5921</v>
          </cell>
          <cell r="F186" t="str">
            <v>Q.RI CAMPI SOSTA NOMADI                                     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 t="str">
            <v>CDG6 </v>
          </cell>
          <cell r="B187">
            <v>227</v>
          </cell>
          <cell r="C187" t="str">
            <v>Servi. socio assistenz. - Q. Saragozza                      </v>
          </cell>
          <cell r="D187">
            <v>5</v>
          </cell>
          <cell r="E187">
            <v>5921</v>
          </cell>
          <cell r="F187" t="str">
            <v>Q.RI CAMPI SOSTA NOMADI                                     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CDG6 </v>
          </cell>
          <cell r="B188">
            <v>237</v>
          </cell>
          <cell r="C188" t="str">
            <v>Servi. socio assistenziali - Q. Savena                      </v>
          </cell>
          <cell r="D188">
            <v>5</v>
          </cell>
          <cell r="E188">
            <v>5921</v>
          </cell>
          <cell r="F188" t="str">
            <v>Q.RI CAMPI SOSTA NOMADI                                     </v>
          </cell>
          <cell r="G188">
            <v>0</v>
          </cell>
          <cell r="H188">
            <v>2928.31</v>
          </cell>
          <cell r="I188">
            <v>37184.9</v>
          </cell>
          <cell r="J188">
            <v>37185</v>
          </cell>
          <cell r="K188">
            <v>37184.9</v>
          </cell>
        </row>
        <row r="189">
          <cell r="A189" t="str">
            <v>CDG6 </v>
          </cell>
          <cell r="B189">
            <v>157</v>
          </cell>
          <cell r="C189" t="str">
            <v>Servizi socio assistenziali - Q. Borgo                      </v>
          </cell>
          <cell r="D189">
            <v>5</v>
          </cell>
          <cell r="E189">
            <v>5922</v>
          </cell>
          <cell r="F189" t="str">
            <v>Q.RI SPERIMENTAZIONE SERVIZI PER ANZIANI                    </v>
          </cell>
          <cell r="G189">
            <v>0</v>
          </cell>
          <cell r="H189">
            <v>1721.52</v>
          </cell>
          <cell r="I189">
            <v>20658.28</v>
          </cell>
          <cell r="J189">
            <v>20658.28</v>
          </cell>
          <cell r="K189">
            <v>20658.28</v>
          </cell>
        </row>
        <row r="190">
          <cell r="A190" t="str">
            <v>CDG6 </v>
          </cell>
          <cell r="B190">
            <v>167</v>
          </cell>
          <cell r="C190" t="str">
            <v>Servizi socio assistenziali - Q. Navile                     </v>
          </cell>
          <cell r="D190">
            <v>5</v>
          </cell>
          <cell r="E190">
            <v>5922</v>
          </cell>
          <cell r="F190" t="str">
            <v>Q.RI SPERIMENTAZIONE SERVIZI PER ANZIANI                    </v>
          </cell>
          <cell r="G190">
            <v>0</v>
          </cell>
          <cell r="H190">
            <v>645.57</v>
          </cell>
          <cell r="I190">
            <v>13427.88</v>
          </cell>
          <cell r="J190">
            <v>13944.34</v>
          </cell>
          <cell r="K190">
            <v>13944.34</v>
          </cell>
        </row>
        <row r="191">
          <cell r="A191" t="str">
            <v>CDG6 </v>
          </cell>
          <cell r="B191">
            <v>177</v>
          </cell>
          <cell r="C191" t="str">
            <v>Servizi socio assistenziali - Q. Porto                      </v>
          </cell>
          <cell r="D191">
            <v>5</v>
          </cell>
          <cell r="E191">
            <v>5922</v>
          </cell>
          <cell r="F191" t="str">
            <v>Q.RI SPERIMENTAZIONE SERVIZI PER ANZIANI                    </v>
          </cell>
          <cell r="G191">
            <v>0</v>
          </cell>
          <cell r="H191">
            <v>516.46</v>
          </cell>
          <cell r="I191">
            <v>7746.85</v>
          </cell>
          <cell r="J191">
            <v>7746.85</v>
          </cell>
          <cell r="K191">
            <v>7746.85</v>
          </cell>
        </row>
        <row r="192">
          <cell r="A192" t="str">
            <v>CDG6 </v>
          </cell>
          <cell r="B192">
            <v>187</v>
          </cell>
          <cell r="C192" t="str">
            <v>Servi. socio assistenziali - Q. Reno                        </v>
          </cell>
          <cell r="D192">
            <v>5</v>
          </cell>
          <cell r="E192">
            <v>5922</v>
          </cell>
          <cell r="F192" t="str">
            <v>Q.RI SPERIMENTAZIONE SERVIZI PER ANZIANI                    </v>
          </cell>
          <cell r="G192">
            <v>0</v>
          </cell>
          <cell r="H192">
            <v>3991.85</v>
          </cell>
          <cell r="I192">
            <v>36151.98</v>
          </cell>
          <cell r="J192">
            <v>36151.98</v>
          </cell>
          <cell r="K192">
            <v>43898.84</v>
          </cell>
        </row>
        <row r="193">
          <cell r="A193" t="str">
            <v>CDG6 </v>
          </cell>
          <cell r="B193">
            <v>197</v>
          </cell>
          <cell r="C193" t="str">
            <v>Servi. socio assistenz. - Q. San Donato                     </v>
          </cell>
          <cell r="D193">
            <v>5</v>
          </cell>
          <cell r="E193">
            <v>5922</v>
          </cell>
          <cell r="F193" t="str">
            <v>Q.RI SPERIMENTAZIONE SERVIZI PER ANZIANI                    </v>
          </cell>
          <cell r="G193">
            <v>0</v>
          </cell>
          <cell r="H193">
            <v>2108.87</v>
          </cell>
          <cell r="I193">
            <v>41316.55</v>
          </cell>
          <cell r="J193">
            <v>41316.55</v>
          </cell>
          <cell r="K193">
            <v>41316.55</v>
          </cell>
        </row>
        <row r="194">
          <cell r="A194" t="str">
            <v>CDG6 </v>
          </cell>
          <cell r="B194">
            <v>207</v>
          </cell>
          <cell r="C194" t="str">
            <v>Servi. socio assistenz. - Q. S.Stefano                      </v>
          </cell>
          <cell r="D194">
            <v>5</v>
          </cell>
          <cell r="E194">
            <v>5922</v>
          </cell>
          <cell r="F194" t="str">
            <v>Q.RI SPERIMENTAZIONE SERVIZI PER ANZIANI                    </v>
          </cell>
          <cell r="G194">
            <v>0</v>
          </cell>
          <cell r="H194">
            <v>4705.86</v>
          </cell>
          <cell r="I194">
            <v>69721.68</v>
          </cell>
          <cell r="J194">
            <v>71787.51</v>
          </cell>
          <cell r="K194">
            <v>71787.51</v>
          </cell>
        </row>
        <row r="195">
          <cell r="A195" t="str">
            <v>CDG6 </v>
          </cell>
          <cell r="B195">
            <v>217</v>
          </cell>
          <cell r="C195" t="str">
            <v>Servi. socio assistenz. - Q. San Vitale                     </v>
          </cell>
          <cell r="D195">
            <v>5</v>
          </cell>
          <cell r="E195">
            <v>5922</v>
          </cell>
          <cell r="F195" t="str">
            <v>Q.RI SPERIMENTAZIONE SERVIZI PER ANZIANI                    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 t="str">
            <v>CDG6 </v>
          </cell>
          <cell r="B196">
            <v>227</v>
          </cell>
          <cell r="C196" t="str">
            <v>Servi. socio assistenz. - Q. Saragozza                      </v>
          </cell>
          <cell r="D196">
            <v>5</v>
          </cell>
          <cell r="E196">
            <v>5922</v>
          </cell>
          <cell r="F196" t="str">
            <v>Q.RI SPERIMENTAZIONE SERVIZI PER ANZIANI                    </v>
          </cell>
          <cell r="G196">
            <v>0</v>
          </cell>
          <cell r="H196">
            <v>516.46</v>
          </cell>
          <cell r="I196">
            <v>6197.48</v>
          </cell>
          <cell r="J196">
            <v>6197</v>
          </cell>
          <cell r="K196">
            <v>6197.48</v>
          </cell>
        </row>
        <row r="197">
          <cell r="A197" t="str">
            <v>CDG6 </v>
          </cell>
          <cell r="B197">
            <v>237</v>
          </cell>
          <cell r="C197" t="str">
            <v>Servi. socio assistenziali - Q. Savena                      </v>
          </cell>
          <cell r="D197">
            <v>5</v>
          </cell>
          <cell r="E197">
            <v>5922</v>
          </cell>
          <cell r="F197" t="str">
            <v>Q.RI SPERIMENTAZIONE SERVIZI PER ANZIANI                    </v>
          </cell>
          <cell r="G197">
            <v>0</v>
          </cell>
          <cell r="H197">
            <v>5016.56</v>
          </cell>
          <cell r="I197">
            <v>76435.62</v>
          </cell>
          <cell r="J197">
            <v>87519</v>
          </cell>
          <cell r="K197">
            <v>87518.79</v>
          </cell>
        </row>
        <row r="198">
          <cell r="A198" t="str">
            <v>CDG6 </v>
          </cell>
          <cell r="B198">
            <v>156</v>
          </cell>
          <cell r="C198" t="str">
            <v>Direz. aff. gen. e isti. - Q. Borgo                         </v>
          </cell>
          <cell r="D198">
            <v>5</v>
          </cell>
          <cell r="E198">
            <v>5923</v>
          </cell>
          <cell r="F198" t="str">
            <v>Q.RI INTERVENTI PROMOZIONALI DIVERSI                        </v>
          </cell>
          <cell r="G198">
            <v>0</v>
          </cell>
          <cell r="H198">
            <v>4020.62</v>
          </cell>
          <cell r="I198">
            <v>67779.8</v>
          </cell>
          <cell r="J198">
            <v>68172.31</v>
          </cell>
          <cell r="K198">
            <v>68172.31</v>
          </cell>
        </row>
        <row r="199">
          <cell r="A199" t="str">
            <v>CDG6 </v>
          </cell>
          <cell r="B199">
            <v>166</v>
          </cell>
          <cell r="C199" t="str">
            <v>Direz. aff. gen. e isti. - Q. Navile                        </v>
          </cell>
          <cell r="D199">
            <v>5</v>
          </cell>
          <cell r="E199">
            <v>5923</v>
          </cell>
          <cell r="F199" t="str">
            <v>Q.RI INTERVENTI PROMOZIONALI DIVERSI                        </v>
          </cell>
          <cell r="G199">
            <v>0</v>
          </cell>
          <cell r="H199">
            <v>5379.76</v>
          </cell>
          <cell r="I199">
            <v>59392.54</v>
          </cell>
          <cell r="J199">
            <v>59392.54</v>
          </cell>
          <cell r="K199">
            <v>59392.54</v>
          </cell>
        </row>
        <row r="200">
          <cell r="A200" t="str">
            <v>CDG6 </v>
          </cell>
          <cell r="B200">
            <v>176</v>
          </cell>
          <cell r="C200" t="str">
            <v>Direz. aff. gen. e isti. - Q. Porto                         </v>
          </cell>
          <cell r="D200">
            <v>5</v>
          </cell>
          <cell r="E200">
            <v>5923</v>
          </cell>
          <cell r="F200" t="str">
            <v>Q.RI INTERVENTI PROMOZIONALI DIVERSI                        </v>
          </cell>
          <cell r="G200">
            <v>0</v>
          </cell>
          <cell r="H200">
            <v>3260.13</v>
          </cell>
          <cell r="I200">
            <v>37184.9</v>
          </cell>
          <cell r="J200">
            <v>41316.55</v>
          </cell>
          <cell r="K200">
            <v>41316.55</v>
          </cell>
        </row>
        <row r="201">
          <cell r="A201" t="str">
            <v>CDG6 </v>
          </cell>
          <cell r="B201">
            <v>186</v>
          </cell>
          <cell r="C201" t="str">
            <v>Direz. aff. gen. e isti. - Q. Reno                          </v>
          </cell>
          <cell r="D201">
            <v>5</v>
          </cell>
          <cell r="E201">
            <v>5923</v>
          </cell>
          <cell r="F201" t="str">
            <v>Q.RI INTERVENTI PROMOZIONALI DIVERSI                        </v>
          </cell>
          <cell r="G201">
            <v>0</v>
          </cell>
          <cell r="H201">
            <v>2727.62</v>
          </cell>
          <cell r="I201">
            <v>30987.41</v>
          </cell>
          <cell r="J201">
            <v>30987.41</v>
          </cell>
          <cell r="K201">
            <v>38734.27</v>
          </cell>
        </row>
        <row r="202">
          <cell r="A202" t="str">
            <v>CDG6 </v>
          </cell>
          <cell r="B202">
            <v>196</v>
          </cell>
          <cell r="C202" t="str">
            <v>Direz. aff. gen. e isti. - Q. San Donato                    </v>
          </cell>
          <cell r="D202">
            <v>5</v>
          </cell>
          <cell r="E202">
            <v>5923</v>
          </cell>
          <cell r="F202" t="str">
            <v>Q.RI INTERVENTI PROMOZIONALI DIVERSI                        </v>
          </cell>
          <cell r="G202">
            <v>0</v>
          </cell>
          <cell r="H202">
            <v>2318.03</v>
          </cell>
          <cell r="I202">
            <v>36151.98</v>
          </cell>
          <cell r="J202">
            <v>53711.52</v>
          </cell>
          <cell r="K202">
            <v>58876.09</v>
          </cell>
        </row>
        <row r="203">
          <cell r="A203" t="str">
            <v>CDG6 </v>
          </cell>
          <cell r="B203">
            <v>206</v>
          </cell>
          <cell r="C203" t="str">
            <v>Direz. aff. gen. e isti. - Q. S.Stefano                     </v>
          </cell>
          <cell r="D203">
            <v>5</v>
          </cell>
          <cell r="E203">
            <v>5923</v>
          </cell>
          <cell r="F203" t="str">
            <v>Q.RI INTERVENTI PROMOZIONALI DIVERSI                        </v>
          </cell>
          <cell r="G203">
            <v>0</v>
          </cell>
          <cell r="H203">
            <v>5079.23</v>
          </cell>
          <cell r="I203">
            <v>62491.28</v>
          </cell>
          <cell r="J203">
            <v>67655.85</v>
          </cell>
          <cell r="K203">
            <v>67655.85</v>
          </cell>
        </row>
        <row r="204">
          <cell r="A204" t="str">
            <v>CDG6 </v>
          </cell>
          <cell r="B204">
            <v>216</v>
          </cell>
          <cell r="C204" t="str">
            <v>Direz. aff. gen. e isti. - Q. San Vitale                    </v>
          </cell>
          <cell r="D204">
            <v>5</v>
          </cell>
          <cell r="E204">
            <v>5923</v>
          </cell>
          <cell r="F204" t="str">
            <v>Q.RI INTERVENTI PROMOZIONALI DIVERSI                        </v>
          </cell>
          <cell r="G204">
            <v>0</v>
          </cell>
          <cell r="H204">
            <v>4301.66</v>
          </cell>
          <cell r="I204">
            <v>57326.72</v>
          </cell>
          <cell r="J204">
            <v>40541.87</v>
          </cell>
          <cell r="K204">
            <v>49321.63</v>
          </cell>
        </row>
        <row r="205">
          <cell r="A205" t="str">
            <v>CDG6 </v>
          </cell>
          <cell r="B205">
            <v>226</v>
          </cell>
          <cell r="C205" t="str">
            <v>Direz. aff. gen. e isti. - Q. Saragozza                     </v>
          </cell>
          <cell r="D205">
            <v>5</v>
          </cell>
          <cell r="E205">
            <v>5923</v>
          </cell>
          <cell r="F205" t="str">
            <v>Q.RI INTERVENTI PROMOZIONALI DIVERSI                        </v>
          </cell>
          <cell r="G205">
            <v>0</v>
          </cell>
          <cell r="H205">
            <v>4110.14</v>
          </cell>
          <cell r="I205">
            <v>51645.69</v>
          </cell>
          <cell r="J205">
            <v>51646</v>
          </cell>
          <cell r="K205">
            <v>51645.69</v>
          </cell>
        </row>
        <row r="206">
          <cell r="A206" t="str">
            <v>CDG6 </v>
          </cell>
          <cell r="B206">
            <v>236</v>
          </cell>
          <cell r="C206" t="str">
            <v>Direz. aff. gen. e isti. - Q. Savena                        </v>
          </cell>
          <cell r="D206">
            <v>5</v>
          </cell>
          <cell r="E206">
            <v>5923</v>
          </cell>
          <cell r="F206" t="str">
            <v>Q.RI INTERVENTI PROMOZIONALI DIVERSI                        </v>
          </cell>
          <cell r="G206">
            <v>0</v>
          </cell>
          <cell r="H206">
            <v>5984.66</v>
          </cell>
          <cell r="I206">
            <v>142025.65</v>
          </cell>
          <cell r="J206">
            <v>132782</v>
          </cell>
          <cell r="K206">
            <v>90823.51</v>
          </cell>
        </row>
        <row r="207">
          <cell r="A207" t="str">
            <v>CDG6 </v>
          </cell>
          <cell r="B207">
            <v>156</v>
          </cell>
          <cell r="C207" t="str">
            <v>Direz. aff. gen. e isti. - Q. Borgo                         </v>
          </cell>
          <cell r="D207">
            <v>5</v>
          </cell>
          <cell r="E207">
            <v>5925</v>
          </cell>
          <cell r="F207" t="str">
            <v>Q.RI FONDO INNOVAZIONE                                      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CDG6 </v>
          </cell>
          <cell r="B208">
            <v>166</v>
          </cell>
          <cell r="C208" t="str">
            <v>Direz. aff. gen. e isti. - Q. Navile                        </v>
          </cell>
          <cell r="D208">
            <v>5</v>
          </cell>
          <cell r="E208">
            <v>5925</v>
          </cell>
          <cell r="F208" t="str">
            <v>Q.RI FONDO INNOVAZIONE                                      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CDG6 </v>
          </cell>
          <cell r="B209">
            <v>176</v>
          </cell>
          <cell r="C209" t="str">
            <v>Direz. aff. gen. e isti. - Q. Porto                         </v>
          </cell>
          <cell r="D209">
            <v>5</v>
          </cell>
          <cell r="E209">
            <v>5925</v>
          </cell>
          <cell r="F209" t="str">
            <v>Q.RI FONDO INNOVAZIONE                                      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CDG6 </v>
          </cell>
          <cell r="B210">
            <v>186</v>
          </cell>
          <cell r="C210" t="str">
            <v>Direz. aff. gen. e isti. - Q. Reno                          </v>
          </cell>
          <cell r="D210">
            <v>5</v>
          </cell>
          <cell r="E210">
            <v>5925</v>
          </cell>
          <cell r="F210" t="str">
            <v>Q.RI FONDO INNOVAZIONE                                      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CDG6 </v>
          </cell>
          <cell r="B211">
            <v>196</v>
          </cell>
          <cell r="C211" t="str">
            <v>Direz. aff. gen. e isti. - Q. San Donato                    </v>
          </cell>
          <cell r="D211">
            <v>5</v>
          </cell>
          <cell r="E211">
            <v>5925</v>
          </cell>
          <cell r="F211" t="str">
            <v>Q.RI FONDO INNOVAZIONE                                      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CDG6 </v>
          </cell>
          <cell r="B212">
            <v>206</v>
          </cell>
          <cell r="C212" t="str">
            <v>Direz. aff. gen. e isti. - Q. S.Stefano                     </v>
          </cell>
          <cell r="D212">
            <v>5</v>
          </cell>
          <cell r="E212">
            <v>5925</v>
          </cell>
          <cell r="F212" t="str">
            <v>Q.RI FONDO INNOVAZIONE                                      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A213" t="str">
            <v>CDG6 </v>
          </cell>
          <cell r="B213">
            <v>216</v>
          </cell>
          <cell r="C213" t="str">
            <v>Direz. aff. gen. e isti. - Q. San Vitale                    </v>
          </cell>
          <cell r="D213">
            <v>5</v>
          </cell>
          <cell r="E213">
            <v>5925</v>
          </cell>
          <cell r="F213" t="str">
            <v>Q.RI FONDO INNOVAZIONE                                      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 t="str">
            <v>CDG6 </v>
          </cell>
          <cell r="B214">
            <v>226</v>
          </cell>
          <cell r="C214" t="str">
            <v>Direz. aff. gen. e isti. - Q. Saragozza                     </v>
          </cell>
          <cell r="D214">
            <v>5</v>
          </cell>
          <cell r="E214">
            <v>5925</v>
          </cell>
          <cell r="F214" t="str">
            <v>Q.RI FONDO INNOVAZIONE                                      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CDG6 </v>
          </cell>
          <cell r="B215">
            <v>236</v>
          </cell>
          <cell r="C215" t="str">
            <v>Direz. aff. gen. e isti. - Q. Savena                        </v>
          </cell>
          <cell r="D215">
            <v>5</v>
          </cell>
          <cell r="E215">
            <v>5925</v>
          </cell>
          <cell r="F215" t="str">
            <v>Q.RI FONDO INNOVAZIONE                                      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CDG6 </v>
          </cell>
          <cell r="B216">
            <v>162</v>
          </cell>
          <cell r="C216" t="str">
            <v>Altri servizi educativi - Q. Borgo                          </v>
          </cell>
          <cell r="D216">
            <v>5</v>
          </cell>
          <cell r="E216">
            <v>5926</v>
          </cell>
          <cell r="F216" t="str">
            <v>Q.RI DIRITTO ALLO STUDIO                                    </v>
          </cell>
          <cell r="G216">
            <v>0</v>
          </cell>
          <cell r="H216">
            <v>4562.04</v>
          </cell>
          <cell r="I216">
            <v>48515.96</v>
          </cell>
          <cell r="J216">
            <v>51645.69</v>
          </cell>
          <cell r="K216">
            <v>51645.69</v>
          </cell>
        </row>
        <row r="217">
          <cell r="A217" t="str">
            <v>CDG6 </v>
          </cell>
          <cell r="B217">
            <v>172</v>
          </cell>
          <cell r="C217" t="str">
            <v>Altri serv. educativi - Q. Navile                           </v>
          </cell>
          <cell r="D217">
            <v>5</v>
          </cell>
          <cell r="E217">
            <v>5926</v>
          </cell>
          <cell r="F217" t="str">
            <v>Q.RI DIRITTO ALLO STUDIO                                    </v>
          </cell>
          <cell r="G217">
            <v>0</v>
          </cell>
          <cell r="H217">
            <v>12093.7</v>
          </cell>
          <cell r="I217">
            <v>161134.55</v>
          </cell>
          <cell r="J217">
            <v>165782.67</v>
          </cell>
          <cell r="K217">
            <v>165782.66</v>
          </cell>
        </row>
        <row r="218">
          <cell r="A218" t="str">
            <v>CDG6 </v>
          </cell>
          <cell r="B218">
            <v>182</v>
          </cell>
          <cell r="C218" t="str">
            <v>Altri serv. educativi - Q. Porto                            </v>
          </cell>
          <cell r="D218">
            <v>5</v>
          </cell>
          <cell r="E218">
            <v>5926</v>
          </cell>
          <cell r="F218" t="str">
            <v>Q.RI DIRITTO ALLO STUDIO                                    </v>
          </cell>
          <cell r="G218">
            <v>0</v>
          </cell>
          <cell r="H218">
            <v>6843.05</v>
          </cell>
          <cell r="I218">
            <v>62821.82</v>
          </cell>
          <cell r="J218">
            <v>95028.07</v>
          </cell>
          <cell r="K218">
            <v>95028.07</v>
          </cell>
        </row>
        <row r="219">
          <cell r="A219" t="str">
            <v>CDG6 </v>
          </cell>
          <cell r="B219">
            <v>192</v>
          </cell>
          <cell r="C219" t="str">
            <v>Altri serv. educativi - Q. Reno                             </v>
          </cell>
          <cell r="D219">
            <v>5</v>
          </cell>
          <cell r="E219">
            <v>5926</v>
          </cell>
          <cell r="F219" t="str">
            <v>Q.RI DIRITTO ALLO STUDIO                                    </v>
          </cell>
          <cell r="G219">
            <v>0</v>
          </cell>
          <cell r="H219">
            <v>5069.89</v>
          </cell>
          <cell r="I219">
            <v>68606.13</v>
          </cell>
          <cell r="J219">
            <v>70506.7</v>
          </cell>
          <cell r="K219">
            <v>70506.7</v>
          </cell>
        </row>
        <row r="220">
          <cell r="A220" t="str">
            <v>CDG6 </v>
          </cell>
          <cell r="B220">
            <v>202</v>
          </cell>
          <cell r="C220" t="str">
            <v>Altri servizi educativi - Q. San Donato                     </v>
          </cell>
          <cell r="D220">
            <v>5</v>
          </cell>
          <cell r="E220">
            <v>5926</v>
          </cell>
          <cell r="F220" t="str">
            <v>Q.RI DIRITTO ALLO STUDIO                                    </v>
          </cell>
          <cell r="G220">
            <v>0</v>
          </cell>
          <cell r="H220">
            <v>6438.93</v>
          </cell>
          <cell r="I220">
            <v>70171</v>
          </cell>
          <cell r="J220">
            <v>87797.67</v>
          </cell>
          <cell r="K220">
            <v>92962.24</v>
          </cell>
        </row>
        <row r="221">
          <cell r="A221" t="str">
            <v>CDG6 </v>
          </cell>
          <cell r="B221">
            <v>212</v>
          </cell>
          <cell r="C221" t="str">
            <v>Altri serv. educativi - Q. Santo Stefano                    </v>
          </cell>
          <cell r="D221">
            <v>5</v>
          </cell>
          <cell r="E221">
            <v>5926</v>
          </cell>
          <cell r="F221" t="str">
            <v>Q.RI DIRITTO ALLO STUDIO                                    </v>
          </cell>
          <cell r="G221">
            <v>0</v>
          </cell>
          <cell r="H221">
            <v>10908.07</v>
          </cell>
          <cell r="I221">
            <v>202967.56</v>
          </cell>
          <cell r="J221">
            <v>208648.59</v>
          </cell>
          <cell r="K221">
            <v>208648.59</v>
          </cell>
        </row>
        <row r="222">
          <cell r="A222" t="str">
            <v>CDG6 </v>
          </cell>
          <cell r="B222">
            <v>222</v>
          </cell>
          <cell r="C222" t="str">
            <v>Altri serv. educativi - Q. San Vitale                       </v>
          </cell>
          <cell r="D222">
            <v>5</v>
          </cell>
          <cell r="E222">
            <v>5926</v>
          </cell>
          <cell r="F222" t="str">
            <v>Q.RI DIRITTO ALLO STUDIO                                    </v>
          </cell>
          <cell r="G222">
            <v>0</v>
          </cell>
          <cell r="H222">
            <v>10772.56</v>
          </cell>
          <cell r="I222">
            <v>154523.9</v>
          </cell>
          <cell r="J222">
            <v>164957.88</v>
          </cell>
          <cell r="K222">
            <v>164749.75</v>
          </cell>
        </row>
        <row r="223">
          <cell r="A223" t="str">
            <v>CDG6 </v>
          </cell>
          <cell r="B223">
            <v>232</v>
          </cell>
          <cell r="C223" t="str">
            <v>Altri serv. educativi - Q. Saragozza                        </v>
          </cell>
          <cell r="D223">
            <v>5</v>
          </cell>
          <cell r="E223">
            <v>5926</v>
          </cell>
          <cell r="F223" t="str">
            <v>Q.RI DIRITTO ALLO STUDIO                                    </v>
          </cell>
          <cell r="G223">
            <v>0</v>
          </cell>
          <cell r="H223">
            <v>6715.62</v>
          </cell>
          <cell r="I223">
            <v>94397.99</v>
          </cell>
          <cell r="J223">
            <v>120738</v>
          </cell>
          <cell r="K223">
            <v>120850.91</v>
          </cell>
        </row>
        <row r="224">
          <cell r="A224" t="str">
            <v>CDG6 </v>
          </cell>
          <cell r="B224">
            <v>242</v>
          </cell>
          <cell r="C224" t="str">
            <v>Altri serv. educativi - Q. Savena                           </v>
          </cell>
          <cell r="D224">
            <v>5</v>
          </cell>
          <cell r="E224">
            <v>5926</v>
          </cell>
          <cell r="F224" t="str">
            <v>Q.RI DIRITTO ALLO STUDIO                                    </v>
          </cell>
          <cell r="G224">
            <v>0</v>
          </cell>
          <cell r="H224">
            <v>11795.71</v>
          </cell>
          <cell r="I224">
            <v>125499.03</v>
          </cell>
          <cell r="J224">
            <v>178175</v>
          </cell>
          <cell r="K224">
            <v>177836.71</v>
          </cell>
        </row>
        <row r="225">
          <cell r="A225" t="str">
            <v>CDG6 </v>
          </cell>
          <cell r="B225">
            <v>162</v>
          </cell>
          <cell r="C225" t="str">
            <v>Altri servizi educativi - Q. Borgo                          </v>
          </cell>
          <cell r="D225">
            <v>5</v>
          </cell>
          <cell r="E225">
            <v>5927</v>
          </cell>
          <cell r="F225" t="str">
            <v>Q.RI ESTATE IN CITTA'                                       </v>
          </cell>
          <cell r="G225">
            <v>0</v>
          </cell>
          <cell r="H225">
            <v>873.67</v>
          </cell>
          <cell r="I225">
            <v>12911.42</v>
          </cell>
          <cell r="J225">
            <v>14460.79</v>
          </cell>
          <cell r="K225">
            <v>14460.79</v>
          </cell>
        </row>
        <row r="226">
          <cell r="A226" t="str">
            <v>CDG6 </v>
          </cell>
          <cell r="B226">
            <v>172</v>
          </cell>
          <cell r="C226" t="str">
            <v>Altri serv. educativi - Q. Navile                           </v>
          </cell>
          <cell r="D226">
            <v>5</v>
          </cell>
          <cell r="E226">
            <v>5927</v>
          </cell>
          <cell r="F226" t="str">
            <v>Q.RI ESTATE IN CITTA'                                       </v>
          </cell>
          <cell r="G226">
            <v>0</v>
          </cell>
          <cell r="H226">
            <v>2668.36</v>
          </cell>
          <cell r="I226">
            <v>36151.98</v>
          </cell>
          <cell r="J226">
            <v>37184.9</v>
          </cell>
          <cell r="K226">
            <v>37184.9</v>
          </cell>
        </row>
        <row r="227">
          <cell r="A227" t="str">
            <v>CDG6 </v>
          </cell>
          <cell r="B227">
            <v>182</v>
          </cell>
          <cell r="C227" t="str">
            <v>Altri serv. educativi - Q. Porto                            </v>
          </cell>
          <cell r="D227">
            <v>5</v>
          </cell>
          <cell r="E227">
            <v>5927</v>
          </cell>
          <cell r="F227" t="str">
            <v>Q.RI ESTATE IN CITTA'                                       </v>
          </cell>
          <cell r="G227">
            <v>0</v>
          </cell>
          <cell r="H227">
            <v>1026.89</v>
          </cell>
          <cell r="I227">
            <v>12394.97</v>
          </cell>
          <cell r="J227">
            <v>13427.88</v>
          </cell>
          <cell r="K227">
            <v>13427.88</v>
          </cell>
        </row>
        <row r="228">
          <cell r="A228" t="str">
            <v>CDG6 </v>
          </cell>
          <cell r="B228">
            <v>192</v>
          </cell>
          <cell r="C228" t="str">
            <v>Altri serv. educativi - Q. Reno                             </v>
          </cell>
          <cell r="D228">
            <v>5</v>
          </cell>
          <cell r="E228">
            <v>5927</v>
          </cell>
          <cell r="F228" t="str">
            <v>Q.RI ESTATE IN CITTA'                                       </v>
          </cell>
          <cell r="G228">
            <v>0</v>
          </cell>
          <cell r="H228">
            <v>1248.1</v>
          </cell>
          <cell r="I228">
            <v>20658.28</v>
          </cell>
          <cell r="J228">
            <v>21174.73</v>
          </cell>
          <cell r="K228">
            <v>21174.73</v>
          </cell>
        </row>
        <row r="229">
          <cell r="A229" t="str">
            <v>CDG6 </v>
          </cell>
          <cell r="B229">
            <v>202</v>
          </cell>
          <cell r="C229" t="str">
            <v>Altri servizi educativi - Q. San Donato                     </v>
          </cell>
          <cell r="D229">
            <v>5</v>
          </cell>
          <cell r="E229">
            <v>5927</v>
          </cell>
          <cell r="F229" t="str">
            <v>Q.RI ESTATE IN CITTA'                                       </v>
          </cell>
          <cell r="G229">
            <v>0</v>
          </cell>
          <cell r="H229">
            <v>1471.17</v>
          </cell>
          <cell r="I229">
            <v>21174.73</v>
          </cell>
          <cell r="J229">
            <v>21691.19</v>
          </cell>
          <cell r="K229">
            <v>21691.19</v>
          </cell>
        </row>
        <row r="230">
          <cell r="A230" t="str">
            <v>CDG6 </v>
          </cell>
          <cell r="B230">
            <v>212</v>
          </cell>
          <cell r="C230" t="str">
            <v>Altri serv. educativi - Q. Santo Stefano                    </v>
          </cell>
          <cell r="D230">
            <v>5</v>
          </cell>
          <cell r="E230">
            <v>5927</v>
          </cell>
          <cell r="F230" t="str">
            <v>Q.RI ESTATE IN CITTA'                                       </v>
          </cell>
          <cell r="G230">
            <v>0</v>
          </cell>
          <cell r="H230">
            <v>2452.17</v>
          </cell>
          <cell r="I230">
            <v>32536.78</v>
          </cell>
          <cell r="J230">
            <v>35119.07</v>
          </cell>
          <cell r="K230">
            <v>35119.07</v>
          </cell>
        </row>
        <row r="231">
          <cell r="A231" t="str">
            <v>CDG6 </v>
          </cell>
          <cell r="B231">
            <v>222</v>
          </cell>
          <cell r="C231" t="str">
            <v>Altri serv. educativi - Q. San Vitale                       </v>
          </cell>
          <cell r="D231">
            <v>5</v>
          </cell>
          <cell r="E231">
            <v>5927</v>
          </cell>
          <cell r="F231" t="str">
            <v>Q.RI ESTATE IN CITTA'                                       </v>
          </cell>
          <cell r="G231">
            <v>0</v>
          </cell>
          <cell r="H231">
            <v>2022.79</v>
          </cell>
          <cell r="I231">
            <v>24273.47</v>
          </cell>
          <cell r="J231">
            <v>38300.44</v>
          </cell>
          <cell r="K231">
            <v>38217.81</v>
          </cell>
        </row>
        <row r="232">
          <cell r="A232" t="str">
            <v>CDG6 </v>
          </cell>
          <cell r="B232">
            <v>232</v>
          </cell>
          <cell r="C232" t="str">
            <v>Altri serv. educativi - Q. Saragozza                        </v>
          </cell>
          <cell r="D232">
            <v>5</v>
          </cell>
          <cell r="E232">
            <v>5927</v>
          </cell>
          <cell r="F232" t="str">
            <v>Q.RI ESTATE IN CITTA'                                       </v>
          </cell>
          <cell r="G232">
            <v>0</v>
          </cell>
          <cell r="H232">
            <v>2585.77</v>
          </cell>
          <cell r="I232">
            <v>40913.72</v>
          </cell>
          <cell r="J232">
            <v>40913</v>
          </cell>
          <cell r="K232">
            <v>40800.1</v>
          </cell>
        </row>
        <row r="233">
          <cell r="A233" t="str">
            <v>CDG6 </v>
          </cell>
          <cell r="B233">
            <v>242</v>
          </cell>
          <cell r="C233" t="str">
            <v>Altri serv. educativi - Q. Savena                           </v>
          </cell>
          <cell r="D233">
            <v>5</v>
          </cell>
          <cell r="E233">
            <v>5927</v>
          </cell>
          <cell r="F233" t="str">
            <v>Q.RI ESTATE IN CITTA'                                       </v>
          </cell>
          <cell r="G233">
            <v>0</v>
          </cell>
          <cell r="H233">
            <v>2088.21</v>
          </cell>
          <cell r="I233">
            <v>24789.93</v>
          </cell>
          <cell r="J233">
            <v>21810</v>
          </cell>
          <cell r="K233">
            <v>21809.97</v>
          </cell>
        </row>
        <row r="234">
          <cell r="A234" t="str">
            <v>CDG6 </v>
          </cell>
          <cell r="B234">
            <v>162</v>
          </cell>
          <cell r="C234" t="str">
            <v>Altri servizi educativi - Q. Borgo                          </v>
          </cell>
          <cell r="D234">
            <v>5</v>
          </cell>
          <cell r="E234">
            <v>5931</v>
          </cell>
          <cell r="F234" t="str">
            <v>Q.RI ASSISTENZA ALUNNI CON HANDICAP                         </v>
          </cell>
          <cell r="G234">
            <v>0</v>
          </cell>
          <cell r="H234">
            <v>2539.25</v>
          </cell>
          <cell r="I234">
            <v>41316.55</v>
          </cell>
          <cell r="J234">
            <v>56810.26</v>
          </cell>
          <cell r="K234">
            <v>56810.26</v>
          </cell>
        </row>
        <row r="235">
          <cell r="A235" t="str">
            <v>CDG6 </v>
          </cell>
          <cell r="B235">
            <v>172</v>
          </cell>
          <cell r="C235" t="str">
            <v>Altri serv. educativi - Q. Navile                           </v>
          </cell>
          <cell r="D235">
            <v>5</v>
          </cell>
          <cell r="E235">
            <v>5931</v>
          </cell>
          <cell r="F235" t="str">
            <v>Q.RI ASSISTENZA ALUNNI CON HANDICAP                         </v>
          </cell>
          <cell r="G235">
            <v>0</v>
          </cell>
          <cell r="H235">
            <v>17688.65</v>
          </cell>
          <cell r="I235">
            <v>217428.35</v>
          </cell>
          <cell r="J235">
            <v>292314.61</v>
          </cell>
          <cell r="K235">
            <v>292314.6</v>
          </cell>
        </row>
        <row r="236">
          <cell r="A236" t="str">
            <v>CDG6 </v>
          </cell>
          <cell r="B236">
            <v>182</v>
          </cell>
          <cell r="C236" t="str">
            <v>Altri serv. educativi - Q. Porto                            </v>
          </cell>
          <cell r="D236">
            <v>5</v>
          </cell>
          <cell r="E236">
            <v>5931</v>
          </cell>
          <cell r="F236" t="str">
            <v>Q.RI ASSISTENZA ALUNNI CON HANDICAP                         </v>
          </cell>
          <cell r="G236">
            <v>0</v>
          </cell>
          <cell r="H236">
            <v>9259.21</v>
          </cell>
          <cell r="I236">
            <v>149772.5</v>
          </cell>
          <cell r="J236">
            <v>175595.35</v>
          </cell>
          <cell r="K236">
            <v>175595.35</v>
          </cell>
        </row>
        <row r="237">
          <cell r="A237" t="str">
            <v>CDG6 </v>
          </cell>
          <cell r="B237">
            <v>192</v>
          </cell>
          <cell r="C237" t="str">
            <v>Altri serv. educativi - Q. Reno                             </v>
          </cell>
          <cell r="D237">
            <v>5</v>
          </cell>
          <cell r="E237">
            <v>5931</v>
          </cell>
          <cell r="F237" t="str">
            <v>Q.RI ASSISTENZA ALUNNI CON HANDICAP                         </v>
          </cell>
          <cell r="G237">
            <v>0</v>
          </cell>
          <cell r="H237">
            <v>12466.41</v>
          </cell>
          <cell r="I237">
            <v>134278.79</v>
          </cell>
          <cell r="J237">
            <v>170430.78</v>
          </cell>
          <cell r="K237">
            <v>170430.78</v>
          </cell>
        </row>
        <row r="238">
          <cell r="A238" t="str">
            <v>CDG6 </v>
          </cell>
          <cell r="B238">
            <v>202</v>
          </cell>
          <cell r="C238" t="str">
            <v>Altri servizi educativi - Q. San Donato                     </v>
          </cell>
          <cell r="D238">
            <v>5</v>
          </cell>
          <cell r="E238">
            <v>5931</v>
          </cell>
          <cell r="F238" t="str">
            <v>Q.RI ASSISTENZA ALUNNI CON HANDICAP                         </v>
          </cell>
          <cell r="G238">
            <v>0</v>
          </cell>
          <cell r="H238">
            <v>10845.59</v>
          </cell>
          <cell r="I238">
            <v>175595.35</v>
          </cell>
          <cell r="J238">
            <v>231372.69</v>
          </cell>
          <cell r="K238">
            <v>231372.69</v>
          </cell>
        </row>
        <row r="239">
          <cell r="A239" t="str">
            <v>CDG6 </v>
          </cell>
          <cell r="B239">
            <v>212</v>
          </cell>
          <cell r="C239" t="str">
            <v>Altri serv. educativi - Q. Santo Stefano                    </v>
          </cell>
          <cell r="D239">
            <v>5</v>
          </cell>
          <cell r="E239">
            <v>5931</v>
          </cell>
          <cell r="F239" t="str">
            <v>Q.RI ASSISTENZA ALUNNI CON HANDICAP                         </v>
          </cell>
          <cell r="G239">
            <v>0</v>
          </cell>
          <cell r="H239">
            <v>11593.12</v>
          </cell>
          <cell r="I239">
            <v>170430.78</v>
          </cell>
          <cell r="J239">
            <v>167332.04</v>
          </cell>
          <cell r="K239">
            <v>158035.81</v>
          </cell>
        </row>
        <row r="240">
          <cell r="A240" t="str">
            <v>CDG6 </v>
          </cell>
          <cell r="B240">
            <v>222</v>
          </cell>
          <cell r="C240" t="str">
            <v>Altri serv. educativi - Q. San Vitale                       </v>
          </cell>
          <cell r="D240">
            <v>5</v>
          </cell>
          <cell r="E240">
            <v>5931</v>
          </cell>
          <cell r="F240" t="str">
            <v>Q.RI ASSISTENZA ALUNNI CON HANDICAP                         </v>
          </cell>
          <cell r="G240">
            <v>0</v>
          </cell>
          <cell r="H240">
            <v>7987.87</v>
          </cell>
          <cell r="I240">
            <v>103291.38</v>
          </cell>
          <cell r="J240">
            <v>105474.96</v>
          </cell>
          <cell r="K240">
            <v>105357.21</v>
          </cell>
        </row>
        <row r="241">
          <cell r="A241" t="str">
            <v>CDG6 </v>
          </cell>
          <cell r="B241">
            <v>232</v>
          </cell>
          <cell r="C241" t="str">
            <v>Altri serv. educativi - Q. Saragozza                        </v>
          </cell>
          <cell r="D241">
            <v>5</v>
          </cell>
          <cell r="E241">
            <v>5931</v>
          </cell>
          <cell r="F241" t="str">
            <v>Q.RI ASSISTENZA ALUNNI CON HANDICAP                         </v>
          </cell>
          <cell r="G241">
            <v>0</v>
          </cell>
          <cell r="H241">
            <v>8684.91</v>
          </cell>
          <cell r="I241">
            <v>134278.79</v>
          </cell>
          <cell r="J241">
            <v>134279</v>
          </cell>
          <cell r="K241">
            <v>134278.79</v>
          </cell>
        </row>
        <row r="242">
          <cell r="A242" t="str">
            <v>CDG6 </v>
          </cell>
          <cell r="B242">
            <v>242</v>
          </cell>
          <cell r="C242" t="str">
            <v>Altri serv. educativi - Q. Savena                           </v>
          </cell>
          <cell r="D242">
            <v>5</v>
          </cell>
          <cell r="E242">
            <v>5931</v>
          </cell>
          <cell r="F242" t="str">
            <v>Q.RI ASSISTENZA ALUNNI CON HANDICAP                         </v>
          </cell>
          <cell r="G242">
            <v>0</v>
          </cell>
          <cell r="H242">
            <v>17612.64</v>
          </cell>
          <cell r="I242">
            <v>281985.47</v>
          </cell>
          <cell r="J242">
            <v>321203</v>
          </cell>
          <cell r="K242">
            <v>312058.75</v>
          </cell>
        </row>
        <row r="243">
          <cell r="A243" t="str">
            <v>CDG6 </v>
          </cell>
          <cell r="B243">
            <v>157</v>
          </cell>
          <cell r="C243" t="str">
            <v>Servizi socio assistenziali - Q. Borgo                      </v>
          </cell>
          <cell r="D243">
            <v>5</v>
          </cell>
          <cell r="E243">
            <v>5934</v>
          </cell>
          <cell r="F243" t="str">
            <v>Q.RI CENTRI DIURNI                                          </v>
          </cell>
          <cell r="G243">
            <v>0</v>
          </cell>
          <cell r="H243">
            <v>11754.77</v>
          </cell>
          <cell r="I243">
            <v>160101.64</v>
          </cell>
          <cell r="J243">
            <v>154937.07</v>
          </cell>
          <cell r="K243">
            <v>154937.07</v>
          </cell>
        </row>
        <row r="244">
          <cell r="A244" t="str">
            <v>CDG6 </v>
          </cell>
          <cell r="B244">
            <v>167</v>
          </cell>
          <cell r="C244" t="str">
            <v>Servizi socio assistenziali - Q. Navile                     </v>
          </cell>
          <cell r="D244">
            <v>5</v>
          </cell>
          <cell r="E244">
            <v>5934</v>
          </cell>
          <cell r="F244" t="str">
            <v>Q.RI CENTRI DIURNI                                          </v>
          </cell>
          <cell r="G244">
            <v>0</v>
          </cell>
          <cell r="H244">
            <v>14122.47</v>
          </cell>
          <cell r="I244">
            <v>328983.04</v>
          </cell>
          <cell r="J244">
            <v>328983.04</v>
          </cell>
          <cell r="K244">
            <v>328983.04</v>
          </cell>
        </row>
        <row r="245">
          <cell r="A245" t="str">
            <v>CDG6 </v>
          </cell>
          <cell r="B245">
            <v>177</v>
          </cell>
          <cell r="C245" t="str">
            <v>Servizi socio assistenziali - Q. Porto                      </v>
          </cell>
          <cell r="D245">
            <v>5</v>
          </cell>
          <cell r="E245">
            <v>5934</v>
          </cell>
          <cell r="F245" t="str">
            <v>Q.RI CENTRI DIURNI                                          </v>
          </cell>
          <cell r="G245">
            <v>0</v>
          </cell>
          <cell r="H245">
            <v>15924.09</v>
          </cell>
          <cell r="I245">
            <v>216911.9</v>
          </cell>
          <cell r="J245">
            <v>216911.9</v>
          </cell>
          <cell r="K245">
            <v>216911.9</v>
          </cell>
        </row>
        <row r="246">
          <cell r="A246" t="str">
            <v>CDG6 </v>
          </cell>
          <cell r="B246">
            <v>187</v>
          </cell>
          <cell r="C246" t="str">
            <v>Servi. socio assistenziali - Q. Reno                        </v>
          </cell>
          <cell r="D246">
            <v>5</v>
          </cell>
          <cell r="E246">
            <v>5934</v>
          </cell>
          <cell r="F246" t="str">
            <v>Q.RI CENTRI DIURNI                                          </v>
          </cell>
          <cell r="G246">
            <v>0</v>
          </cell>
          <cell r="H246">
            <v>12050.66</v>
          </cell>
          <cell r="I246">
            <v>144607.93</v>
          </cell>
          <cell r="J246">
            <v>144607.93</v>
          </cell>
          <cell r="K246">
            <v>144607.93</v>
          </cell>
        </row>
        <row r="247">
          <cell r="A247" t="str">
            <v>CDG6 </v>
          </cell>
          <cell r="B247">
            <v>197</v>
          </cell>
          <cell r="C247" t="str">
            <v>Servi. socio assistenz. - Q. San Donato                     </v>
          </cell>
          <cell r="D247">
            <v>5</v>
          </cell>
          <cell r="E247">
            <v>5934</v>
          </cell>
          <cell r="F247" t="str">
            <v>Q.RI CENTRI DIURNI                                          </v>
          </cell>
          <cell r="G247">
            <v>0</v>
          </cell>
          <cell r="H247">
            <v>0</v>
          </cell>
          <cell r="I247">
            <v>0</v>
          </cell>
          <cell r="J247">
            <v>154937.07</v>
          </cell>
          <cell r="K247">
            <v>154937.07</v>
          </cell>
        </row>
        <row r="248">
          <cell r="A248" t="str">
            <v>CDG6 </v>
          </cell>
          <cell r="B248">
            <v>207</v>
          </cell>
          <cell r="C248" t="str">
            <v>Servi. socio assistenz. - Q. S.Stefano                      </v>
          </cell>
          <cell r="D248">
            <v>5</v>
          </cell>
          <cell r="E248">
            <v>5934</v>
          </cell>
          <cell r="F248" t="str">
            <v>Q.RI CENTRI DIURNI                                          </v>
          </cell>
          <cell r="G248">
            <v>0</v>
          </cell>
          <cell r="H248">
            <v>11518.65</v>
          </cell>
          <cell r="I248">
            <v>139443.36</v>
          </cell>
          <cell r="J248">
            <v>139443.36</v>
          </cell>
          <cell r="K248">
            <v>139443.36</v>
          </cell>
        </row>
        <row r="249">
          <cell r="A249" t="str">
            <v>CDG6 </v>
          </cell>
          <cell r="B249">
            <v>217</v>
          </cell>
          <cell r="C249" t="str">
            <v>Servi. socio assistenz. - Q. San Vitale                     </v>
          </cell>
          <cell r="D249">
            <v>5</v>
          </cell>
          <cell r="E249">
            <v>5934</v>
          </cell>
          <cell r="F249" t="str">
            <v>Q.RI CENTRI DIURNI                                          </v>
          </cell>
          <cell r="G249">
            <v>0</v>
          </cell>
          <cell r="H249">
            <v>16872.11</v>
          </cell>
          <cell r="I249">
            <v>361519.83</v>
          </cell>
          <cell r="J249">
            <v>309874.14</v>
          </cell>
          <cell r="K249">
            <v>309874.14</v>
          </cell>
        </row>
        <row r="250">
          <cell r="A250" t="str">
            <v>CDG6 </v>
          </cell>
          <cell r="B250">
            <v>227</v>
          </cell>
          <cell r="C250" t="str">
            <v>Servi. socio assistenz. - Q. Saragozza                      </v>
          </cell>
          <cell r="D250">
            <v>5</v>
          </cell>
          <cell r="E250">
            <v>5934</v>
          </cell>
          <cell r="F250" t="str">
            <v>Q.RI CENTRI DIURNI                                          </v>
          </cell>
          <cell r="G250">
            <v>0</v>
          </cell>
          <cell r="H250">
            <v>8607.62</v>
          </cell>
          <cell r="I250">
            <v>113620.52</v>
          </cell>
          <cell r="J250">
            <v>113621</v>
          </cell>
          <cell r="K250">
            <v>113620.52</v>
          </cell>
        </row>
        <row r="251">
          <cell r="A251" t="str">
            <v>CDG6 </v>
          </cell>
          <cell r="B251">
            <v>237</v>
          </cell>
          <cell r="C251" t="str">
            <v>Servi. socio assistenziali - Q. Savena                      </v>
          </cell>
          <cell r="D251">
            <v>5</v>
          </cell>
          <cell r="E251">
            <v>5934</v>
          </cell>
          <cell r="F251" t="str">
            <v>Q.RI CENTRI DIURNI                                          </v>
          </cell>
          <cell r="G251">
            <v>0</v>
          </cell>
          <cell r="H251">
            <v>14675.98</v>
          </cell>
          <cell r="I251">
            <v>180759.91</v>
          </cell>
          <cell r="J251">
            <v>172884</v>
          </cell>
          <cell r="K251">
            <v>167848.49</v>
          </cell>
        </row>
        <row r="252">
          <cell r="A252" t="str">
            <v>CDG6 </v>
          </cell>
          <cell r="B252">
            <v>156</v>
          </cell>
          <cell r="C252" t="str">
            <v>Direz. aff. gen. e isti. - Q. Borgo                         </v>
          </cell>
          <cell r="D252">
            <v>5</v>
          </cell>
          <cell r="E252">
            <v>5935</v>
          </cell>
          <cell r="F252" t="str">
            <v>Q.RI SPESE DI FUNZIONAMENTO ECONOMALI                       </v>
          </cell>
          <cell r="G252">
            <v>0</v>
          </cell>
          <cell r="H252">
            <v>7052.91</v>
          </cell>
          <cell r="I252">
            <v>35119.07</v>
          </cell>
          <cell r="J252">
            <v>41316.55</v>
          </cell>
          <cell r="K252">
            <v>41316.55</v>
          </cell>
        </row>
        <row r="253">
          <cell r="A253" t="str">
            <v>CDG6 </v>
          </cell>
          <cell r="B253">
            <v>166</v>
          </cell>
          <cell r="C253" t="str">
            <v>Direz. aff. gen. e isti. - Q. Navile                        </v>
          </cell>
          <cell r="D253">
            <v>5</v>
          </cell>
          <cell r="E253">
            <v>5935</v>
          </cell>
          <cell r="F253" t="str">
            <v>Q.RI SPESE DI FUNZIONAMENTO ECONOMALI                       </v>
          </cell>
          <cell r="G253">
            <v>0</v>
          </cell>
          <cell r="H253">
            <v>10037.51</v>
          </cell>
          <cell r="I253">
            <v>72820.42</v>
          </cell>
          <cell r="J253">
            <v>72820.42</v>
          </cell>
          <cell r="K253">
            <v>72820.42</v>
          </cell>
        </row>
        <row r="254">
          <cell r="A254" t="str">
            <v>CDG6 </v>
          </cell>
          <cell r="B254">
            <v>176</v>
          </cell>
          <cell r="C254" t="str">
            <v>Direz. aff. gen. e isti. - Q. Porto                         </v>
          </cell>
          <cell r="D254">
            <v>5</v>
          </cell>
          <cell r="E254">
            <v>5935</v>
          </cell>
          <cell r="F254" t="str">
            <v>Q.RI SPESE DI FUNZIONAMENTO ECONOMALI                       </v>
          </cell>
          <cell r="G254">
            <v>0</v>
          </cell>
          <cell r="H254">
            <v>5181.48</v>
          </cell>
          <cell r="I254">
            <v>63995.21</v>
          </cell>
          <cell r="J254">
            <v>65435.09</v>
          </cell>
          <cell r="K254">
            <v>65435.09</v>
          </cell>
        </row>
        <row r="255">
          <cell r="A255" t="str">
            <v>CDG6 </v>
          </cell>
          <cell r="B255">
            <v>186</v>
          </cell>
          <cell r="C255" t="str">
            <v>Direz. aff. gen. e isti. - Q. Reno                          </v>
          </cell>
          <cell r="D255">
            <v>5</v>
          </cell>
          <cell r="E255">
            <v>5935</v>
          </cell>
          <cell r="F255" t="str">
            <v>Q.RI SPESE DI FUNZIONAMENTO ECONOMALI                       </v>
          </cell>
          <cell r="G255">
            <v>0</v>
          </cell>
          <cell r="H255">
            <v>3534.3</v>
          </cell>
          <cell r="I255">
            <v>36151.98</v>
          </cell>
          <cell r="J255">
            <v>41316.55</v>
          </cell>
          <cell r="K255">
            <v>41316.55</v>
          </cell>
        </row>
        <row r="256">
          <cell r="A256" t="str">
            <v>CDG6 </v>
          </cell>
          <cell r="B256">
            <v>196</v>
          </cell>
          <cell r="C256" t="str">
            <v>Direz. aff. gen. e isti. - Q. San Donato                    </v>
          </cell>
          <cell r="D256">
            <v>5</v>
          </cell>
          <cell r="E256">
            <v>5935</v>
          </cell>
          <cell r="F256" t="str">
            <v>Q.RI SPESE DI FUNZIONAMENTO ECONOMALI                       </v>
          </cell>
          <cell r="G256">
            <v>0</v>
          </cell>
          <cell r="H256">
            <v>5246.26</v>
          </cell>
          <cell r="I256">
            <v>59392.54</v>
          </cell>
          <cell r="J256">
            <v>58876.09</v>
          </cell>
          <cell r="K256">
            <v>53711.52</v>
          </cell>
        </row>
        <row r="257">
          <cell r="A257" t="str">
            <v>CDG6 </v>
          </cell>
          <cell r="B257">
            <v>206</v>
          </cell>
          <cell r="C257" t="str">
            <v>Direz. aff. gen. e isti. - Q. S.Stefano                     </v>
          </cell>
          <cell r="D257">
            <v>5</v>
          </cell>
          <cell r="E257">
            <v>5935</v>
          </cell>
          <cell r="F257" t="str">
            <v>Q.RI SPESE DI FUNZIONAMENTO ECONOMALI                       </v>
          </cell>
          <cell r="G257">
            <v>0</v>
          </cell>
          <cell r="H257">
            <v>5778.86</v>
          </cell>
          <cell r="I257">
            <v>85215.39</v>
          </cell>
          <cell r="J257">
            <v>64557.11</v>
          </cell>
          <cell r="K257">
            <v>64557.11</v>
          </cell>
        </row>
        <row r="258">
          <cell r="A258" t="str">
            <v>CDG6 </v>
          </cell>
          <cell r="B258">
            <v>216</v>
          </cell>
          <cell r="C258" t="str">
            <v>Direz. aff. gen. e isti. - Q. San Vitale                    </v>
          </cell>
          <cell r="D258">
            <v>5</v>
          </cell>
          <cell r="E258">
            <v>5935</v>
          </cell>
          <cell r="F258" t="str">
            <v>Q.RI SPESE DI FUNZIONAMENTO ECONOMALI                       </v>
          </cell>
          <cell r="G258">
            <v>0</v>
          </cell>
          <cell r="H258">
            <v>12526.79</v>
          </cell>
          <cell r="I258">
            <v>74886.25</v>
          </cell>
          <cell r="J258">
            <v>77468.53</v>
          </cell>
          <cell r="K258">
            <v>77468.53</v>
          </cell>
        </row>
        <row r="259">
          <cell r="A259" t="str">
            <v>CDG6 </v>
          </cell>
          <cell r="B259">
            <v>226</v>
          </cell>
          <cell r="C259" t="str">
            <v>Direz. aff. gen. e isti. - Q. Saragozza                     </v>
          </cell>
          <cell r="D259">
            <v>5</v>
          </cell>
          <cell r="E259">
            <v>5935</v>
          </cell>
          <cell r="F259" t="str">
            <v>Q.RI SPESE DI FUNZIONAMENTO ECONOMALI                       </v>
          </cell>
          <cell r="G259">
            <v>0</v>
          </cell>
          <cell r="H259">
            <v>6917.54</v>
          </cell>
          <cell r="I259">
            <v>80567.28</v>
          </cell>
          <cell r="J259">
            <v>80567</v>
          </cell>
          <cell r="K259">
            <v>80567.28</v>
          </cell>
        </row>
        <row r="260">
          <cell r="A260" t="str">
            <v>CDG6 </v>
          </cell>
          <cell r="B260">
            <v>236</v>
          </cell>
          <cell r="C260" t="str">
            <v>Direz. aff. gen. e isti. - Q. Savena                        </v>
          </cell>
          <cell r="D260">
            <v>5</v>
          </cell>
          <cell r="E260">
            <v>5935</v>
          </cell>
          <cell r="F260" t="str">
            <v>Q.RI SPESE DI FUNZIONAMENTO ECONOMALI                       </v>
          </cell>
          <cell r="G260">
            <v>0</v>
          </cell>
          <cell r="H260">
            <v>17244.16</v>
          </cell>
          <cell r="I260">
            <v>150288.96</v>
          </cell>
          <cell r="J260">
            <v>130714</v>
          </cell>
          <cell r="K260">
            <v>125034.22</v>
          </cell>
        </row>
        <row r="261">
          <cell r="A261" t="str">
            <v>CDG6 </v>
          </cell>
          <cell r="B261">
            <v>162</v>
          </cell>
          <cell r="C261" t="str">
            <v>Altri servizi educativi - Q. Borgo                          </v>
          </cell>
          <cell r="D261">
            <v>5</v>
          </cell>
          <cell r="E261">
            <v>6011</v>
          </cell>
          <cell r="F261" t="str">
            <v>Q.RI TRASPORTO                                              </v>
          </cell>
          <cell r="G261">
            <v>0</v>
          </cell>
          <cell r="H261">
            <v>10720.96</v>
          </cell>
          <cell r="I261">
            <v>142025.65</v>
          </cell>
          <cell r="J261">
            <v>145640.85</v>
          </cell>
          <cell r="K261">
            <v>145640.85</v>
          </cell>
        </row>
        <row r="262">
          <cell r="A262" t="str">
            <v>CDG6 </v>
          </cell>
          <cell r="B262">
            <v>172</v>
          </cell>
          <cell r="C262" t="str">
            <v>Altri serv. educativi - Q. Navile                           </v>
          </cell>
          <cell r="D262">
            <v>5</v>
          </cell>
          <cell r="E262">
            <v>6011</v>
          </cell>
          <cell r="F262" t="str">
            <v>Q.RI TRASPORTO                                              </v>
          </cell>
          <cell r="G262">
            <v>0</v>
          </cell>
          <cell r="H262">
            <v>26032.41</v>
          </cell>
          <cell r="I262">
            <v>225691.66</v>
          </cell>
          <cell r="J262">
            <v>232405.61</v>
          </cell>
          <cell r="K262">
            <v>232405.6</v>
          </cell>
        </row>
        <row r="263">
          <cell r="A263" t="str">
            <v>CDG6 </v>
          </cell>
          <cell r="B263">
            <v>182</v>
          </cell>
          <cell r="C263" t="str">
            <v>Altri serv. educativi - Q. Porto                            </v>
          </cell>
          <cell r="D263">
            <v>5</v>
          </cell>
          <cell r="E263">
            <v>6011</v>
          </cell>
          <cell r="F263" t="str">
            <v>Q.RI TRASPORTO                                              </v>
          </cell>
          <cell r="G263">
            <v>0</v>
          </cell>
          <cell r="H263">
            <v>882.28</v>
          </cell>
          <cell r="I263">
            <v>10329.14</v>
          </cell>
          <cell r="J263">
            <v>10329.14</v>
          </cell>
          <cell r="K263">
            <v>10329.14</v>
          </cell>
        </row>
        <row r="264">
          <cell r="A264" t="str">
            <v>CDG6 </v>
          </cell>
          <cell r="B264">
            <v>192</v>
          </cell>
          <cell r="C264" t="str">
            <v>Altri serv. educativi - Q. Reno                             </v>
          </cell>
          <cell r="D264">
            <v>5</v>
          </cell>
          <cell r="E264">
            <v>6011</v>
          </cell>
          <cell r="F264" t="str">
            <v>Q.RI TRASPORTO                                              </v>
          </cell>
          <cell r="G264">
            <v>0</v>
          </cell>
          <cell r="H264">
            <v>2433.37</v>
          </cell>
          <cell r="I264">
            <v>37184.9</v>
          </cell>
          <cell r="J264">
            <v>38217.81</v>
          </cell>
          <cell r="K264">
            <v>38217.81</v>
          </cell>
        </row>
        <row r="265">
          <cell r="A265" t="str">
            <v>CDG6 </v>
          </cell>
          <cell r="B265">
            <v>202</v>
          </cell>
          <cell r="C265" t="str">
            <v>Altri servizi educativi - Q. San Donato                     </v>
          </cell>
          <cell r="D265">
            <v>5</v>
          </cell>
          <cell r="E265">
            <v>6011</v>
          </cell>
          <cell r="F265" t="str">
            <v>Q.RI TRASPORTO                                              </v>
          </cell>
          <cell r="G265">
            <v>0</v>
          </cell>
          <cell r="H265">
            <v>12549.9</v>
          </cell>
          <cell r="I265">
            <v>139443.36</v>
          </cell>
          <cell r="J265">
            <v>139443.36</v>
          </cell>
          <cell r="K265">
            <v>139443.36</v>
          </cell>
        </row>
        <row r="266">
          <cell r="A266" t="str">
            <v>CDG6 </v>
          </cell>
          <cell r="B266">
            <v>212</v>
          </cell>
          <cell r="C266" t="str">
            <v>Altri serv. educativi - Q. Santo Stefano                    </v>
          </cell>
          <cell r="D266">
            <v>5</v>
          </cell>
          <cell r="E266">
            <v>6011</v>
          </cell>
          <cell r="F266" t="str">
            <v>Q.RI TRASPORTO                                              </v>
          </cell>
          <cell r="G266">
            <v>0</v>
          </cell>
          <cell r="H266">
            <v>9522.41</v>
          </cell>
          <cell r="I266">
            <v>121367.37</v>
          </cell>
          <cell r="J266">
            <v>123949.66</v>
          </cell>
          <cell r="K266">
            <v>123949.66</v>
          </cell>
        </row>
        <row r="267">
          <cell r="A267" t="str">
            <v>CDG6 </v>
          </cell>
          <cell r="B267">
            <v>222</v>
          </cell>
          <cell r="C267" t="str">
            <v>Altri serv. educativi - Q. San Vitale                       </v>
          </cell>
          <cell r="D267">
            <v>5</v>
          </cell>
          <cell r="E267">
            <v>6011</v>
          </cell>
          <cell r="F267" t="str">
            <v>Q.RI TRASPORTO                                              </v>
          </cell>
          <cell r="G267">
            <v>0</v>
          </cell>
          <cell r="H267">
            <v>6119.71</v>
          </cell>
          <cell r="I267">
            <v>54227.97</v>
          </cell>
          <cell r="J267">
            <v>79281.3</v>
          </cell>
          <cell r="K267">
            <v>79276.13</v>
          </cell>
        </row>
        <row r="268">
          <cell r="A268" t="str">
            <v>CDG6 </v>
          </cell>
          <cell r="B268">
            <v>232</v>
          </cell>
          <cell r="C268" t="str">
            <v>Altri serv. educativi - Q. Saragozza                        </v>
          </cell>
          <cell r="D268">
            <v>5</v>
          </cell>
          <cell r="E268">
            <v>6011</v>
          </cell>
          <cell r="F268" t="str">
            <v>Q.RI TRASPORTO                                              </v>
          </cell>
          <cell r="G268">
            <v>0</v>
          </cell>
          <cell r="H268">
            <v>25985.79</v>
          </cell>
          <cell r="I268">
            <v>309874.14</v>
          </cell>
          <cell r="J268">
            <v>309874</v>
          </cell>
          <cell r="K268">
            <v>309874.14</v>
          </cell>
        </row>
        <row r="269">
          <cell r="A269" t="str">
            <v>CDG6 </v>
          </cell>
          <cell r="B269">
            <v>242</v>
          </cell>
          <cell r="C269" t="str">
            <v>Altri serv. educativi - Q. Savena                           </v>
          </cell>
          <cell r="D269">
            <v>5</v>
          </cell>
          <cell r="E269">
            <v>6011</v>
          </cell>
          <cell r="F269" t="str">
            <v>Q.RI TRASPORTO                                              </v>
          </cell>
          <cell r="G269">
            <v>0</v>
          </cell>
          <cell r="H269">
            <v>6561.9</v>
          </cell>
          <cell r="I269">
            <v>110005.32</v>
          </cell>
          <cell r="J269">
            <v>98761</v>
          </cell>
          <cell r="K269">
            <v>104388.47</v>
          </cell>
        </row>
        <row r="270">
          <cell r="A270" t="str">
            <v>CDG6 </v>
          </cell>
          <cell r="B270">
            <v>162</v>
          </cell>
          <cell r="C270" t="str">
            <v>Altri servizi educativi - Q. Borgo                          </v>
          </cell>
          <cell r="D270">
            <v>5</v>
          </cell>
          <cell r="E270">
            <v>6012</v>
          </cell>
          <cell r="F270" t="str">
            <v>Q.RI SERV.ZI INTEGRATIVI E ASS. HANDICAP                    </v>
          </cell>
          <cell r="G270">
            <v>0</v>
          </cell>
          <cell r="H270">
            <v>5478.75</v>
          </cell>
          <cell r="I270">
            <v>74886.25</v>
          </cell>
          <cell r="J270">
            <v>74886.25</v>
          </cell>
          <cell r="K270">
            <v>74886.25</v>
          </cell>
        </row>
        <row r="271">
          <cell r="A271" t="str">
            <v>CDG6 </v>
          </cell>
          <cell r="B271">
            <v>172</v>
          </cell>
          <cell r="C271" t="str">
            <v>Altri serv. educativi - Q. Navile                           </v>
          </cell>
          <cell r="D271">
            <v>5</v>
          </cell>
          <cell r="E271">
            <v>6012</v>
          </cell>
          <cell r="F271" t="str">
            <v>Q.RI SERV.ZI INTEGRATIVI E ASS. HANDICAP                    </v>
          </cell>
          <cell r="G271">
            <v>0</v>
          </cell>
          <cell r="H271">
            <v>12787.93</v>
          </cell>
          <cell r="I271">
            <v>133762.34</v>
          </cell>
          <cell r="J271">
            <v>137893.99</v>
          </cell>
          <cell r="K271">
            <v>137893.99</v>
          </cell>
        </row>
        <row r="272">
          <cell r="A272" t="str">
            <v>CDG6 </v>
          </cell>
          <cell r="B272">
            <v>182</v>
          </cell>
          <cell r="C272" t="str">
            <v>Altri serv. educativi - Q. Porto                            </v>
          </cell>
          <cell r="D272">
            <v>5</v>
          </cell>
          <cell r="E272">
            <v>6012</v>
          </cell>
          <cell r="F272" t="str">
            <v>Q.RI SERV.ZI INTEGRATIVI E ASS. HANDICAP                    </v>
          </cell>
          <cell r="G272">
            <v>0</v>
          </cell>
          <cell r="H272">
            <v>4519</v>
          </cell>
          <cell r="I272">
            <v>41316.55</v>
          </cell>
          <cell r="J272">
            <v>56810.26</v>
          </cell>
          <cell r="K272">
            <v>56810.26</v>
          </cell>
        </row>
        <row r="273">
          <cell r="A273" t="str">
            <v>CDG6 </v>
          </cell>
          <cell r="B273">
            <v>192</v>
          </cell>
          <cell r="C273" t="str">
            <v>Altri serv. educativi - Q. Reno                             </v>
          </cell>
          <cell r="D273">
            <v>5</v>
          </cell>
          <cell r="E273">
            <v>6012</v>
          </cell>
          <cell r="F273" t="str">
            <v>Q.RI SERV.ZI INTEGRATIVI E ASS. HANDICAP                    </v>
          </cell>
          <cell r="G273">
            <v>0</v>
          </cell>
          <cell r="H273">
            <v>5853.18</v>
          </cell>
          <cell r="I273">
            <v>61974.83</v>
          </cell>
          <cell r="J273">
            <v>63524.2</v>
          </cell>
          <cell r="K273">
            <v>61974.83</v>
          </cell>
        </row>
        <row r="274">
          <cell r="A274" t="str">
            <v>CDG6 </v>
          </cell>
          <cell r="B274">
            <v>202</v>
          </cell>
          <cell r="C274" t="str">
            <v>Altri servizi educativi - Q. San Donato                     </v>
          </cell>
          <cell r="D274">
            <v>5</v>
          </cell>
          <cell r="E274">
            <v>6012</v>
          </cell>
          <cell r="F274" t="str">
            <v>Q.RI SERV.ZI INTEGRATIVI E ASS. HANDICAP                    </v>
          </cell>
          <cell r="G274">
            <v>0</v>
          </cell>
          <cell r="H274">
            <v>6756.98</v>
          </cell>
          <cell r="I274">
            <v>91412.87</v>
          </cell>
          <cell r="J274">
            <v>80050.82</v>
          </cell>
          <cell r="K274">
            <v>80050.82</v>
          </cell>
        </row>
        <row r="275">
          <cell r="A275" t="str">
            <v>CDG6 </v>
          </cell>
          <cell r="B275">
            <v>212</v>
          </cell>
          <cell r="C275" t="str">
            <v>Altri serv. educativi - Q. Santo Stefano                    </v>
          </cell>
          <cell r="D275">
            <v>5</v>
          </cell>
          <cell r="E275">
            <v>6012</v>
          </cell>
          <cell r="F275" t="str">
            <v>Q.RI SERV.ZI INTEGRATIVI E ASS. HANDICAP                    </v>
          </cell>
          <cell r="G275">
            <v>0</v>
          </cell>
          <cell r="H275">
            <v>7681.85</v>
          </cell>
          <cell r="I275">
            <v>97610.35</v>
          </cell>
          <cell r="J275">
            <v>100709.1</v>
          </cell>
          <cell r="K275">
            <v>100709.1</v>
          </cell>
        </row>
        <row r="276">
          <cell r="A276" t="str">
            <v>CDG6 </v>
          </cell>
          <cell r="B276">
            <v>222</v>
          </cell>
          <cell r="C276" t="str">
            <v>Altri serv. educativi - Q. San Vitale                       </v>
          </cell>
          <cell r="D276">
            <v>5</v>
          </cell>
          <cell r="E276">
            <v>6012</v>
          </cell>
          <cell r="F276" t="str">
            <v>Q.RI SERV.ZI INTEGRATIVI E ASS. HANDICAP                    </v>
          </cell>
          <cell r="G276">
            <v>0</v>
          </cell>
          <cell r="H276">
            <v>9898.76</v>
          </cell>
          <cell r="I276">
            <v>105873.66</v>
          </cell>
          <cell r="J276">
            <v>92006.8</v>
          </cell>
          <cell r="K276">
            <v>91929.33</v>
          </cell>
        </row>
        <row r="277">
          <cell r="A277" t="str">
            <v>CDG6 </v>
          </cell>
          <cell r="B277">
            <v>232</v>
          </cell>
          <cell r="C277" t="str">
            <v>Altri serv. educativi - Q. Saragozza                        </v>
          </cell>
          <cell r="D277">
            <v>5</v>
          </cell>
          <cell r="E277">
            <v>6012</v>
          </cell>
          <cell r="F277" t="str">
            <v>Q.RI SERV.ZI INTEGRATIVI E ASS. HANDICAP                    </v>
          </cell>
          <cell r="G277">
            <v>0</v>
          </cell>
          <cell r="H277">
            <v>11168.29</v>
          </cell>
          <cell r="I277">
            <v>129114.22</v>
          </cell>
          <cell r="J277">
            <v>129114</v>
          </cell>
          <cell r="K277">
            <v>129114.22</v>
          </cell>
        </row>
        <row r="278">
          <cell r="A278" t="str">
            <v>CDG6 </v>
          </cell>
          <cell r="B278">
            <v>242</v>
          </cell>
          <cell r="C278" t="str">
            <v>Altri serv. educativi - Q. Savena                           </v>
          </cell>
          <cell r="D278">
            <v>5</v>
          </cell>
          <cell r="E278">
            <v>6012</v>
          </cell>
          <cell r="F278" t="str">
            <v>Q.RI SERV.ZI INTEGRATIVI E ASS. HANDICAP                    </v>
          </cell>
          <cell r="G278">
            <v>0</v>
          </cell>
          <cell r="H278">
            <v>10122.88</v>
          </cell>
          <cell r="I278">
            <v>133245.88</v>
          </cell>
          <cell r="J278">
            <v>138018</v>
          </cell>
          <cell r="K278">
            <v>138017.94</v>
          </cell>
        </row>
        <row r="279">
          <cell r="A279" t="str">
            <v>CDG6 </v>
          </cell>
          <cell r="B279">
            <v>45</v>
          </cell>
          <cell r="C279" t="str">
            <v>Direzione, amm., CDG, qualità/altro LLPP                    </v>
          </cell>
          <cell r="D279">
            <v>5</v>
          </cell>
          <cell r="E279">
            <v>6205</v>
          </cell>
          <cell r="F279" t="str">
            <v>SPESE IN C/CAPITALE CONTRO ENTRATE ORD.                     </v>
          </cell>
          <cell r="G279">
            <v>0</v>
          </cell>
          <cell r="H279">
            <v>7746.85</v>
          </cell>
          <cell r="I279">
            <v>0</v>
          </cell>
          <cell r="J279">
            <v>154937.07</v>
          </cell>
          <cell r="K279">
            <v>154937.07</v>
          </cell>
        </row>
        <row r="280">
          <cell r="A280" t="str">
            <v>CDG6 </v>
          </cell>
          <cell r="B280">
            <v>146</v>
          </cell>
          <cell r="C280" t="str">
            <v>Coordinamento organizzazione decentrata                     </v>
          </cell>
          <cell r="D280">
            <v>5</v>
          </cell>
          <cell r="E280">
            <v>6205</v>
          </cell>
          <cell r="F280" t="str">
            <v>SPESE IN C/CAPITALE CONTRO ENTRATE ORD.                     </v>
          </cell>
          <cell r="G280">
            <v>0</v>
          </cell>
          <cell r="H280">
            <v>430.38</v>
          </cell>
          <cell r="I280">
            <v>5164.57</v>
          </cell>
          <cell r="J280">
            <v>5164.57</v>
          </cell>
          <cell r="K280">
            <v>5164.57</v>
          </cell>
        </row>
        <row r="281">
          <cell r="A281" t="str">
            <v>CDG6 </v>
          </cell>
          <cell r="B281">
            <v>156</v>
          </cell>
          <cell r="C281" t="str">
            <v>Direz. aff. gen. e isti. - Q. Borgo                         </v>
          </cell>
          <cell r="D281">
            <v>5</v>
          </cell>
          <cell r="E281">
            <v>6205</v>
          </cell>
          <cell r="F281" t="str">
            <v>SPESE IN C/CAPITALE CONTRO ENTRATE ORD.                     </v>
          </cell>
          <cell r="G281">
            <v>0</v>
          </cell>
          <cell r="H281">
            <v>1936.71</v>
          </cell>
          <cell r="I281">
            <v>15493.71</v>
          </cell>
          <cell r="J281">
            <v>25822.84</v>
          </cell>
          <cell r="K281">
            <v>25822.84</v>
          </cell>
        </row>
        <row r="282">
          <cell r="A282" t="str">
            <v>CDG6 </v>
          </cell>
          <cell r="B282">
            <v>166</v>
          </cell>
          <cell r="C282" t="str">
            <v>Direz. aff. gen. e isti. - Q. Navile                        </v>
          </cell>
          <cell r="D282">
            <v>5</v>
          </cell>
          <cell r="E282">
            <v>6205</v>
          </cell>
          <cell r="F282" t="str">
            <v>SPESE IN C/CAPITALE CONTRO ENTRATE ORD.                     </v>
          </cell>
          <cell r="G282">
            <v>0</v>
          </cell>
          <cell r="H282">
            <v>4071.4</v>
          </cell>
          <cell r="I282">
            <v>19625.36</v>
          </cell>
          <cell r="J282">
            <v>19625.36</v>
          </cell>
          <cell r="K282">
            <v>19625.36</v>
          </cell>
        </row>
        <row r="283">
          <cell r="A283" t="str">
            <v>CDG6 </v>
          </cell>
          <cell r="B283">
            <v>176</v>
          </cell>
          <cell r="C283" t="str">
            <v>Direz. aff. gen. e isti. - Q. Porto                         </v>
          </cell>
          <cell r="D283">
            <v>5</v>
          </cell>
          <cell r="E283">
            <v>6205</v>
          </cell>
          <cell r="F283" t="str">
            <v>SPESE IN C/CAPITALE CONTRO ENTRATE ORD.                     </v>
          </cell>
          <cell r="G283">
            <v>0</v>
          </cell>
          <cell r="H283">
            <v>4325.33</v>
          </cell>
          <cell r="I283">
            <v>25822.84</v>
          </cell>
          <cell r="J283">
            <v>25822.85</v>
          </cell>
          <cell r="K283">
            <v>25822.84</v>
          </cell>
        </row>
        <row r="284">
          <cell r="A284" t="str">
            <v>CDG6 </v>
          </cell>
          <cell r="B284">
            <v>186</v>
          </cell>
          <cell r="C284" t="str">
            <v>Direz. aff. gen. e isti. - Q. Reno                          </v>
          </cell>
          <cell r="D284">
            <v>5</v>
          </cell>
          <cell r="E284">
            <v>6205</v>
          </cell>
          <cell r="F284" t="str">
            <v>SPESE IN C/CAPITALE CONTRO ENTRATE ORD.                     </v>
          </cell>
          <cell r="G284">
            <v>0</v>
          </cell>
          <cell r="H284">
            <v>430.38</v>
          </cell>
          <cell r="I284">
            <v>6197.48</v>
          </cell>
          <cell r="J284">
            <v>6197.48</v>
          </cell>
          <cell r="K284">
            <v>6197.48</v>
          </cell>
        </row>
        <row r="285">
          <cell r="A285" t="str">
            <v>CDG6 </v>
          </cell>
          <cell r="B285">
            <v>196</v>
          </cell>
          <cell r="C285" t="str">
            <v>Direz. aff. gen. e isti. - Q. San Donato                    </v>
          </cell>
          <cell r="D285">
            <v>5</v>
          </cell>
          <cell r="E285">
            <v>6205</v>
          </cell>
          <cell r="F285" t="str">
            <v>SPESE IN C/CAPITALE CONTRO ENTRATE ORD.                     </v>
          </cell>
          <cell r="G285">
            <v>0</v>
          </cell>
          <cell r="H285">
            <v>0</v>
          </cell>
          <cell r="I285">
            <v>0</v>
          </cell>
          <cell r="J285">
            <v>5164.57</v>
          </cell>
          <cell r="K285">
            <v>5164.57</v>
          </cell>
        </row>
        <row r="286">
          <cell r="A286" t="str">
            <v>CDG6 </v>
          </cell>
          <cell r="B286">
            <v>206</v>
          </cell>
          <cell r="C286" t="str">
            <v>Direz. aff. gen. e isti. - Q. S.Stefano                     </v>
          </cell>
          <cell r="D286">
            <v>5</v>
          </cell>
          <cell r="E286">
            <v>6205</v>
          </cell>
          <cell r="F286" t="str">
            <v>SPESE IN C/CAPITALE CONTRO ENTRATE ORD.                     </v>
          </cell>
          <cell r="G286">
            <v>0</v>
          </cell>
          <cell r="H286">
            <v>1650.01</v>
          </cell>
          <cell r="I286">
            <v>0</v>
          </cell>
          <cell r="J286">
            <v>30987.41</v>
          </cell>
          <cell r="K286">
            <v>30987.41</v>
          </cell>
        </row>
        <row r="287">
          <cell r="A287" t="str">
            <v>CDG6 </v>
          </cell>
          <cell r="B287">
            <v>216</v>
          </cell>
          <cell r="C287" t="str">
            <v>Direz. aff. gen. e isti. - Q. San Vitale                    </v>
          </cell>
          <cell r="D287">
            <v>5</v>
          </cell>
          <cell r="E287">
            <v>6205</v>
          </cell>
          <cell r="F287" t="str">
            <v>SPESE IN C/CAPITALE CONTRO ENTRATE ORD.                     </v>
          </cell>
          <cell r="G287">
            <v>0</v>
          </cell>
          <cell r="H287">
            <v>4949.38</v>
          </cell>
          <cell r="I287">
            <v>0</v>
          </cell>
          <cell r="J287">
            <v>18075.99</v>
          </cell>
          <cell r="K287">
            <v>18075.99</v>
          </cell>
        </row>
        <row r="288">
          <cell r="A288" t="str">
            <v>CDG6 </v>
          </cell>
          <cell r="B288">
            <v>226</v>
          </cell>
          <cell r="C288" t="str">
            <v>Direz. aff. gen. e isti. - Q. Saragozza                     </v>
          </cell>
          <cell r="D288">
            <v>5</v>
          </cell>
          <cell r="E288">
            <v>6205</v>
          </cell>
          <cell r="F288" t="str">
            <v>SPESE IN C/CAPITALE CONTRO ENTRATE ORD.                     </v>
          </cell>
          <cell r="G288">
            <v>0</v>
          </cell>
          <cell r="H288">
            <v>2684.71</v>
          </cell>
          <cell r="I288">
            <v>0</v>
          </cell>
          <cell r="J288">
            <v>20658</v>
          </cell>
          <cell r="K288">
            <v>20658.28</v>
          </cell>
        </row>
        <row r="289">
          <cell r="A289" t="str">
            <v>CDG6 </v>
          </cell>
          <cell r="B289">
            <v>236</v>
          </cell>
          <cell r="C289" t="str">
            <v>Direz. aff. gen. e isti. - Q. Savena                        </v>
          </cell>
          <cell r="D289">
            <v>5</v>
          </cell>
          <cell r="E289">
            <v>6205</v>
          </cell>
          <cell r="F289" t="str">
            <v>SPESE IN C/CAPITALE CONTRO ENTRATE ORD.                     </v>
          </cell>
          <cell r="G289">
            <v>0</v>
          </cell>
          <cell r="H289">
            <v>3614.12</v>
          </cell>
          <cell r="I289">
            <v>0</v>
          </cell>
          <cell r="J289">
            <v>51646</v>
          </cell>
          <cell r="K289">
            <v>51645.69</v>
          </cell>
        </row>
        <row r="290">
          <cell r="A290" t="str">
            <v>CDG6 </v>
          </cell>
          <cell r="B290">
            <v>5</v>
          </cell>
          <cell r="C290" t="str">
            <v>Staff del Consiglio                                         </v>
          </cell>
          <cell r="D290">
            <v>5</v>
          </cell>
          <cell r="E290">
            <v>6205</v>
          </cell>
          <cell r="F290" t="str">
            <v>SPESE IN C/CAPITALE CONTRO ENTRATE ORD.                     </v>
          </cell>
          <cell r="G290">
            <v>0</v>
          </cell>
          <cell r="H290">
            <v>5810.14</v>
          </cell>
          <cell r="I290">
            <v>0</v>
          </cell>
          <cell r="J290">
            <v>98126.81</v>
          </cell>
          <cell r="K290">
            <v>98126.81</v>
          </cell>
        </row>
        <row r="291">
          <cell r="A291" t="str">
            <v>CDG6 </v>
          </cell>
          <cell r="B291">
            <v>28</v>
          </cell>
          <cell r="C291" t="str">
            <v>Direzione, amm.ne/altro - Gabinetto                         </v>
          </cell>
          <cell r="D291">
            <v>5</v>
          </cell>
          <cell r="E291">
            <v>6205</v>
          </cell>
          <cell r="F291" t="str">
            <v>SPESE IN C/CAPITALE CONTRO ENTRATE ORD.                     </v>
          </cell>
          <cell r="G291">
            <v>0</v>
          </cell>
          <cell r="H291">
            <v>860.76</v>
          </cell>
          <cell r="I291">
            <v>15493.71</v>
          </cell>
          <cell r="J291">
            <v>20658.28</v>
          </cell>
          <cell r="K291">
            <v>20658.28</v>
          </cell>
        </row>
        <row r="292">
          <cell r="A292" t="str">
            <v>CDG6 </v>
          </cell>
          <cell r="B292">
            <v>247</v>
          </cell>
          <cell r="C292" t="str">
            <v>Direzione, amm.,CDG/altro-inf.cittadino                     </v>
          </cell>
          <cell r="D292">
            <v>5</v>
          </cell>
          <cell r="E292">
            <v>6205</v>
          </cell>
          <cell r="F292" t="str">
            <v>SPESE IN C/CAPITALE CONTRO ENTRATE ORD.                     </v>
          </cell>
          <cell r="G292">
            <v>0</v>
          </cell>
          <cell r="H292">
            <v>2237.98</v>
          </cell>
          <cell r="I292">
            <v>0</v>
          </cell>
          <cell r="J292">
            <v>77468.53</v>
          </cell>
          <cell r="K292">
            <v>61974.83</v>
          </cell>
        </row>
        <row r="293">
          <cell r="A293" t="str">
            <v>CDG6 </v>
          </cell>
          <cell r="B293">
            <v>248</v>
          </cell>
          <cell r="C293" t="str">
            <v>U.R.P.                                                      </v>
          </cell>
          <cell r="D293">
            <v>5</v>
          </cell>
          <cell r="E293">
            <v>6205</v>
          </cell>
          <cell r="F293" t="str">
            <v>SPESE IN C/CAPITALE CONTRO ENTRATE ORD.                     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CDG6 </v>
          </cell>
          <cell r="B294">
            <v>61</v>
          </cell>
          <cell r="C294" t="str">
            <v>Direzione, amm., CDG/altro - Pers.e org.                    </v>
          </cell>
          <cell r="D294">
            <v>5</v>
          </cell>
          <cell r="E294">
            <v>6205</v>
          </cell>
          <cell r="F294" t="str">
            <v>SPESE IN C/CAPITALE CONTRO ENTRATE ORD.                     </v>
          </cell>
          <cell r="G294">
            <v>0</v>
          </cell>
          <cell r="H294">
            <v>2582.28</v>
          </cell>
          <cell r="I294">
            <v>3356.97</v>
          </cell>
          <cell r="J294">
            <v>46481.12</v>
          </cell>
          <cell r="K294">
            <v>20658.28</v>
          </cell>
        </row>
        <row r="295">
          <cell r="A295" t="str">
            <v>CDG6 </v>
          </cell>
          <cell r="B295">
            <v>64</v>
          </cell>
          <cell r="C295" t="str">
            <v>Formazione e sviluppo -C.U.F.                               </v>
          </cell>
          <cell r="D295">
            <v>5</v>
          </cell>
          <cell r="E295">
            <v>6205</v>
          </cell>
          <cell r="F295" t="str">
            <v>SPESE IN C/CAPITALE CONTRO ENTRATE ORD.                     </v>
          </cell>
          <cell r="G295">
            <v>0</v>
          </cell>
          <cell r="H295">
            <v>860.76</v>
          </cell>
          <cell r="I295">
            <v>0</v>
          </cell>
          <cell r="J295">
            <v>10329.14</v>
          </cell>
          <cell r="K295">
            <v>25822.84</v>
          </cell>
        </row>
        <row r="296">
          <cell r="A296" t="str">
            <v>CDG6 </v>
          </cell>
          <cell r="B296">
            <v>62</v>
          </cell>
          <cell r="C296" t="str">
            <v>Personale e organizzazione non gestiti                      </v>
          </cell>
          <cell r="D296">
            <v>5</v>
          </cell>
          <cell r="E296">
            <v>6205</v>
          </cell>
          <cell r="F296" t="str">
            <v>SPESE IN C/CAPITALE CONTRO ENTRATE ORD.                     </v>
          </cell>
          <cell r="G296">
            <v>0</v>
          </cell>
          <cell r="H296">
            <v>258.23</v>
          </cell>
          <cell r="I296">
            <v>2582.28</v>
          </cell>
          <cell r="J296">
            <v>2582.28</v>
          </cell>
          <cell r="K296">
            <v>2582.28</v>
          </cell>
        </row>
        <row r="297">
          <cell r="A297" t="str">
            <v>CDG6 </v>
          </cell>
          <cell r="B297">
            <v>33</v>
          </cell>
          <cell r="C297" t="str">
            <v>Direzione, amm./altro - Aff. gen. e ist.                    </v>
          </cell>
          <cell r="D297">
            <v>5</v>
          </cell>
          <cell r="E297">
            <v>6205</v>
          </cell>
          <cell r="F297" t="str">
            <v>SPESE IN C/CAPITALE CONTRO ENTRATE ORD.                     </v>
          </cell>
          <cell r="G297">
            <v>0</v>
          </cell>
          <cell r="H297">
            <v>3830.39</v>
          </cell>
          <cell r="I297">
            <v>0</v>
          </cell>
          <cell r="J297">
            <v>72303.97</v>
          </cell>
          <cell r="K297">
            <v>54227.97</v>
          </cell>
        </row>
        <row r="298">
          <cell r="A298" t="str">
            <v>CDG6 </v>
          </cell>
          <cell r="B298">
            <v>252</v>
          </cell>
          <cell r="C298" t="str">
            <v>Segreteria generale                                         </v>
          </cell>
          <cell r="D298">
            <v>5</v>
          </cell>
          <cell r="E298">
            <v>6205</v>
          </cell>
          <cell r="F298" t="str">
            <v>SPESE IN C/CAPITALE CONTRO ENTRATE ORD.                     </v>
          </cell>
          <cell r="G298">
            <v>0</v>
          </cell>
          <cell r="H298">
            <v>0</v>
          </cell>
          <cell r="I298">
            <v>0</v>
          </cell>
          <cell r="J298">
            <v>27888.67</v>
          </cell>
          <cell r="K298">
            <v>21174.73</v>
          </cell>
        </row>
        <row r="299">
          <cell r="A299" t="str">
            <v>CDG6 </v>
          </cell>
          <cell r="B299">
            <v>2</v>
          </cell>
          <cell r="C299" t="str">
            <v>Direzione Generale                                          </v>
          </cell>
          <cell r="D299">
            <v>5</v>
          </cell>
          <cell r="E299">
            <v>6205</v>
          </cell>
          <cell r="F299" t="str">
            <v>SPESE IN C/CAPITALE CONTRO ENTRATE ORD.                     </v>
          </cell>
          <cell r="G299">
            <v>0</v>
          </cell>
          <cell r="H299">
            <v>0</v>
          </cell>
          <cell r="I299">
            <v>0</v>
          </cell>
          <cell r="J299">
            <v>3098.74</v>
          </cell>
          <cell r="K299">
            <v>3098.74</v>
          </cell>
        </row>
        <row r="300">
          <cell r="A300" t="str">
            <v>CDG6 </v>
          </cell>
          <cell r="B300">
            <v>11</v>
          </cell>
          <cell r="C300" t="str">
            <v>Ragioneria                                                  </v>
          </cell>
          <cell r="D300">
            <v>5</v>
          </cell>
          <cell r="E300">
            <v>6205</v>
          </cell>
          <cell r="F300" t="str">
            <v>SPESE IN C/CAPITALE CONTRO ENTRATE ORD.                     </v>
          </cell>
          <cell r="G300">
            <v>0</v>
          </cell>
          <cell r="H300">
            <v>0</v>
          </cell>
          <cell r="I300">
            <v>0</v>
          </cell>
          <cell r="J300">
            <v>41316.56</v>
          </cell>
          <cell r="K300">
            <v>20658.28</v>
          </cell>
        </row>
        <row r="301">
          <cell r="A301" t="str">
            <v>CDG6 </v>
          </cell>
          <cell r="B301">
            <v>39</v>
          </cell>
          <cell r="C301" t="str">
            <v>Direzione, amm., CDG/altro - Acquisti                       </v>
          </cell>
          <cell r="D301">
            <v>5</v>
          </cell>
          <cell r="E301">
            <v>6205</v>
          </cell>
          <cell r="F301" t="str">
            <v>SPESE IN C/CAPITALE CONTRO ENTRATE ORD.                     </v>
          </cell>
          <cell r="G301">
            <v>0</v>
          </cell>
          <cell r="H301">
            <v>0</v>
          </cell>
          <cell r="I301">
            <v>0</v>
          </cell>
          <cell r="J301">
            <v>25800</v>
          </cell>
          <cell r="K301">
            <v>25822.84</v>
          </cell>
        </row>
        <row r="302">
          <cell r="A302" t="str">
            <v>CDG6 </v>
          </cell>
          <cell r="B302">
            <v>43</v>
          </cell>
          <cell r="C302" t="str">
            <v>Coordinamento entrate                                       </v>
          </cell>
          <cell r="D302">
            <v>5</v>
          </cell>
          <cell r="E302">
            <v>6205</v>
          </cell>
          <cell r="F302" t="str">
            <v>SPESE IN C/CAPITALE CONTRO ENTRATE ORD.                     </v>
          </cell>
          <cell r="G302">
            <v>0</v>
          </cell>
          <cell r="H302">
            <v>0</v>
          </cell>
          <cell r="I302">
            <v>5164.57</v>
          </cell>
          <cell r="J302">
            <v>0</v>
          </cell>
          <cell r="K302">
            <v>0</v>
          </cell>
        </row>
        <row r="303">
          <cell r="A303" t="str">
            <v>CDG6 </v>
          </cell>
          <cell r="B303">
            <v>48</v>
          </cell>
          <cell r="C303" t="str">
            <v>Edilizia pubblica                                           </v>
          </cell>
          <cell r="D303">
            <v>5</v>
          </cell>
          <cell r="E303">
            <v>6205</v>
          </cell>
          <cell r="F303" t="str">
            <v>SPESE IN C/CAPITALE CONTRO ENTRATE ORD.                     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CDG6 </v>
          </cell>
          <cell r="B304">
            <v>58</v>
          </cell>
          <cell r="C304" t="str">
            <v>Manutenzione edilizia e servizio calore                     </v>
          </cell>
          <cell r="D304">
            <v>5</v>
          </cell>
          <cell r="E304">
            <v>6205</v>
          </cell>
          <cell r="F304" t="str">
            <v>SPESE IN C/CAPITALE CONTRO ENTRATE ORD.                     </v>
          </cell>
          <cell r="G304">
            <v>0</v>
          </cell>
          <cell r="H304">
            <v>0</v>
          </cell>
          <cell r="I304">
            <v>2220764.67</v>
          </cell>
          <cell r="J304">
            <v>0</v>
          </cell>
          <cell r="K304">
            <v>0</v>
          </cell>
        </row>
        <row r="305">
          <cell r="A305" t="str">
            <v>CDG6 </v>
          </cell>
          <cell r="B305">
            <v>44</v>
          </cell>
          <cell r="C305" t="str">
            <v>Patrimonio                                                  </v>
          </cell>
          <cell r="D305">
            <v>5</v>
          </cell>
          <cell r="E305">
            <v>6205</v>
          </cell>
          <cell r="F305" t="str">
            <v>SPESE IN C/CAPITALE CONTRO ENTRATE ORD.                     </v>
          </cell>
          <cell r="G305">
            <v>0</v>
          </cell>
          <cell r="H305">
            <v>0</v>
          </cell>
          <cell r="I305">
            <v>5164.57</v>
          </cell>
          <cell r="J305">
            <v>7746.85</v>
          </cell>
          <cell r="K305">
            <v>7746.85</v>
          </cell>
        </row>
        <row r="306">
          <cell r="A306" t="str">
            <v>CDG6 </v>
          </cell>
          <cell r="B306">
            <v>140</v>
          </cell>
          <cell r="C306" t="str">
            <v>Direzione, amm.,CDG/altro - demografici                     </v>
          </cell>
          <cell r="D306">
            <v>5</v>
          </cell>
          <cell r="E306">
            <v>6205</v>
          </cell>
          <cell r="F306" t="str">
            <v>SPESE IN C/CAPITALE CONTRO ENTRATE ORD.                     </v>
          </cell>
          <cell r="G306">
            <v>0</v>
          </cell>
          <cell r="H306">
            <v>2065.83</v>
          </cell>
          <cell r="I306">
            <v>0</v>
          </cell>
          <cell r="J306">
            <v>167848.49</v>
          </cell>
          <cell r="K306">
            <v>51645.69</v>
          </cell>
        </row>
        <row r="307">
          <cell r="A307" t="str">
            <v>CDG6 </v>
          </cell>
          <cell r="B307">
            <v>66</v>
          </cell>
          <cell r="C307" t="str">
            <v>Direzione, amm./altro - Pianif. e contr.                    </v>
          </cell>
          <cell r="D307">
            <v>5</v>
          </cell>
          <cell r="E307">
            <v>6205</v>
          </cell>
          <cell r="F307" t="str">
            <v>SPESE IN C/CAPITALE CONTRO ENTRATE ORD.                     </v>
          </cell>
          <cell r="G307">
            <v>0</v>
          </cell>
          <cell r="H307">
            <v>774.69</v>
          </cell>
          <cell r="I307">
            <v>10329.14</v>
          </cell>
          <cell r="J307">
            <v>7746.85</v>
          </cell>
          <cell r="K307">
            <v>7746.85</v>
          </cell>
        </row>
        <row r="308">
          <cell r="A308" t="str">
            <v>CDG6 </v>
          </cell>
          <cell r="B308">
            <v>70</v>
          </cell>
          <cell r="C308" t="str">
            <v>Operazioni e qualità                                        </v>
          </cell>
          <cell r="D308">
            <v>5</v>
          </cell>
          <cell r="E308">
            <v>6205</v>
          </cell>
          <cell r="F308" t="str">
            <v>SPESE IN C/CAPITALE CONTRO ENTRATE ORD.                     </v>
          </cell>
          <cell r="G308">
            <v>0</v>
          </cell>
          <cell r="H308">
            <v>23240.56</v>
          </cell>
          <cell r="I308">
            <v>0</v>
          </cell>
          <cell r="J308">
            <v>1032913.8</v>
          </cell>
          <cell r="K308">
            <v>258228.45</v>
          </cell>
        </row>
        <row r="309">
          <cell r="A309" t="str">
            <v>CDG6 </v>
          </cell>
          <cell r="B309">
            <v>71</v>
          </cell>
          <cell r="C309" t="str">
            <v>Progettazione e sviluppo                                    </v>
          </cell>
          <cell r="D309">
            <v>5</v>
          </cell>
          <cell r="E309">
            <v>6205</v>
          </cell>
          <cell r="F309" t="str">
            <v>SPESE IN C/CAPITALE CONTRO ENTRATE ORD.                     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CDG6 </v>
          </cell>
          <cell r="B310">
            <v>8</v>
          </cell>
          <cell r="C310" t="str">
            <v>Qualita'                                                    </v>
          </cell>
          <cell r="D310">
            <v>5</v>
          </cell>
          <cell r="E310">
            <v>6205</v>
          </cell>
          <cell r="F310" t="str">
            <v>SPESE IN C/CAPITALE CONTRO ENTRATE ORD.                     </v>
          </cell>
          <cell r="G310">
            <v>0</v>
          </cell>
          <cell r="H310">
            <v>430.38</v>
          </cell>
          <cell r="I310">
            <v>3615.2</v>
          </cell>
          <cell r="J310">
            <v>3615.2</v>
          </cell>
          <cell r="K310">
            <v>3615.2</v>
          </cell>
        </row>
        <row r="311">
          <cell r="A311" t="str">
            <v>CDG6 </v>
          </cell>
          <cell r="B311">
            <v>9</v>
          </cell>
          <cell r="C311" t="str">
            <v>Legale                                                      </v>
          </cell>
          <cell r="D311">
            <v>5</v>
          </cell>
          <cell r="E311">
            <v>6205</v>
          </cell>
          <cell r="F311" t="str">
            <v>SPESE IN C/CAPITALE CONTRO ENTRATE ORD.                     </v>
          </cell>
          <cell r="G311">
            <v>0</v>
          </cell>
          <cell r="H311">
            <v>215.19</v>
          </cell>
          <cell r="I311">
            <v>2582.28</v>
          </cell>
          <cell r="J311">
            <v>2582.28</v>
          </cell>
          <cell r="K311">
            <v>2582.28</v>
          </cell>
        </row>
        <row r="312">
          <cell r="A312" t="str">
            <v>CDG6 </v>
          </cell>
          <cell r="B312">
            <v>51</v>
          </cell>
          <cell r="C312" t="str">
            <v>Impianti tecnologici                                        </v>
          </cell>
          <cell r="D312">
            <v>5</v>
          </cell>
          <cell r="E312">
            <v>6205</v>
          </cell>
          <cell r="F312" t="str">
            <v>SPESE IN C/CAPITALE CONTRO ENTRATE ORD.                     </v>
          </cell>
          <cell r="G312">
            <v>0</v>
          </cell>
          <cell r="H312">
            <v>3227.86</v>
          </cell>
          <cell r="I312">
            <v>0</v>
          </cell>
          <cell r="J312">
            <v>25822.84</v>
          </cell>
          <cell r="K312">
            <v>25822.84</v>
          </cell>
        </row>
        <row r="313">
          <cell r="A313" t="str">
            <v>CDG6 </v>
          </cell>
          <cell r="B313">
            <v>102</v>
          </cell>
          <cell r="C313" t="str">
            <v>Direzione, amm.,CDG/altro - polizia mun.                    </v>
          </cell>
          <cell r="D313">
            <v>5</v>
          </cell>
          <cell r="E313">
            <v>6205</v>
          </cell>
          <cell r="F313" t="str">
            <v>SPESE IN C/CAPITALE CONTRO ENTRATE ORD.                     </v>
          </cell>
          <cell r="G313">
            <v>0</v>
          </cell>
          <cell r="H313">
            <v>0</v>
          </cell>
          <cell r="I313">
            <v>0</v>
          </cell>
          <cell r="J313">
            <v>401803.47</v>
          </cell>
          <cell r="K313">
            <v>91929.33</v>
          </cell>
        </row>
        <row r="314">
          <cell r="A314" t="str">
            <v>CDG6 </v>
          </cell>
          <cell r="B314">
            <v>107</v>
          </cell>
          <cell r="C314" t="str">
            <v>Servizio grande viabilità                                   </v>
          </cell>
          <cell r="D314">
            <v>5</v>
          </cell>
          <cell r="E314">
            <v>6205</v>
          </cell>
          <cell r="F314" t="str">
            <v>SPESE IN C/CAPITALE CONTRO ENTRATE ORD.                     </v>
          </cell>
          <cell r="G314">
            <v>0</v>
          </cell>
          <cell r="H314">
            <v>0</v>
          </cell>
          <cell r="I314">
            <v>0</v>
          </cell>
          <cell r="J314">
            <v>20658.28</v>
          </cell>
          <cell r="K314">
            <v>20658.28</v>
          </cell>
        </row>
        <row r="315">
          <cell r="A315" t="str">
            <v>CDG6 </v>
          </cell>
          <cell r="B315">
            <v>95</v>
          </cell>
          <cell r="C315" t="str">
            <v>Laboratori e aule didattiche centrali                       </v>
          </cell>
          <cell r="D315">
            <v>5</v>
          </cell>
          <cell r="E315">
            <v>6205</v>
          </cell>
          <cell r="F315" t="str">
            <v>SPESE IN C/CAPITALE CONTRO ENTRATE ORD.                     </v>
          </cell>
          <cell r="G315">
            <v>0</v>
          </cell>
          <cell r="H315">
            <v>0</v>
          </cell>
          <cell r="I315">
            <v>6197.48</v>
          </cell>
          <cell r="J315">
            <v>10329.14</v>
          </cell>
          <cell r="K315">
            <v>10329.14</v>
          </cell>
        </row>
        <row r="316">
          <cell r="A316" t="str">
            <v>CDG6 </v>
          </cell>
          <cell r="B316">
            <v>91</v>
          </cell>
          <cell r="C316" t="str">
            <v>Scambi internazionali e istituz. estive                     </v>
          </cell>
          <cell r="D316">
            <v>5</v>
          </cell>
          <cell r="E316">
            <v>6205</v>
          </cell>
          <cell r="F316" t="str">
            <v>SPESE IN C/CAPITALE CONTRO ENTRATE ORD.                     </v>
          </cell>
          <cell r="G316">
            <v>0</v>
          </cell>
          <cell r="H316">
            <v>430.38</v>
          </cell>
          <cell r="I316">
            <v>0</v>
          </cell>
          <cell r="J316">
            <v>2582.28</v>
          </cell>
          <cell r="K316">
            <v>2582.28</v>
          </cell>
        </row>
        <row r="317">
          <cell r="A317" t="str">
            <v>CDG6 </v>
          </cell>
          <cell r="B317">
            <v>94</v>
          </cell>
          <cell r="C317" t="str">
            <v>Politiche giovanili                                         </v>
          </cell>
          <cell r="D317">
            <v>5</v>
          </cell>
          <cell r="E317">
            <v>6205</v>
          </cell>
          <cell r="F317" t="str">
            <v>SPESE IN C/CAPITALE CONTRO ENTRATE ORD.                     </v>
          </cell>
          <cell r="G317">
            <v>0</v>
          </cell>
          <cell r="H317">
            <v>0</v>
          </cell>
          <cell r="I317">
            <v>25822.84</v>
          </cell>
          <cell r="J317">
            <v>25822.84</v>
          </cell>
          <cell r="K317">
            <v>25822.84</v>
          </cell>
        </row>
        <row r="318">
          <cell r="A318" t="str">
            <v>CDG6 </v>
          </cell>
          <cell r="B318">
            <v>88</v>
          </cell>
          <cell r="C318" t="str">
            <v>Direzione,amm.,CDG/altro - istr. e sport                    </v>
          </cell>
          <cell r="D318">
            <v>5</v>
          </cell>
          <cell r="E318">
            <v>6205</v>
          </cell>
          <cell r="F318" t="str">
            <v>SPESE IN C/CAPITALE CONTRO ENTRATE ORD.                     </v>
          </cell>
          <cell r="G318">
            <v>0</v>
          </cell>
          <cell r="H318">
            <v>0</v>
          </cell>
          <cell r="I318">
            <v>5681.03</v>
          </cell>
          <cell r="J318">
            <v>56810.26</v>
          </cell>
          <cell r="K318">
            <v>22207.65</v>
          </cell>
        </row>
        <row r="319">
          <cell r="A319" t="str">
            <v>CDG6 </v>
          </cell>
          <cell r="B319">
            <v>90</v>
          </cell>
          <cell r="C319" t="str">
            <v>Servizi all'infanzia                                        </v>
          </cell>
          <cell r="D319">
            <v>5</v>
          </cell>
          <cell r="E319">
            <v>6205</v>
          </cell>
          <cell r="F319" t="str">
            <v>SPESE IN C/CAPITALE CONTRO ENTRATE ORD.                     </v>
          </cell>
          <cell r="G319">
            <v>0</v>
          </cell>
          <cell r="H319">
            <v>0</v>
          </cell>
          <cell r="I319">
            <v>0</v>
          </cell>
          <cell r="J319">
            <v>201418.19</v>
          </cell>
          <cell r="K319">
            <v>201418.19</v>
          </cell>
        </row>
        <row r="320">
          <cell r="A320" t="str">
            <v>CDG6 </v>
          </cell>
          <cell r="B320">
            <v>96</v>
          </cell>
          <cell r="C320" t="str">
            <v>Formazione professionale                                    </v>
          </cell>
          <cell r="D320">
            <v>5</v>
          </cell>
          <cell r="E320">
            <v>6205</v>
          </cell>
          <cell r="F320" t="str">
            <v>SPESE IN C/CAPITALE CONTRO ENTRATE ORD.                     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CDG6 </v>
          </cell>
          <cell r="B321">
            <v>254</v>
          </cell>
          <cell r="C321" t="str">
            <v>Prog.nuove ist.mus.:m.resistenza/Certosa                    </v>
          </cell>
          <cell r="D321">
            <v>5</v>
          </cell>
          <cell r="E321">
            <v>6205</v>
          </cell>
          <cell r="F321" t="str">
            <v>SPESE IN C/CAPITALE CONTRO ENTRATE ORD.                     </v>
          </cell>
          <cell r="G321">
            <v>0</v>
          </cell>
          <cell r="H321">
            <v>0</v>
          </cell>
          <cell r="I321">
            <v>15493.71</v>
          </cell>
          <cell r="J321">
            <v>36151.98</v>
          </cell>
          <cell r="K321">
            <v>18075.99</v>
          </cell>
        </row>
        <row r="322">
          <cell r="A322" t="str">
            <v>CDG6 </v>
          </cell>
          <cell r="B322">
            <v>81</v>
          </cell>
          <cell r="C322" t="str">
            <v>Museo Archelogico                                           </v>
          </cell>
          <cell r="D322">
            <v>5</v>
          </cell>
          <cell r="E322">
            <v>6205</v>
          </cell>
          <cell r="F322" t="str">
            <v>SPESE IN C/CAPITALE CONTRO ENTRATE ORD.                     </v>
          </cell>
          <cell r="G322">
            <v>0</v>
          </cell>
          <cell r="H322">
            <v>3615.2</v>
          </cell>
          <cell r="I322">
            <v>0</v>
          </cell>
          <cell r="J322">
            <v>15493.71</v>
          </cell>
          <cell r="K322">
            <v>15493.71</v>
          </cell>
        </row>
        <row r="323">
          <cell r="A323" t="str">
            <v>CDG6 </v>
          </cell>
          <cell r="B323">
            <v>82</v>
          </cell>
          <cell r="C323" t="str">
            <v>Musei Civici di arte antica                                 </v>
          </cell>
          <cell r="D323">
            <v>5</v>
          </cell>
          <cell r="E323">
            <v>6205</v>
          </cell>
          <cell r="F323" t="str">
            <v>SPESE IN C/CAPITALE CONTRO ENTRATE ORD.                     </v>
          </cell>
          <cell r="G323">
            <v>0</v>
          </cell>
          <cell r="H323">
            <v>0</v>
          </cell>
          <cell r="I323">
            <v>0</v>
          </cell>
          <cell r="J323">
            <v>61974.83</v>
          </cell>
          <cell r="K323">
            <v>33569.7</v>
          </cell>
        </row>
        <row r="324">
          <cell r="A324" t="str">
            <v>CDG6 </v>
          </cell>
          <cell r="B324">
            <v>80</v>
          </cell>
          <cell r="C324" t="str">
            <v>Sala Borsa/CentroDoc.Don.-Bibl.Naz.Don.                     </v>
          </cell>
          <cell r="D324">
            <v>5</v>
          </cell>
          <cell r="E324">
            <v>6205</v>
          </cell>
          <cell r="F324" t="str">
            <v>SPESE IN C/CAPITALE CONTRO ENTRATE ORD.                     </v>
          </cell>
          <cell r="G324">
            <v>0</v>
          </cell>
          <cell r="H324">
            <v>516.46</v>
          </cell>
          <cell r="I324">
            <v>6197.48</v>
          </cell>
          <cell r="J324">
            <v>25822.84</v>
          </cell>
          <cell r="K324">
            <v>10329.14</v>
          </cell>
        </row>
        <row r="325">
          <cell r="A325" t="str">
            <v>CDG6 </v>
          </cell>
          <cell r="B325">
            <v>85</v>
          </cell>
          <cell r="C325" t="str">
            <v>Museo del Patrimonio industriale                            </v>
          </cell>
          <cell r="D325">
            <v>5</v>
          </cell>
          <cell r="E325">
            <v>6205</v>
          </cell>
          <cell r="F325" t="str">
            <v>SPESE IN C/CAPITALE CONTRO ENTRATE ORD.                     </v>
          </cell>
          <cell r="G325">
            <v>0</v>
          </cell>
          <cell r="H325">
            <v>0</v>
          </cell>
          <cell r="I325">
            <v>5681.03</v>
          </cell>
          <cell r="J325">
            <v>6713.94</v>
          </cell>
          <cell r="K325">
            <v>6713.94</v>
          </cell>
        </row>
        <row r="326">
          <cell r="A326" t="str">
            <v>CDG6 </v>
          </cell>
          <cell r="B326">
            <v>79</v>
          </cell>
          <cell r="C326" t="str">
            <v>Biblioteca dell'Archiginnasio                               </v>
          </cell>
          <cell r="D326">
            <v>5</v>
          </cell>
          <cell r="E326">
            <v>6205</v>
          </cell>
          <cell r="F326" t="str">
            <v>SPESE IN C/CAPITALE CONTRO ENTRATE ORD.                     </v>
          </cell>
          <cell r="G326">
            <v>0</v>
          </cell>
          <cell r="H326">
            <v>6455.71</v>
          </cell>
          <cell r="I326">
            <v>0</v>
          </cell>
          <cell r="J326">
            <v>71271.05</v>
          </cell>
          <cell r="K326">
            <v>71271.05</v>
          </cell>
        </row>
        <row r="327">
          <cell r="A327" t="str">
            <v>CDG6 </v>
          </cell>
          <cell r="B327">
            <v>76</v>
          </cell>
          <cell r="C327" t="str">
            <v>Direzione, amm.,CDG/altro - Cultura                         </v>
          </cell>
          <cell r="D327">
            <v>5</v>
          </cell>
          <cell r="E327">
            <v>6205</v>
          </cell>
          <cell r="F327" t="str">
            <v>SPESE IN C/CAPITALE CONTRO ENTRATE ORD.                     </v>
          </cell>
          <cell r="G327">
            <v>0</v>
          </cell>
          <cell r="H327">
            <v>215.19</v>
          </cell>
          <cell r="I327">
            <v>20658.28</v>
          </cell>
          <cell r="J327">
            <v>35377.3</v>
          </cell>
          <cell r="K327">
            <v>30212.73</v>
          </cell>
        </row>
        <row r="328">
          <cell r="A328" t="str">
            <v>CDG6 </v>
          </cell>
          <cell r="B328">
            <v>77</v>
          </cell>
          <cell r="C328" t="str">
            <v>Attività culturali gestione sale                            </v>
          </cell>
          <cell r="D328">
            <v>5</v>
          </cell>
          <cell r="E328">
            <v>6205</v>
          </cell>
          <cell r="F328" t="str">
            <v>SPESE IN C/CAPITALE CONTRO ENTRATE ORD.                     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CDG6 </v>
          </cell>
          <cell r="B329">
            <v>93</v>
          </cell>
          <cell r="C329" t="str">
            <v>Sport                                                       </v>
          </cell>
          <cell r="D329">
            <v>5</v>
          </cell>
          <cell r="E329">
            <v>6205</v>
          </cell>
          <cell r="F329" t="str">
            <v>SPESE IN C/CAPITALE CONTRO ENTRATE ORD.                     </v>
          </cell>
          <cell r="G329">
            <v>0</v>
          </cell>
          <cell r="H329">
            <v>0</v>
          </cell>
          <cell r="I329">
            <v>10329.14</v>
          </cell>
          <cell r="J329">
            <v>10329.14</v>
          </cell>
          <cell r="K329">
            <v>7746.85</v>
          </cell>
        </row>
        <row r="330">
          <cell r="A330" t="str">
            <v>CDG6 </v>
          </cell>
          <cell r="B330">
            <v>97</v>
          </cell>
          <cell r="C330" t="str">
            <v>Direzione, amm.,CDG/altro - traffico                        </v>
          </cell>
          <cell r="D330">
            <v>5</v>
          </cell>
          <cell r="E330">
            <v>6205</v>
          </cell>
          <cell r="F330" t="str">
            <v>SPESE IN C/CAPITALE CONTRO ENTRATE ORD.                     </v>
          </cell>
          <cell r="G330">
            <v>0</v>
          </cell>
          <cell r="H330">
            <v>1936.71</v>
          </cell>
          <cell r="I330">
            <v>0</v>
          </cell>
          <cell r="J330">
            <v>61974.83</v>
          </cell>
          <cell r="K330">
            <v>59392.54</v>
          </cell>
        </row>
        <row r="331">
          <cell r="A331" t="str">
            <v>CDG6 </v>
          </cell>
          <cell r="B331">
            <v>4</v>
          </cell>
          <cell r="C331" t="str">
            <v>Pianificaz. infrastrutturale trasporti                      </v>
          </cell>
          <cell r="D331">
            <v>5</v>
          </cell>
          <cell r="E331">
            <v>6205</v>
          </cell>
          <cell r="F331" t="str">
            <v>SPESE IN C/CAPITALE CONTRO ENTRATE ORD.                     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CDG6 </v>
          </cell>
          <cell r="B332">
            <v>134</v>
          </cell>
          <cell r="C332" t="str">
            <v>Ambiente                                                    </v>
          </cell>
          <cell r="D332">
            <v>5</v>
          </cell>
          <cell r="E332">
            <v>6205</v>
          </cell>
          <cell r="F332" t="str">
            <v>SPESE IN C/CAPITALE CONTRO ENTRATE ORD.                     </v>
          </cell>
          <cell r="G332">
            <v>0</v>
          </cell>
          <cell r="H332">
            <v>0</v>
          </cell>
          <cell r="I332">
            <v>0</v>
          </cell>
          <cell r="J332">
            <v>20658.28</v>
          </cell>
          <cell r="K332">
            <v>12394.97</v>
          </cell>
        </row>
        <row r="333">
          <cell r="A333" t="str">
            <v>CDG6 </v>
          </cell>
          <cell r="B333">
            <v>133</v>
          </cell>
          <cell r="C333" t="str">
            <v>Direz.,amm.,CDG/altro-territ.e riq.urb.                     </v>
          </cell>
          <cell r="D333">
            <v>5</v>
          </cell>
          <cell r="E333">
            <v>6205</v>
          </cell>
          <cell r="F333" t="str">
            <v>SPESE IN C/CAPITALE CONTRO ENTRATE ORD.                     </v>
          </cell>
          <cell r="G333">
            <v>0</v>
          </cell>
          <cell r="H333">
            <v>0</v>
          </cell>
          <cell r="I333">
            <v>0</v>
          </cell>
          <cell r="J333">
            <v>51645.69</v>
          </cell>
          <cell r="K333">
            <v>25822.84</v>
          </cell>
        </row>
        <row r="334">
          <cell r="A334" t="str">
            <v>CDG6 </v>
          </cell>
          <cell r="B334">
            <v>136</v>
          </cell>
          <cell r="C334" t="str">
            <v>Urbanistica                                                 </v>
          </cell>
          <cell r="D334">
            <v>5</v>
          </cell>
          <cell r="E334">
            <v>6205</v>
          </cell>
          <cell r="F334" t="str">
            <v>SPESE IN C/CAPITALE CONTRO ENTRATE ORD.                     </v>
          </cell>
          <cell r="G334">
            <v>0</v>
          </cell>
          <cell r="H334">
            <v>0</v>
          </cell>
          <cell r="I334">
            <v>0</v>
          </cell>
          <cell r="J334">
            <v>41316.55</v>
          </cell>
          <cell r="K334">
            <v>39250.72</v>
          </cell>
        </row>
        <row r="335">
          <cell r="A335" t="str">
            <v>CDG6 </v>
          </cell>
          <cell r="B335">
            <v>135</v>
          </cell>
          <cell r="C335" t="str">
            <v>Atti amministrativi                                         </v>
          </cell>
          <cell r="D335">
            <v>5</v>
          </cell>
          <cell r="E335">
            <v>6205</v>
          </cell>
          <cell r="F335" t="str">
            <v>SPESE IN C/CAPITALE CONTRO ENTRATE ORD.                     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CDG6 </v>
          </cell>
          <cell r="B336">
            <v>138</v>
          </cell>
          <cell r="C336" t="str">
            <v>Sistema informativo territoriale                            </v>
          </cell>
          <cell r="D336">
            <v>5</v>
          </cell>
          <cell r="E336">
            <v>6205</v>
          </cell>
          <cell r="F336" t="str">
            <v>SPESE IN C/CAPITALE CONTRO ENTRATE ORD.                     </v>
          </cell>
          <cell r="G336">
            <v>0</v>
          </cell>
          <cell r="H336">
            <v>1850.64</v>
          </cell>
          <cell r="I336">
            <v>10329.14</v>
          </cell>
          <cell r="J336">
            <v>39405.67</v>
          </cell>
          <cell r="K336">
            <v>25977.78</v>
          </cell>
        </row>
        <row r="337">
          <cell r="A337" t="str">
            <v>CDG6 </v>
          </cell>
          <cell r="B337">
            <v>137</v>
          </cell>
          <cell r="C337" t="str">
            <v>Controllo edilizio                                          </v>
          </cell>
          <cell r="D337">
            <v>5</v>
          </cell>
          <cell r="E337">
            <v>6205</v>
          </cell>
          <cell r="F337" t="str">
            <v>SPESE IN C/CAPITALE CONTRO ENTRATE ORD.                     </v>
          </cell>
          <cell r="G337">
            <v>0</v>
          </cell>
          <cell r="H337">
            <v>301.27</v>
          </cell>
          <cell r="I337">
            <v>0</v>
          </cell>
          <cell r="J337">
            <v>67139.4</v>
          </cell>
          <cell r="K337">
            <v>67139.4</v>
          </cell>
        </row>
        <row r="338">
          <cell r="A338" t="str">
            <v>CDG6 </v>
          </cell>
          <cell r="B338">
            <v>139</v>
          </cell>
          <cell r="C338" t="str">
            <v>Casa                                                        </v>
          </cell>
          <cell r="D338">
            <v>5</v>
          </cell>
          <cell r="E338">
            <v>6205</v>
          </cell>
          <cell r="F338" t="str">
            <v>SPESE IN C/CAPITALE CONTRO ENTRATE ORD.                     </v>
          </cell>
          <cell r="G338">
            <v>0</v>
          </cell>
          <cell r="H338">
            <v>0</v>
          </cell>
          <cell r="I338">
            <v>0</v>
          </cell>
          <cell r="J338">
            <v>18075.99</v>
          </cell>
          <cell r="K338">
            <v>18075.99</v>
          </cell>
        </row>
        <row r="339">
          <cell r="A339" t="str">
            <v>CDG6 </v>
          </cell>
          <cell r="B339">
            <v>7</v>
          </cell>
          <cell r="C339" t="str">
            <v>Protezione civile                                           </v>
          </cell>
          <cell r="D339">
            <v>5</v>
          </cell>
          <cell r="E339">
            <v>6205</v>
          </cell>
          <cell r="F339" t="str">
            <v>SPESE IN C/CAPITALE CONTRO ENTRATE ORD.                     </v>
          </cell>
          <cell r="G339">
            <v>0</v>
          </cell>
          <cell r="H339">
            <v>0</v>
          </cell>
          <cell r="I339">
            <v>0</v>
          </cell>
          <cell r="J339">
            <v>29438.04</v>
          </cell>
          <cell r="K339">
            <v>29438.04</v>
          </cell>
        </row>
        <row r="340">
          <cell r="A340" t="str">
            <v>CDG6 </v>
          </cell>
          <cell r="B340">
            <v>50</v>
          </cell>
          <cell r="C340" t="str">
            <v>Fognature                                                   </v>
          </cell>
          <cell r="D340">
            <v>5</v>
          </cell>
          <cell r="E340">
            <v>6205</v>
          </cell>
          <cell r="F340" t="str">
            <v>SPESE IN C/CAPITALE CONTRO ENTRATE ORD.                     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CDG6 </v>
          </cell>
          <cell r="B341">
            <v>6</v>
          </cell>
          <cell r="C341" t="str">
            <v>Progetto speciale qualità urbana                            </v>
          </cell>
          <cell r="D341">
            <v>5</v>
          </cell>
          <cell r="E341">
            <v>6205</v>
          </cell>
          <cell r="F341" t="str">
            <v>SPESE IN C/CAPITALE CONTRO ENTRATE ORD.                     </v>
          </cell>
          <cell r="G341">
            <v>0</v>
          </cell>
          <cell r="H341">
            <v>0</v>
          </cell>
          <cell r="I341">
            <v>0</v>
          </cell>
          <cell r="J341">
            <v>5164.57</v>
          </cell>
          <cell r="K341">
            <v>5164.57</v>
          </cell>
        </row>
        <row r="342">
          <cell r="A342" t="str">
            <v>CDG6 </v>
          </cell>
          <cell r="B342">
            <v>108</v>
          </cell>
          <cell r="C342" t="str">
            <v>Direz., amm.,CDG/altro - socio sanitario                    </v>
          </cell>
          <cell r="D342">
            <v>5</v>
          </cell>
          <cell r="E342">
            <v>6205</v>
          </cell>
          <cell r="F342" t="str">
            <v>SPESE IN C/CAPITALE CONTRO ENTRATE ORD.                     </v>
          </cell>
          <cell r="G342">
            <v>0</v>
          </cell>
          <cell r="H342">
            <v>8667.87</v>
          </cell>
          <cell r="I342">
            <v>0</v>
          </cell>
          <cell r="J342">
            <v>154937.07</v>
          </cell>
          <cell r="K342">
            <v>154937.07</v>
          </cell>
        </row>
        <row r="343">
          <cell r="A343" t="str">
            <v>CDG6 </v>
          </cell>
          <cell r="B343">
            <v>118</v>
          </cell>
          <cell r="C343" t="str">
            <v>Servizi sociali a minori e famiglie                         </v>
          </cell>
          <cell r="D343">
            <v>5</v>
          </cell>
          <cell r="E343">
            <v>6205</v>
          </cell>
          <cell r="F343" t="str">
            <v>SPESE IN C/CAPITALE CONTRO ENTRATE ORD.                     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CDG6 </v>
          </cell>
          <cell r="B344">
            <v>255</v>
          </cell>
          <cell r="C344" t="str">
            <v>Sicurezza urbana                                            </v>
          </cell>
          <cell r="D344">
            <v>5</v>
          </cell>
          <cell r="E344">
            <v>6205</v>
          </cell>
          <cell r="F344" t="str">
            <v>SPESE IN C/CAPITALE CONTRO ENTRATE ORD.                     </v>
          </cell>
          <cell r="G344">
            <v>0</v>
          </cell>
          <cell r="H344">
            <v>0</v>
          </cell>
          <cell r="I344">
            <v>0</v>
          </cell>
          <cell r="J344">
            <v>82633.11</v>
          </cell>
          <cell r="K344">
            <v>82633.1</v>
          </cell>
        </row>
        <row r="345">
          <cell r="A345" t="str">
            <v>CDG6 </v>
          </cell>
          <cell r="B345">
            <v>259</v>
          </cell>
          <cell r="C345" t="str">
            <v>Direzione/amm./altro salute e qualità                       </v>
          </cell>
          <cell r="D345">
            <v>5</v>
          </cell>
          <cell r="E345">
            <v>6205</v>
          </cell>
          <cell r="F345" t="str">
            <v>SPESE IN C/CAPITALE CONTRO ENTRATE ORD.                     </v>
          </cell>
          <cell r="G345">
            <v>0</v>
          </cell>
          <cell r="H345">
            <v>0</v>
          </cell>
          <cell r="I345">
            <v>0</v>
          </cell>
          <cell r="J345">
            <v>56810.26</v>
          </cell>
          <cell r="K345">
            <v>56810.26</v>
          </cell>
        </row>
        <row r="346">
          <cell r="A346" t="str">
            <v>CDG6 </v>
          </cell>
          <cell r="B346">
            <v>126</v>
          </cell>
          <cell r="C346" t="str">
            <v>Istituz. Serv. per l'immigrazione (ISI)                     </v>
          </cell>
          <cell r="D346">
            <v>5</v>
          </cell>
          <cell r="E346">
            <v>6205</v>
          </cell>
          <cell r="F346" t="str">
            <v>SPESE IN C/CAPITALE CONTRO ENTRATE ORD.                     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CDG6 </v>
          </cell>
          <cell r="B347">
            <v>121</v>
          </cell>
          <cell r="C347" t="str">
            <v>Servizi sociali per adulti                                  </v>
          </cell>
          <cell r="D347">
            <v>5</v>
          </cell>
          <cell r="E347">
            <v>6205</v>
          </cell>
          <cell r="F347" t="str">
            <v>SPESE IN C/CAPITALE CONTRO ENTRATE ORD.                     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CDG6 </v>
          </cell>
          <cell r="B348">
            <v>109</v>
          </cell>
          <cell r="C348" t="str">
            <v>Servizi funerari                                            </v>
          </cell>
          <cell r="D348">
            <v>5</v>
          </cell>
          <cell r="E348">
            <v>6205</v>
          </cell>
          <cell r="F348" t="str">
            <v>SPESE IN C/CAPITALE CONTRO ENTRATE ORD.                     </v>
          </cell>
          <cell r="G348">
            <v>0</v>
          </cell>
          <cell r="H348">
            <v>0</v>
          </cell>
          <cell r="I348">
            <v>0</v>
          </cell>
          <cell r="J348">
            <v>211747.32</v>
          </cell>
          <cell r="K348">
            <v>160101.64</v>
          </cell>
        </row>
        <row r="349">
          <cell r="A349" t="str">
            <v>CDG6 </v>
          </cell>
          <cell r="B349">
            <v>72</v>
          </cell>
          <cell r="C349" t="str">
            <v>Direzione, amm.,CDG/altro - Economia                        </v>
          </cell>
          <cell r="D349">
            <v>5</v>
          </cell>
          <cell r="E349">
            <v>6205</v>
          </cell>
          <cell r="F349" t="str">
            <v>SPESE IN C/CAPITALE CONTRO ENTRATE ORD.                     </v>
          </cell>
          <cell r="G349">
            <v>0</v>
          </cell>
          <cell r="H349">
            <v>3443.05</v>
          </cell>
          <cell r="I349">
            <v>0</v>
          </cell>
          <cell r="J349">
            <v>36151.98</v>
          </cell>
          <cell r="K349">
            <v>36151.98</v>
          </cell>
        </row>
        <row r="350">
          <cell r="A350" t="str">
            <v>CDG6 </v>
          </cell>
          <cell r="B350">
            <v>73</v>
          </cell>
          <cell r="C350" t="str">
            <v>Economia e lavoro                                           </v>
          </cell>
          <cell r="D350">
            <v>5</v>
          </cell>
          <cell r="E350">
            <v>6205</v>
          </cell>
          <cell r="F350" t="str">
            <v>SPESE IN C/CAPITALE CONTRO ENTRATE ORD.                     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CDG6 </v>
          </cell>
          <cell r="B351">
            <v>37</v>
          </cell>
          <cell r="C351" t="str">
            <v>Trasformazioni strutturali                                  </v>
          </cell>
          <cell r="D351">
            <v>5</v>
          </cell>
          <cell r="E351">
            <v>6205</v>
          </cell>
          <cell r="F351" t="str">
            <v>SPESE IN C/CAPITALE CONTRO ENTRATE ORD.                     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CDG6 </v>
          </cell>
          <cell r="B352">
            <v>160</v>
          </cell>
          <cell r="C352" t="str">
            <v>Scuole dell'infanzia - Q. Borgo                             </v>
          </cell>
          <cell r="D352">
            <v>5</v>
          </cell>
          <cell r="E352">
            <v>6214</v>
          </cell>
          <cell r="F352" t="str">
            <v>Q.RI PROG.INTEGRATO SCUOLA DELL'INFANZIA                    </v>
          </cell>
          <cell r="G352">
            <v>0</v>
          </cell>
          <cell r="H352">
            <v>1463.29</v>
          </cell>
          <cell r="I352">
            <v>14584.74</v>
          </cell>
          <cell r="J352">
            <v>15493.71</v>
          </cell>
          <cell r="K352">
            <v>15493.71</v>
          </cell>
        </row>
        <row r="353">
          <cell r="A353" t="str">
            <v>CDG6 </v>
          </cell>
          <cell r="B353">
            <v>170</v>
          </cell>
          <cell r="C353" t="str">
            <v>Scuole dell'infanzia - Q. Navile                            </v>
          </cell>
          <cell r="D353">
            <v>5</v>
          </cell>
          <cell r="E353">
            <v>6214</v>
          </cell>
          <cell r="F353" t="str">
            <v>Q.RI PROG.INTEGRATO SCUOLA DELL'INFANZIA                    </v>
          </cell>
          <cell r="G353">
            <v>0</v>
          </cell>
          <cell r="H353">
            <v>5067.73</v>
          </cell>
          <cell r="I353">
            <v>50401.03</v>
          </cell>
          <cell r="J353">
            <v>50401.03</v>
          </cell>
          <cell r="K353">
            <v>50401.03</v>
          </cell>
        </row>
        <row r="354">
          <cell r="A354" t="str">
            <v>CDG6 </v>
          </cell>
          <cell r="B354">
            <v>180</v>
          </cell>
          <cell r="C354" t="str">
            <v>Scuole dell'infanzia - Q. Porto                             </v>
          </cell>
          <cell r="D354">
            <v>5</v>
          </cell>
          <cell r="E354">
            <v>6214</v>
          </cell>
          <cell r="F354" t="str">
            <v>Q.RI PROG.INTEGRATO SCUOLA DELL'INFANZIA                    </v>
          </cell>
          <cell r="G354">
            <v>0</v>
          </cell>
          <cell r="H354">
            <v>4282.29</v>
          </cell>
          <cell r="I354">
            <v>42463.09</v>
          </cell>
          <cell r="J354">
            <v>42504.4</v>
          </cell>
          <cell r="K354">
            <v>42504.4</v>
          </cell>
        </row>
        <row r="355">
          <cell r="A355" t="str">
            <v>CDG6 </v>
          </cell>
          <cell r="B355">
            <v>190</v>
          </cell>
          <cell r="C355" t="str">
            <v>Scuole dell'infanzia - Q. Reno                              </v>
          </cell>
          <cell r="D355">
            <v>5</v>
          </cell>
          <cell r="E355">
            <v>6214</v>
          </cell>
          <cell r="F355" t="str">
            <v>Q.RI PROG.INTEGRATO SCUOLA DELL'INFANZIA                    </v>
          </cell>
          <cell r="G355">
            <v>0</v>
          </cell>
          <cell r="H355">
            <v>2926.59</v>
          </cell>
          <cell r="I355">
            <v>29169.49</v>
          </cell>
          <cell r="J355">
            <v>29169.49</v>
          </cell>
          <cell r="K355">
            <v>29169.49</v>
          </cell>
        </row>
        <row r="356">
          <cell r="A356" t="str">
            <v>CDG6 </v>
          </cell>
          <cell r="B356">
            <v>200</v>
          </cell>
          <cell r="C356" t="str">
            <v>Scuole dell'infanzia - Q. San Donato                        </v>
          </cell>
          <cell r="D356">
            <v>5</v>
          </cell>
          <cell r="E356">
            <v>6214</v>
          </cell>
          <cell r="F356" t="str">
            <v>Q.RI PROG.INTEGRATO SCUOLA DELL'INFANZIA                    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CDG6 </v>
          </cell>
          <cell r="B357">
            <v>210</v>
          </cell>
          <cell r="C357" t="str">
            <v>Scuole dell'infanzia - Q. Santo Stefano                     </v>
          </cell>
          <cell r="D357">
            <v>5</v>
          </cell>
          <cell r="E357">
            <v>6214</v>
          </cell>
          <cell r="F357" t="str">
            <v>Q.RI PROG.INTEGRATO SCUOLA DELL'INFANZIA                    </v>
          </cell>
          <cell r="G357">
            <v>0</v>
          </cell>
          <cell r="H357">
            <v>15109.38</v>
          </cell>
          <cell r="I357">
            <v>135311.71</v>
          </cell>
          <cell r="J357">
            <v>135826.16</v>
          </cell>
          <cell r="K357">
            <v>135828.16</v>
          </cell>
        </row>
        <row r="358">
          <cell r="A358" t="str">
            <v>CDG6 </v>
          </cell>
          <cell r="B358">
            <v>220</v>
          </cell>
          <cell r="C358" t="str">
            <v>Scuole dell'infanzia - Q. San Vitale                        </v>
          </cell>
          <cell r="D358">
            <v>5</v>
          </cell>
          <cell r="E358">
            <v>6214</v>
          </cell>
          <cell r="F358" t="str">
            <v>Q.RI PROG.INTEGRATO SCUOLA DELL'INFANZIA                    </v>
          </cell>
          <cell r="G358">
            <v>0</v>
          </cell>
          <cell r="H358">
            <v>5853.18</v>
          </cell>
          <cell r="I358">
            <v>58359.63</v>
          </cell>
          <cell r="J358">
            <v>51645.69</v>
          </cell>
          <cell r="K358">
            <v>51645.69</v>
          </cell>
        </row>
        <row r="359">
          <cell r="A359" t="str">
            <v>CDG6 </v>
          </cell>
          <cell r="B359">
            <v>230</v>
          </cell>
          <cell r="C359" t="str">
            <v>Scuole dell'infanzia - Q. Saragozza                         </v>
          </cell>
          <cell r="D359">
            <v>5</v>
          </cell>
          <cell r="E359">
            <v>6214</v>
          </cell>
          <cell r="F359" t="str">
            <v>Q.RI PROG.INTEGRATO SCUOLA DELL'INFANZIA                    </v>
          </cell>
          <cell r="G359">
            <v>0</v>
          </cell>
          <cell r="H359">
            <v>0</v>
          </cell>
          <cell r="I359">
            <v>0</v>
          </cell>
          <cell r="J359">
            <v>14977</v>
          </cell>
          <cell r="K359">
            <v>14977.25</v>
          </cell>
        </row>
        <row r="360">
          <cell r="A360" t="str">
            <v>CDG6 </v>
          </cell>
          <cell r="B360">
            <v>240</v>
          </cell>
          <cell r="C360" t="str">
            <v>Scuole dell'infanzia - Q. Savena                            </v>
          </cell>
          <cell r="D360">
            <v>5</v>
          </cell>
          <cell r="E360">
            <v>6214</v>
          </cell>
          <cell r="F360" t="str">
            <v>Q.RI PROG.INTEGRATO SCUOLA DELL'INFANZIA                    </v>
          </cell>
          <cell r="G360">
            <v>0</v>
          </cell>
          <cell r="H360">
            <v>5745.58</v>
          </cell>
          <cell r="I360">
            <v>56810.26</v>
          </cell>
          <cell r="J360">
            <v>71633</v>
          </cell>
          <cell r="K360">
            <v>71632.57</v>
          </cell>
        </row>
        <row r="361">
          <cell r="A361" t="str">
            <v>CDG6 </v>
          </cell>
          <cell r="B361">
            <v>157</v>
          </cell>
          <cell r="C361" t="str">
            <v>Servizi socio assistenziali - Q. Borgo                      </v>
          </cell>
          <cell r="D361">
            <v>5</v>
          </cell>
          <cell r="E361">
            <v>6660</v>
          </cell>
          <cell r="F361" t="str">
            <v>Q.RI BUONI MENSA                                            </v>
          </cell>
          <cell r="G361">
            <v>0</v>
          </cell>
          <cell r="H361">
            <v>2862.03</v>
          </cell>
          <cell r="I361">
            <v>34602.61</v>
          </cell>
          <cell r="J361">
            <v>51645.69</v>
          </cell>
          <cell r="K361">
            <v>51645.69</v>
          </cell>
        </row>
        <row r="362">
          <cell r="A362" t="str">
            <v>CDG6 </v>
          </cell>
          <cell r="B362">
            <v>167</v>
          </cell>
          <cell r="C362" t="str">
            <v>Servizi socio assistenziali - Q. Navile                     </v>
          </cell>
          <cell r="D362">
            <v>5</v>
          </cell>
          <cell r="E362">
            <v>6660</v>
          </cell>
          <cell r="F362" t="str">
            <v>Q.RI BUONI MENSA                                            </v>
          </cell>
          <cell r="G362">
            <v>0</v>
          </cell>
          <cell r="H362">
            <v>7071.16</v>
          </cell>
          <cell r="I362">
            <v>86248.3</v>
          </cell>
          <cell r="J362">
            <v>87797.67</v>
          </cell>
          <cell r="K362">
            <v>87797.67</v>
          </cell>
        </row>
        <row r="363">
          <cell r="A363" t="str">
            <v>CDG6 </v>
          </cell>
          <cell r="B363">
            <v>177</v>
          </cell>
          <cell r="C363" t="str">
            <v>Servizi socio assistenziali - Q. Porto                      </v>
          </cell>
          <cell r="D363">
            <v>5</v>
          </cell>
          <cell r="E363">
            <v>6660</v>
          </cell>
          <cell r="F363" t="str">
            <v>Q.RI BUONI MENSA                                            </v>
          </cell>
          <cell r="G363">
            <v>0</v>
          </cell>
          <cell r="H363">
            <v>3658.24</v>
          </cell>
          <cell r="I363">
            <v>51645.69</v>
          </cell>
          <cell r="J363">
            <v>56810.26</v>
          </cell>
          <cell r="K363">
            <v>56810.26</v>
          </cell>
        </row>
        <row r="364">
          <cell r="A364" t="str">
            <v>CDG6 </v>
          </cell>
          <cell r="B364">
            <v>187</v>
          </cell>
          <cell r="C364" t="str">
            <v>Servi. socio assistenziali - Q. Reno                        </v>
          </cell>
          <cell r="D364">
            <v>5</v>
          </cell>
          <cell r="E364">
            <v>6660</v>
          </cell>
          <cell r="F364" t="str">
            <v>Q.RI BUONI MENSA                                            </v>
          </cell>
          <cell r="G364">
            <v>0</v>
          </cell>
          <cell r="H364">
            <v>4432.92</v>
          </cell>
          <cell r="I364">
            <v>51645.69</v>
          </cell>
          <cell r="J364">
            <v>56810.26</v>
          </cell>
          <cell r="K364">
            <v>55777.35</v>
          </cell>
        </row>
        <row r="365">
          <cell r="A365" t="str">
            <v>CDG6 </v>
          </cell>
          <cell r="B365">
            <v>197</v>
          </cell>
          <cell r="C365" t="str">
            <v>Servi. socio assistenz. - Q. San Donato                     </v>
          </cell>
          <cell r="D365">
            <v>5</v>
          </cell>
          <cell r="E365">
            <v>6660</v>
          </cell>
          <cell r="F365" t="str">
            <v>Q.RI BUONI MENSA                                            </v>
          </cell>
          <cell r="G365">
            <v>0</v>
          </cell>
          <cell r="H365">
            <v>2480.16</v>
          </cell>
          <cell r="I365">
            <v>27888.67</v>
          </cell>
          <cell r="J365">
            <v>35635.53</v>
          </cell>
          <cell r="K365">
            <v>35635.53</v>
          </cell>
        </row>
        <row r="366">
          <cell r="A366" t="str">
            <v>CDG6 </v>
          </cell>
          <cell r="B366">
            <v>207</v>
          </cell>
          <cell r="C366" t="str">
            <v>Servi. socio assistenz. - Q. S.Stefano                      </v>
          </cell>
          <cell r="D366">
            <v>5</v>
          </cell>
          <cell r="E366">
            <v>6660</v>
          </cell>
          <cell r="F366" t="str">
            <v>Q.RI BUONI MENSA                                            </v>
          </cell>
          <cell r="G366">
            <v>0</v>
          </cell>
          <cell r="H366">
            <v>4943.83</v>
          </cell>
          <cell r="I366">
            <v>56810.26</v>
          </cell>
          <cell r="J366">
            <v>61974.83</v>
          </cell>
          <cell r="K366">
            <v>61974.83</v>
          </cell>
        </row>
        <row r="367">
          <cell r="A367" t="str">
            <v>CDG6 </v>
          </cell>
          <cell r="B367">
            <v>217</v>
          </cell>
          <cell r="C367" t="str">
            <v>Servi. socio assistenz. - Q. San Vitale                     </v>
          </cell>
          <cell r="D367">
            <v>5</v>
          </cell>
          <cell r="E367">
            <v>6660</v>
          </cell>
          <cell r="F367" t="str">
            <v>Q.RI BUONI MENSA                                            </v>
          </cell>
          <cell r="G367">
            <v>0</v>
          </cell>
          <cell r="H367">
            <v>1936.71</v>
          </cell>
          <cell r="I367">
            <v>25822.84</v>
          </cell>
          <cell r="J367">
            <v>31839.57</v>
          </cell>
          <cell r="K367">
            <v>32020.33</v>
          </cell>
        </row>
        <row r="368">
          <cell r="A368" t="str">
            <v>CDG6 </v>
          </cell>
          <cell r="B368">
            <v>227</v>
          </cell>
          <cell r="C368" t="str">
            <v>Servi. socio assistenz. - Q. Saragozza                      </v>
          </cell>
          <cell r="D368">
            <v>5</v>
          </cell>
          <cell r="E368">
            <v>6660</v>
          </cell>
          <cell r="F368" t="str">
            <v>Q.RI BUONI MENSA                                            </v>
          </cell>
          <cell r="G368">
            <v>0</v>
          </cell>
          <cell r="H368">
            <v>5406.89</v>
          </cell>
          <cell r="I368">
            <v>64557.11</v>
          </cell>
          <cell r="J368">
            <v>64557</v>
          </cell>
          <cell r="K368">
            <v>64557.11</v>
          </cell>
        </row>
        <row r="369">
          <cell r="A369" t="str">
            <v>CDG6 </v>
          </cell>
          <cell r="B369">
            <v>237</v>
          </cell>
          <cell r="C369" t="str">
            <v>Servi. socio assistenziali - Q. Savena                      </v>
          </cell>
          <cell r="D369">
            <v>5</v>
          </cell>
          <cell r="E369">
            <v>6660</v>
          </cell>
          <cell r="F369" t="str">
            <v>Q.RI BUONI MENSA                                            </v>
          </cell>
          <cell r="G369">
            <v>0</v>
          </cell>
          <cell r="H369">
            <v>3943.01</v>
          </cell>
          <cell r="I369">
            <v>50612.78</v>
          </cell>
          <cell r="J369">
            <v>52663</v>
          </cell>
          <cell r="K369">
            <v>52663.11</v>
          </cell>
        </row>
        <row r="370">
          <cell r="A370" t="str">
            <v>CDG6 </v>
          </cell>
          <cell r="B370">
            <v>157</v>
          </cell>
          <cell r="C370" t="str">
            <v>Servizi socio assistenziali - Q. Borgo                      </v>
          </cell>
          <cell r="D370">
            <v>5</v>
          </cell>
          <cell r="E370">
            <v>6909</v>
          </cell>
          <cell r="F370" t="str">
            <v>Q.RI CASE PROTETTE E RSA                                    </v>
          </cell>
          <cell r="G370">
            <v>0</v>
          </cell>
          <cell r="H370">
            <v>0</v>
          </cell>
          <cell r="I370">
            <v>144607.93</v>
          </cell>
          <cell r="J370">
            <v>154937.07</v>
          </cell>
          <cell r="K370">
            <v>154937.07</v>
          </cell>
        </row>
        <row r="371">
          <cell r="A371" t="str">
            <v>CDG6 </v>
          </cell>
          <cell r="B371">
            <v>167</v>
          </cell>
          <cell r="C371" t="str">
            <v>Servizi socio assistenziali - Q. Navile                     </v>
          </cell>
          <cell r="D371">
            <v>5</v>
          </cell>
          <cell r="E371">
            <v>6909</v>
          </cell>
          <cell r="F371" t="str">
            <v>Q.RI CASE PROTETTE E RSA                                    </v>
          </cell>
          <cell r="G371">
            <v>0</v>
          </cell>
          <cell r="H371">
            <v>49974.59</v>
          </cell>
          <cell r="I371">
            <v>602705.2</v>
          </cell>
          <cell r="J371">
            <v>601672.29</v>
          </cell>
          <cell r="K371">
            <v>601672.29</v>
          </cell>
        </row>
        <row r="372">
          <cell r="A372" t="str">
            <v>CDG6 </v>
          </cell>
          <cell r="B372">
            <v>177</v>
          </cell>
          <cell r="C372" t="str">
            <v>Servizi socio assistenziali - Q. Porto                      </v>
          </cell>
          <cell r="D372">
            <v>5</v>
          </cell>
          <cell r="E372">
            <v>6909</v>
          </cell>
          <cell r="F372" t="str">
            <v>Q.RI CASE PROTETTE E RSA                                    </v>
          </cell>
          <cell r="G372">
            <v>0</v>
          </cell>
          <cell r="H372">
            <v>22379.8</v>
          </cell>
          <cell r="I372">
            <v>284051.29</v>
          </cell>
          <cell r="J372">
            <v>284051.29</v>
          </cell>
          <cell r="K372">
            <v>284051.29</v>
          </cell>
        </row>
        <row r="373">
          <cell r="A373" t="str">
            <v>CDG6 </v>
          </cell>
          <cell r="B373">
            <v>187</v>
          </cell>
          <cell r="C373" t="str">
            <v>Servi. socio assistenziali - Q. Reno                        </v>
          </cell>
          <cell r="D373">
            <v>5</v>
          </cell>
          <cell r="E373">
            <v>6909</v>
          </cell>
          <cell r="F373" t="str">
            <v>Q.RI CASE PROTETTE E RSA                                    </v>
          </cell>
          <cell r="G373">
            <v>0</v>
          </cell>
          <cell r="H373">
            <v>7101.28</v>
          </cell>
          <cell r="I373">
            <v>129114.22</v>
          </cell>
          <cell r="J373">
            <v>129114.22</v>
          </cell>
          <cell r="K373">
            <v>129114.22</v>
          </cell>
        </row>
        <row r="374">
          <cell r="A374" t="str">
            <v>CDG6 </v>
          </cell>
          <cell r="B374">
            <v>197</v>
          </cell>
          <cell r="C374" t="str">
            <v>Servi. socio assistenz. - Q. San Donato                     </v>
          </cell>
          <cell r="D374">
            <v>5</v>
          </cell>
          <cell r="E374">
            <v>6909</v>
          </cell>
          <cell r="F374" t="str">
            <v>Q.RI CASE PROTETTE E RSA                                    </v>
          </cell>
          <cell r="G374">
            <v>0</v>
          </cell>
          <cell r="H374">
            <v>18398.78</v>
          </cell>
          <cell r="I374">
            <v>196253.62</v>
          </cell>
          <cell r="J374">
            <v>222076.47</v>
          </cell>
          <cell r="K374">
            <v>222076.47</v>
          </cell>
        </row>
        <row r="375">
          <cell r="A375" t="str">
            <v>CDG6 </v>
          </cell>
          <cell r="B375">
            <v>207</v>
          </cell>
          <cell r="C375" t="str">
            <v>Servi. socio assistenz. - Q. S.Stefano                      </v>
          </cell>
          <cell r="D375">
            <v>5</v>
          </cell>
          <cell r="E375">
            <v>6909</v>
          </cell>
          <cell r="F375" t="str">
            <v>Q.RI CASE PROTETTE E RSA                                    </v>
          </cell>
          <cell r="G375">
            <v>0</v>
          </cell>
          <cell r="H375">
            <v>27544.37</v>
          </cell>
          <cell r="I375">
            <v>183858.66</v>
          </cell>
          <cell r="J375">
            <v>235504.35</v>
          </cell>
          <cell r="K375">
            <v>235504.35</v>
          </cell>
        </row>
        <row r="376">
          <cell r="A376" t="str">
            <v>CDG6 </v>
          </cell>
          <cell r="B376">
            <v>217</v>
          </cell>
          <cell r="C376" t="str">
            <v>Servi. socio assistenz. - Q. San Vitale                     </v>
          </cell>
          <cell r="D376">
            <v>5</v>
          </cell>
          <cell r="E376">
            <v>6909</v>
          </cell>
          <cell r="F376" t="str">
            <v>Q.RI CASE PROTETTE E RSA                                    </v>
          </cell>
          <cell r="G376">
            <v>0</v>
          </cell>
          <cell r="H376">
            <v>35638.52</v>
          </cell>
          <cell r="I376">
            <v>516456.9</v>
          </cell>
          <cell r="J376">
            <v>398188.27</v>
          </cell>
          <cell r="K376">
            <v>398188.27</v>
          </cell>
        </row>
        <row r="377">
          <cell r="A377" t="str">
            <v>CDG6 </v>
          </cell>
          <cell r="B377">
            <v>227</v>
          </cell>
          <cell r="C377" t="str">
            <v>Servi. socio assistenz. - Q. Saragozza                      </v>
          </cell>
          <cell r="D377">
            <v>5</v>
          </cell>
          <cell r="E377">
            <v>6909</v>
          </cell>
          <cell r="F377" t="str">
            <v>Q.RI CASE PROTETTE E RSA                                    </v>
          </cell>
          <cell r="G377">
            <v>0</v>
          </cell>
          <cell r="H377">
            <v>38088.7</v>
          </cell>
          <cell r="I377">
            <v>516456.9</v>
          </cell>
          <cell r="J377">
            <v>516457</v>
          </cell>
          <cell r="K377">
            <v>516456.9</v>
          </cell>
        </row>
        <row r="378">
          <cell r="A378" t="str">
            <v>CDG6 </v>
          </cell>
          <cell r="B378">
            <v>237</v>
          </cell>
          <cell r="C378" t="str">
            <v>Servi. socio assistenziali - Q. Savena                      </v>
          </cell>
          <cell r="D378">
            <v>5</v>
          </cell>
          <cell r="E378">
            <v>6909</v>
          </cell>
          <cell r="F378" t="str">
            <v>Q.RI CASE PROTETTE E RSA                                    </v>
          </cell>
          <cell r="G378">
            <v>0</v>
          </cell>
          <cell r="H378">
            <v>31953.14</v>
          </cell>
          <cell r="I378">
            <v>507677.13</v>
          </cell>
          <cell r="J378">
            <v>480305</v>
          </cell>
          <cell r="K378">
            <v>480304.92</v>
          </cell>
        </row>
        <row r="379">
          <cell r="A379" t="str">
            <v>CDG6 </v>
          </cell>
          <cell r="B379">
            <v>157</v>
          </cell>
          <cell r="C379" t="str">
            <v>Servizi socio assistenziali - Q. Borgo                      </v>
          </cell>
          <cell r="D379">
            <v>5</v>
          </cell>
          <cell r="E379">
            <v>6910</v>
          </cell>
          <cell r="F379" t="str">
            <v>Q.RI TELESOCCORSO                                           </v>
          </cell>
          <cell r="G379">
            <v>0</v>
          </cell>
          <cell r="H379">
            <v>731.65</v>
          </cell>
          <cell r="I379">
            <v>12911.42</v>
          </cell>
          <cell r="J379">
            <v>10329.14</v>
          </cell>
          <cell r="K379">
            <v>10329.14</v>
          </cell>
        </row>
        <row r="380">
          <cell r="A380" t="str">
            <v>CDG6 </v>
          </cell>
          <cell r="B380">
            <v>167</v>
          </cell>
          <cell r="C380" t="str">
            <v>Servizi socio assistenziali - Q. Navile                     </v>
          </cell>
          <cell r="D380">
            <v>5</v>
          </cell>
          <cell r="E380">
            <v>6910</v>
          </cell>
          <cell r="F380" t="str">
            <v>Q.RI TELESOCCORSO                                           </v>
          </cell>
          <cell r="G380">
            <v>0</v>
          </cell>
          <cell r="H380">
            <v>1291.14</v>
          </cell>
          <cell r="I380">
            <v>18075.99</v>
          </cell>
          <cell r="J380">
            <v>18592.45</v>
          </cell>
          <cell r="K380">
            <v>18592.45</v>
          </cell>
        </row>
        <row r="381">
          <cell r="A381" t="str">
            <v>CDG6 </v>
          </cell>
          <cell r="B381">
            <v>177</v>
          </cell>
          <cell r="C381" t="str">
            <v>Servizi socio assistenziali - Q. Porto                      </v>
          </cell>
          <cell r="D381">
            <v>5</v>
          </cell>
          <cell r="E381">
            <v>6910</v>
          </cell>
          <cell r="F381" t="str">
            <v>Q.RI TELESOCCORSO                                           </v>
          </cell>
          <cell r="G381">
            <v>0</v>
          </cell>
          <cell r="H381">
            <v>645.57</v>
          </cell>
          <cell r="I381">
            <v>10329.14</v>
          </cell>
          <cell r="J381">
            <v>10329.14</v>
          </cell>
          <cell r="K381">
            <v>10329.14</v>
          </cell>
        </row>
        <row r="382">
          <cell r="A382" t="str">
            <v>CDG6 </v>
          </cell>
          <cell r="B382">
            <v>187</v>
          </cell>
          <cell r="C382" t="str">
            <v>Servi. socio assistenziali - Q. Reno                        </v>
          </cell>
          <cell r="D382">
            <v>5</v>
          </cell>
          <cell r="E382">
            <v>6910</v>
          </cell>
          <cell r="F382" t="str">
            <v>Q.RI TELESOCCORSO                                           </v>
          </cell>
          <cell r="G382">
            <v>0</v>
          </cell>
          <cell r="H382">
            <v>1721.52</v>
          </cell>
          <cell r="I382">
            <v>20658.28</v>
          </cell>
          <cell r="J382">
            <v>18592.45</v>
          </cell>
          <cell r="K382">
            <v>18592.45</v>
          </cell>
        </row>
        <row r="383">
          <cell r="A383" t="str">
            <v>CDG6 </v>
          </cell>
          <cell r="B383">
            <v>197</v>
          </cell>
          <cell r="C383" t="str">
            <v>Servi. socio assistenz. - Q. San Donato                     </v>
          </cell>
          <cell r="D383">
            <v>5</v>
          </cell>
          <cell r="E383">
            <v>6910</v>
          </cell>
          <cell r="F383" t="str">
            <v>Q.RI TELESOCCORSO                                           </v>
          </cell>
          <cell r="G383">
            <v>0</v>
          </cell>
          <cell r="H383">
            <v>581.01</v>
          </cell>
          <cell r="I383">
            <v>6713.94</v>
          </cell>
          <cell r="J383">
            <v>4131.66</v>
          </cell>
          <cell r="K383">
            <v>4131.66</v>
          </cell>
        </row>
        <row r="384">
          <cell r="A384" t="str">
            <v>CDG6 </v>
          </cell>
          <cell r="B384">
            <v>207</v>
          </cell>
          <cell r="C384" t="str">
            <v>Servi. socio assistenz. - Q. S.Stefano                      </v>
          </cell>
          <cell r="D384">
            <v>5</v>
          </cell>
          <cell r="E384">
            <v>6910</v>
          </cell>
          <cell r="F384" t="str">
            <v>Q.RI TELESOCCORSO                                           </v>
          </cell>
          <cell r="G384">
            <v>0</v>
          </cell>
          <cell r="H384">
            <v>1764.56</v>
          </cell>
          <cell r="I384">
            <v>25822.84</v>
          </cell>
          <cell r="J384">
            <v>26855.76</v>
          </cell>
          <cell r="K384">
            <v>26855.76</v>
          </cell>
        </row>
        <row r="385">
          <cell r="A385" t="str">
            <v>CDG6 </v>
          </cell>
          <cell r="B385">
            <v>217</v>
          </cell>
          <cell r="C385" t="str">
            <v>Servi. socio assistenz. - Q. San Vitale                     </v>
          </cell>
          <cell r="D385">
            <v>5</v>
          </cell>
          <cell r="E385">
            <v>6910</v>
          </cell>
          <cell r="F385" t="str">
            <v>Q.RI TELESOCCORSO                                           </v>
          </cell>
          <cell r="G385">
            <v>0</v>
          </cell>
          <cell r="H385">
            <v>774.69</v>
          </cell>
          <cell r="I385">
            <v>10329.14</v>
          </cell>
          <cell r="J385">
            <v>13737.75</v>
          </cell>
          <cell r="K385">
            <v>13944.34</v>
          </cell>
        </row>
        <row r="386">
          <cell r="A386" t="str">
            <v>CDG6 </v>
          </cell>
          <cell r="B386">
            <v>227</v>
          </cell>
          <cell r="C386" t="str">
            <v>Servi. socio assistenz. - Q. Saragozza                      </v>
          </cell>
          <cell r="D386">
            <v>5</v>
          </cell>
          <cell r="E386">
            <v>6910</v>
          </cell>
          <cell r="F386" t="str">
            <v>Q.RI TELESOCCORSO                                           </v>
          </cell>
          <cell r="G386">
            <v>0</v>
          </cell>
          <cell r="H386">
            <v>2302.54</v>
          </cell>
          <cell r="I386">
            <v>28405.13</v>
          </cell>
          <cell r="J386">
            <v>28405</v>
          </cell>
          <cell r="K386">
            <v>28405.13</v>
          </cell>
        </row>
        <row r="387">
          <cell r="A387" t="str">
            <v>CDG6 </v>
          </cell>
          <cell r="B387">
            <v>237</v>
          </cell>
          <cell r="C387" t="str">
            <v>Servi. socio assistenziali - Q. Savena                      </v>
          </cell>
          <cell r="D387">
            <v>5</v>
          </cell>
          <cell r="E387">
            <v>6910</v>
          </cell>
          <cell r="F387" t="str">
            <v>Q.RI TELESOCCORSO                                           </v>
          </cell>
          <cell r="G387">
            <v>0</v>
          </cell>
          <cell r="H387">
            <v>2797.48</v>
          </cell>
          <cell r="I387">
            <v>36151.98</v>
          </cell>
          <cell r="J387">
            <v>37237</v>
          </cell>
          <cell r="K387">
            <v>37236.54</v>
          </cell>
        </row>
        <row r="388">
          <cell r="A388" t="str">
            <v>CDG6 </v>
          </cell>
          <cell r="B388">
            <v>157</v>
          </cell>
          <cell r="C388" t="str">
            <v>Servizi socio assistenziali - Q. Borgo                      </v>
          </cell>
          <cell r="D388">
            <v>5</v>
          </cell>
          <cell r="E388">
            <v>6911</v>
          </cell>
          <cell r="F388" t="str">
            <v>Q.RI ALTRI SERVIZI SOCIOASSISTENZIALI                       </v>
          </cell>
          <cell r="G388">
            <v>0</v>
          </cell>
          <cell r="H388">
            <v>5379.76</v>
          </cell>
          <cell r="I388">
            <v>67139.4</v>
          </cell>
          <cell r="J388">
            <v>63524.2</v>
          </cell>
          <cell r="K388">
            <v>63524.2</v>
          </cell>
        </row>
        <row r="389">
          <cell r="A389" t="str">
            <v>CDG6 </v>
          </cell>
          <cell r="B389">
            <v>167</v>
          </cell>
          <cell r="C389" t="str">
            <v>Servizi socio assistenziali - Q. Navile                     </v>
          </cell>
          <cell r="D389">
            <v>5</v>
          </cell>
          <cell r="E389">
            <v>6911</v>
          </cell>
          <cell r="F389" t="str">
            <v>Q.RI ALTRI SERVIZI SOCIOASSISTENZIALI                       </v>
          </cell>
          <cell r="G389">
            <v>0</v>
          </cell>
          <cell r="H389">
            <v>19087.39</v>
          </cell>
          <cell r="I389">
            <v>224142.29</v>
          </cell>
          <cell r="J389">
            <v>229823.32</v>
          </cell>
          <cell r="K389">
            <v>229823.32</v>
          </cell>
        </row>
        <row r="390">
          <cell r="A390" t="str">
            <v>CDG6 </v>
          </cell>
          <cell r="B390">
            <v>177</v>
          </cell>
          <cell r="C390" t="str">
            <v>Servizi socio assistenziali - Q. Porto                      </v>
          </cell>
          <cell r="D390">
            <v>5</v>
          </cell>
          <cell r="E390">
            <v>6911</v>
          </cell>
          <cell r="F390" t="str">
            <v>Q.RI ALTRI SERVIZI SOCIOASSISTENZIALI                       </v>
          </cell>
          <cell r="G390">
            <v>0</v>
          </cell>
          <cell r="H390">
            <v>10724.57</v>
          </cell>
          <cell r="I390">
            <v>124046.75</v>
          </cell>
          <cell r="J390">
            <v>118785.09</v>
          </cell>
          <cell r="K390">
            <v>118785.09</v>
          </cell>
        </row>
        <row r="391">
          <cell r="A391" t="str">
            <v>CDG6 </v>
          </cell>
          <cell r="B391">
            <v>187</v>
          </cell>
          <cell r="C391" t="str">
            <v>Servi. socio assistenziali - Q. Reno                        </v>
          </cell>
          <cell r="D391">
            <v>5</v>
          </cell>
          <cell r="E391">
            <v>6911</v>
          </cell>
          <cell r="F391" t="str">
            <v>Q.RI ALTRI SERVIZI SOCIOASSISTENZIALI                       </v>
          </cell>
          <cell r="G391">
            <v>0</v>
          </cell>
          <cell r="H391">
            <v>7639.26</v>
          </cell>
          <cell r="I391">
            <v>87797.67</v>
          </cell>
          <cell r="J391">
            <v>90379.96</v>
          </cell>
          <cell r="K391">
            <v>87797.67</v>
          </cell>
        </row>
        <row r="392">
          <cell r="A392" t="str">
            <v>CDG6 </v>
          </cell>
          <cell r="B392">
            <v>197</v>
          </cell>
          <cell r="C392" t="str">
            <v>Servi. socio assistenz. - Q. San Donato                     </v>
          </cell>
          <cell r="D392">
            <v>5</v>
          </cell>
          <cell r="E392">
            <v>6911</v>
          </cell>
          <cell r="F392" t="str">
            <v>Q.RI ALTRI SERVIZI SOCIOASSISTENZIALI                       </v>
          </cell>
          <cell r="G392">
            <v>0</v>
          </cell>
          <cell r="H392">
            <v>10494.83</v>
          </cell>
          <cell r="I392">
            <v>116202.8</v>
          </cell>
          <cell r="J392">
            <v>123949.66</v>
          </cell>
          <cell r="K392">
            <v>123949.66</v>
          </cell>
        </row>
        <row r="393">
          <cell r="A393" t="str">
            <v>CDG6 </v>
          </cell>
          <cell r="B393">
            <v>207</v>
          </cell>
          <cell r="C393" t="str">
            <v>Servi. socio assistenz. - Q. S.Stefano                      </v>
          </cell>
          <cell r="D393">
            <v>5</v>
          </cell>
          <cell r="E393">
            <v>6911</v>
          </cell>
          <cell r="F393" t="str">
            <v>Q.RI ALTRI SERVIZI SOCIOASSISTENZIALI                       </v>
          </cell>
          <cell r="G393">
            <v>0</v>
          </cell>
          <cell r="H393">
            <v>15482.85</v>
          </cell>
          <cell r="I393">
            <v>190056.14</v>
          </cell>
          <cell r="J393">
            <v>195737.16</v>
          </cell>
          <cell r="K393">
            <v>195737.16</v>
          </cell>
        </row>
        <row r="394">
          <cell r="A394" t="str">
            <v>CDG6 </v>
          </cell>
          <cell r="B394">
            <v>217</v>
          </cell>
          <cell r="C394" t="str">
            <v>Servi. socio assistenz. - Q. San Vitale                     </v>
          </cell>
          <cell r="D394">
            <v>5</v>
          </cell>
          <cell r="E394">
            <v>6911</v>
          </cell>
          <cell r="F394" t="str">
            <v>Q.RI ALTRI SERVIZI SOCIOASSISTENZIALI                       </v>
          </cell>
          <cell r="G394">
            <v>0</v>
          </cell>
          <cell r="H394">
            <v>8951.92</v>
          </cell>
          <cell r="I394">
            <v>99676.18</v>
          </cell>
          <cell r="J394">
            <v>108863.95</v>
          </cell>
          <cell r="K394">
            <v>108972.41</v>
          </cell>
        </row>
        <row r="395">
          <cell r="A395" t="str">
            <v>CDG6 </v>
          </cell>
          <cell r="B395">
            <v>227</v>
          </cell>
          <cell r="C395" t="str">
            <v>Servi. socio assistenz. - Q. Saragozza                      </v>
          </cell>
          <cell r="D395">
            <v>5</v>
          </cell>
          <cell r="E395">
            <v>6911</v>
          </cell>
          <cell r="F395" t="str">
            <v>Q.RI ALTRI SERVIZI SOCIOASSISTENZIALI                       </v>
          </cell>
          <cell r="G395">
            <v>0</v>
          </cell>
          <cell r="H395">
            <v>13228.59</v>
          </cell>
          <cell r="I395">
            <v>152354.79</v>
          </cell>
          <cell r="J395">
            <v>174562</v>
          </cell>
          <cell r="K395">
            <v>174562.43</v>
          </cell>
        </row>
        <row r="396">
          <cell r="A396" t="str">
            <v>CDG6 </v>
          </cell>
          <cell r="B396">
            <v>237</v>
          </cell>
          <cell r="C396" t="str">
            <v>Servi. socio assistenziali - Q. Savena                      </v>
          </cell>
          <cell r="D396">
            <v>5</v>
          </cell>
          <cell r="E396">
            <v>6911</v>
          </cell>
          <cell r="F396" t="str">
            <v>Q.RI ALTRI SERVIZI SOCIOASSISTENZIALI                       </v>
          </cell>
          <cell r="G396">
            <v>0</v>
          </cell>
          <cell r="H396">
            <v>17043.08</v>
          </cell>
          <cell r="I396">
            <v>255129.71</v>
          </cell>
          <cell r="J396">
            <v>257855</v>
          </cell>
          <cell r="K396">
            <v>229919.9</v>
          </cell>
        </row>
        <row r="397">
          <cell r="A397" t="str">
            <v>CDG6 </v>
          </cell>
          <cell r="B397">
            <v>157</v>
          </cell>
          <cell r="C397" t="str">
            <v>Servizi socio assistenziali - Q. Borgo                      </v>
          </cell>
          <cell r="D397">
            <v>5</v>
          </cell>
          <cell r="E397">
            <v>6974</v>
          </cell>
          <cell r="F397" t="str">
            <v>Q.RI AIUTO ALL'AUTONOMIA                                    </v>
          </cell>
          <cell r="G397">
            <v>0</v>
          </cell>
          <cell r="H397">
            <v>0</v>
          </cell>
          <cell r="I397">
            <v>7746.85</v>
          </cell>
          <cell r="J397">
            <v>7746.85</v>
          </cell>
          <cell r="K397">
            <v>7746.85</v>
          </cell>
        </row>
        <row r="398">
          <cell r="A398" t="str">
            <v>CDG6 </v>
          </cell>
          <cell r="B398">
            <v>167</v>
          </cell>
          <cell r="C398" t="str">
            <v>Servizi socio assistenziali - Q. Navile                     </v>
          </cell>
          <cell r="D398">
            <v>5</v>
          </cell>
          <cell r="E398">
            <v>6974</v>
          </cell>
          <cell r="F398" t="str">
            <v>Q.RI AIUTO ALL'AUTONOMIA                                    </v>
          </cell>
          <cell r="G398">
            <v>0</v>
          </cell>
          <cell r="H398">
            <v>1850.64</v>
          </cell>
          <cell r="I398">
            <v>20658.28</v>
          </cell>
          <cell r="J398">
            <v>20658.28</v>
          </cell>
          <cell r="K398">
            <v>20658.28</v>
          </cell>
        </row>
        <row r="399">
          <cell r="A399" t="str">
            <v>CDG6 </v>
          </cell>
          <cell r="B399">
            <v>177</v>
          </cell>
          <cell r="C399" t="str">
            <v>Servizi socio assistenziali - Q. Porto                      </v>
          </cell>
          <cell r="D399">
            <v>5</v>
          </cell>
          <cell r="E399">
            <v>6974</v>
          </cell>
          <cell r="F399" t="str">
            <v>Q.RI AIUTO ALL'AUTONOMIA                                    </v>
          </cell>
          <cell r="G399">
            <v>0</v>
          </cell>
          <cell r="H399">
            <v>731.65</v>
          </cell>
          <cell r="I399">
            <v>20658.28</v>
          </cell>
          <cell r="J399">
            <v>15493.71</v>
          </cell>
          <cell r="K399">
            <v>15493.71</v>
          </cell>
        </row>
        <row r="400">
          <cell r="A400" t="str">
            <v>CDG6 </v>
          </cell>
          <cell r="B400">
            <v>187</v>
          </cell>
          <cell r="C400" t="str">
            <v>Servi. socio assistenziali - Q. Reno                        </v>
          </cell>
          <cell r="D400">
            <v>5</v>
          </cell>
          <cell r="E400">
            <v>6974</v>
          </cell>
          <cell r="F400" t="str">
            <v>Q.RI AIUTO ALL'AUTONOMIA                                    </v>
          </cell>
          <cell r="G400">
            <v>0</v>
          </cell>
          <cell r="H400">
            <v>0</v>
          </cell>
          <cell r="I400">
            <v>10329.14</v>
          </cell>
          <cell r="J400">
            <v>7746.85</v>
          </cell>
          <cell r="K400">
            <v>7746.85</v>
          </cell>
        </row>
        <row r="401">
          <cell r="A401" t="str">
            <v>CDG6 </v>
          </cell>
          <cell r="B401">
            <v>197</v>
          </cell>
          <cell r="C401" t="str">
            <v>Servi. socio assistenz. - Q. San Donato                     </v>
          </cell>
          <cell r="D401">
            <v>5</v>
          </cell>
          <cell r="E401">
            <v>6974</v>
          </cell>
          <cell r="F401" t="str">
            <v>Q.RI AIUTO ALL'AUTONOMIA                                    </v>
          </cell>
          <cell r="G401">
            <v>0</v>
          </cell>
          <cell r="H401">
            <v>1444.92</v>
          </cell>
          <cell r="I401">
            <v>15493.71</v>
          </cell>
          <cell r="J401">
            <v>7746.85</v>
          </cell>
          <cell r="K401">
            <v>15493.71</v>
          </cell>
        </row>
        <row r="402">
          <cell r="A402" t="str">
            <v>CDG6 </v>
          </cell>
          <cell r="B402">
            <v>207</v>
          </cell>
          <cell r="C402" t="str">
            <v>Servi. socio assistenz. - Q. S.Stefano                      </v>
          </cell>
          <cell r="D402">
            <v>5</v>
          </cell>
          <cell r="E402">
            <v>6974</v>
          </cell>
          <cell r="F402" t="str">
            <v>Q.RI AIUTO ALL'AUTONOMIA                                    </v>
          </cell>
          <cell r="G402">
            <v>0</v>
          </cell>
          <cell r="H402">
            <v>834.94</v>
          </cell>
          <cell r="I402">
            <v>18592.45</v>
          </cell>
          <cell r="J402">
            <v>19108.91</v>
          </cell>
          <cell r="K402">
            <v>19108.91</v>
          </cell>
        </row>
        <row r="403">
          <cell r="A403" t="str">
            <v>CDG6 </v>
          </cell>
          <cell r="B403">
            <v>217</v>
          </cell>
          <cell r="C403" t="str">
            <v>Servi. socio assistenz. - Q. San Vitale                     </v>
          </cell>
          <cell r="D403">
            <v>5</v>
          </cell>
          <cell r="E403">
            <v>6974</v>
          </cell>
          <cell r="F403" t="str">
            <v>Q.RI AIUTO ALL'AUTONOMIA                                    </v>
          </cell>
          <cell r="G403">
            <v>0</v>
          </cell>
          <cell r="H403">
            <v>3012.67</v>
          </cell>
          <cell r="I403">
            <v>77468.53</v>
          </cell>
          <cell r="J403">
            <v>36733.51</v>
          </cell>
          <cell r="K403">
            <v>36668.44</v>
          </cell>
        </row>
        <row r="404">
          <cell r="A404" t="str">
            <v>CDG6 </v>
          </cell>
          <cell r="B404">
            <v>227</v>
          </cell>
          <cell r="C404" t="str">
            <v>Servi. socio assistenz. - Q. Saragozza                      </v>
          </cell>
          <cell r="D404">
            <v>5</v>
          </cell>
          <cell r="E404">
            <v>6974</v>
          </cell>
          <cell r="F404" t="str">
            <v>Q.RI AIUTO ALL'AUTONOMIA                                    </v>
          </cell>
          <cell r="G404">
            <v>0</v>
          </cell>
          <cell r="H404">
            <v>1291.14</v>
          </cell>
          <cell r="I404">
            <v>41316.55</v>
          </cell>
          <cell r="J404">
            <v>41317</v>
          </cell>
          <cell r="K404">
            <v>41316.55</v>
          </cell>
        </row>
        <row r="405">
          <cell r="A405" t="str">
            <v>CDG6 </v>
          </cell>
          <cell r="B405">
            <v>237</v>
          </cell>
          <cell r="C405" t="str">
            <v>Servi. socio assistenziali - Q. Savena                      </v>
          </cell>
          <cell r="D405">
            <v>5</v>
          </cell>
          <cell r="E405">
            <v>6974</v>
          </cell>
          <cell r="F405" t="str">
            <v>Q.RI AIUTO ALL'AUTONOMIA                                    </v>
          </cell>
          <cell r="G405">
            <v>0</v>
          </cell>
          <cell r="H405">
            <v>430.38</v>
          </cell>
          <cell r="I405">
            <v>20658.28</v>
          </cell>
          <cell r="J405">
            <v>20658</v>
          </cell>
          <cell r="K405">
            <v>20658.28</v>
          </cell>
        </row>
        <row r="406">
          <cell r="A406" t="str">
            <v>CDG6 </v>
          </cell>
          <cell r="B406">
            <v>167</v>
          </cell>
          <cell r="C406" t="str">
            <v>Servizi socio assistenziali - Q. Navile                     </v>
          </cell>
          <cell r="D406">
            <v>5</v>
          </cell>
          <cell r="E406">
            <v>6978</v>
          </cell>
          <cell r="F406" t="str">
            <v>Q.RI SERVIZI MINORI                                         </v>
          </cell>
          <cell r="G406">
            <v>0</v>
          </cell>
          <cell r="H406">
            <v>0</v>
          </cell>
          <cell r="I406">
            <v>42865.92</v>
          </cell>
          <cell r="J406">
            <v>0</v>
          </cell>
          <cell r="K406">
            <v>0</v>
          </cell>
        </row>
        <row r="407">
          <cell r="A407" t="str">
            <v>CDG6 </v>
          </cell>
          <cell r="B407">
            <v>197</v>
          </cell>
          <cell r="C407" t="str">
            <v>Servi. socio assistenz. - Q. San Donato                     </v>
          </cell>
          <cell r="D407">
            <v>5</v>
          </cell>
          <cell r="E407">
            <v>6978</v>
          </cell>
          <cell r="F407" t="str">
            <v>Q.RI SERVIZI MINORI                                         </v>
          </cell>
          <cell r="G407">
            <v>0</v>
          </cell>
          <cell r="H407">
            <v>0</v>
          </cell>
          <cell r="I407">
            <v>44931.75</v>
          </cell>
          <cell r="J407">
            <v>0</v>
          </cell>
          <cell r="K407">
            <v>0</v>
          </cell>
        </row>
        <row r="408">
          <cell r="A408" t="str">
            <v>CDG6 </v>
          </cell>
          <cell r="B408">
            <v>217</v>
          </cell>
          <cell r="C408" t="str">
            <v>Servi. socio assistenz. - Q. San Vitale                     </v>
          </cell>
          <cell r="D408">
            <v>5</v>
          </cell>
          <cell r="E408">
            <v>6978</v>
          </cell>
          <cell r="F408" t="str">
            <v>Q.RI SERVIZI MINORI                                         </v>
          </cell>
          <cell r="G408">
            <v>0</v>
          </cell>
          <cell r="H408">
            <v>0</v>
          </cell>
          <cell r="I408">
            <v>42142.88</v>
          </cell>
          <cell r="J408">
            <v>0</v>
          </cell>
          <cell r="K40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W4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8515625" style="3" customWidth="1"/>
    <col min="2" max="2" width="47.140625" style="3" bestFit="1" customWidth="1"/>
    <col min="3" max="3" width="0.5625" style="0" customWidth="1"/>
    <col min="4" max="4" width="9.57421875" style="4" customWidth="1"/>
    <col min="5" max="5" width="8.57421875" style="4" customWidth="1"/>
    <col min="6" max="6" width="10.7109375" style="4" customWidth="1"/>
    <col min="7" max="7" width="8.57421875" style="4" customWidth="1"/>
    <col min="8" max="8" width="9.57421875" style="4" customWidth="1"/>
    <col min="9" max="9" width="8.57421875" style="4" customWidth="1"/>
    <col min="10" max="10" width="9.57421875" style="4" customWidth="1"/>
    <col min="11" max="11" width="8.57421875" style="4" customWidth="1"/>
    <col min="12" max="12" width="9.57421875" style="1" bestFit="1" customWidth="1"/>
    <col min="13" max="13" width="8.57421875" style="0" bestFit="1" customWidth="1"/>
    <col min="14" max="14" width="9.57421875" style="4" customWidth="1"/>
    <col min="15" max="15" width="8.57421875" style="1" customWidth="1"/>
    <col min="16" max="16" width="9.57421875" style="4" customWidth="1"/>
    <col min="17" max="17" width="8.57421875" style="1" customWidth="1"/>
    <col min="18" max="18" width="9.57421875" style="4" customWidth="1"/>
    <col min="19" max="19" width="8.57421875" style="1" customWidth="1"/>
    <col min="20" max="20" width="9.57421875" style="4" customWidth="1"/>
    <col min="21" max="21" width="8.57421875" style="1" customWidth="1"/>
  </cols>
  <sheetData>
    <row r="1" spans="1:21" s="2" customFormat="1" ht="24" customHeight="1">
      <c r="A1" s="82" t="s">
        <v>118</v>
      </c>
      <c r="B1" s="3"/>
      <c r="C1"/>
      <c r="D1" s="4"/>
      <c r="F1" s="114" t="s">
        <v>6</v>
      </c>
      <c r="G1" s="4"/>
      <c r="H1" s="4"/>
      <c r="I1" s="4"/>
      <c r="J1" s="4"/>
      <c r="K1" s="4"/>
      <c r="L1" s="1"/>
      <c r="M1"/>
      <c r="N1" s="4"/>
      <c r="O1" s="1"/>
      <c r="P1" s="4"/>
      <c r="Q1" s="1"/>
      <c r="R1" s="4"/>
      <c r="S1" s="1"/>
      <c r="T1" s="4"/>
      <c r="U1" s="1"/>
    </row>
    <row r="2" spans="1:21" s="2" customFormat="1" ht="5.25" customHeight="1">
      <c r="A2" s="5"/>
      <c r="B2" s="5"/>
      <c r="C2"/>
      <c r="D2" s="4"/>
      <c r="E2" s="4"/>
      <c r="F2" s="66"/>
      <c r="G2" s="84"/>
      <c r="H2" s="85"/>
      <c r="I2" s="85"/>
      <c r="J2" s="85"/>
      <c r="K2" s="83"/>
      <c r="L2" s="11"/>
      <c r="M2" s="106"/>
      <c r="N2" s="106"/>
      <c r="O2" s="1"/>
      <c r="P2" s="106"/>
      <c r="Q2" s="1"/>
      <c r="R2" s="106"/>
      <c r="S2" s="1"/>
      <c r="T2" s="106"/>
      <c r="U2" s="1"/>
    </row>
    <row r="3" spans="1:21" s="2" customFormat="1" ht="12.75">
      <c r="A3" s="86" t="s">
        <v>11</v>
      </c>
      <c r="B3" s="5"/>
      <c r="C3"/>
      <c r="D3" s="4"/>
      <c r="E3" s="4"/>
      <c r="F3" s="4"/>
      <c r="G3" s="4"/>
      <c r="H3" s="4"/>
      <c r="I3" s="4"/>
      <c r="J3" s="4"/>
      <c r="K3" s="4"/>
      <c r="L3" s="1"/>
      <c r="M3" s="106"/>
      <c r="N3" s="106"/>
      <c r="O3" s="1"/>
      <c r="P3" s="106"/>
      <c r="Q3" s="1"/>
      <c r="R3" s="106"/>
      <c r="S3" s="1"/>
      <c r="T3" s="106"/>
      <c r="U3" s="1"/>
    </row>
    <row r="4" spans="1:21" s="2" customFormat="1" ht="5.25" customHeight="1">
      <c r="A4" s="7"/>
      <c r="B4" s="7"/>
      <c r="C4"/>
      <c r="D4" s="4"/>
      <c r="E4" s="4"/>
      <c r="F4" s="4"/>
      <c r="G4" s="4"/>
      <c r="H4" s="110"/>
      <c r="I4" s="110"/>
      <c r="J4" s="4"/>
      <c r="K4" s="4"/>
      <c r="L4" s="1"/>
      <c r="M4" s="19"/>
      <c r="N4" s="110"/>
      <c r="O4" s="1"/>
      <c r="P4" s="4"/>
      <c r="Q4" s="1"/>
      <c r="R4" s="4"/>
      <c r="S4" s="1"/>
      <c r="T4" s="110"/>
      <c r="U4" s="1"/>
    </row>
    <row r="5" spans="1:21" s="2" customFormat="1" ht="12.75">
      <c r="A5" s="8"/>
      <c r="B5" s="12"/>
      <c r="C5"/>
      <c r="D5" s="43">
        <v>1998</v>
      </c>
      <c r="E5" s="44"/>
      <c r="F5" s="43">
        <v>1999</v>
      </c>
      <c r="G5" s="44"/>
      <c r="H5" s="43">
        <v>2000</v>
      </c>
      <c r="I5" s="44"/>
      <c r="J5" s="43">
        <v>2001</v>
      </c>
      <c r="K5" s="47"/>
      <c r="L5" s="43">
        <v>2002</v>
      </c>
      <c r="M5" s="47"/>
      <c r="N5" s="43">
        <v>2003</v>
      </c>
      <c r="O5" s="47"/>
      <c r="P5" s="43">
        <v>2004</v>
      </c>
      <c r="Q5" s="47"/>
      <c r="R5" s="43">
        <v>2005</v>
      </c>
      <c r="S5" s="47"/>
      <c r="T5" s="43">
        <v>2006</v>
      </c>
      <c r="U5" s="47"/>
    </row>
    <row r="6" spans="1:21" s="2" customFormat="1" ht="15.75">
      <c r="A6" s="8"/>
      <c r="B6" s="114" t="s">
        <v>6</v>
      </c>
      <c r="C6"/>
      <c r="D6" s="45" t="s">
        <v>10</v>
      </c>
      <c r="E6" s="46"/>
      <c r="F6" s="45" t="s">
        <v>10</v>
      </c>
      <c r="G6" s="46"/>
      <c r="H6" s="45" t="s">
        <v>10</v>
      </c>
      <c r="I6" s="46"/>
      <c r="J6" s="45" t="s">
        <v>10</v>
      </c>
      <c r="K6" s="46"/>
      <c r="L6" s="45" t="s">
        <v>10</v>
      </c>
      <c r="M6" s="46"/>
      <c r="N6" s="45" t="s">
        <v>10</v>
      </c>
      <c r="O6" s="46"/>
      <c r="P6" s="45" t="s">
        <v>10</v>
      </c>
      <c r="Q6" s="46"/>
      <c r="R6" s="45" t="s">
        <v>10</v>
      </c>
      <c r="S6" s="46"/>
      <c r="T6" s="125" t="s">
        <v>10</v>
      </c>
      <c r="U6" s="126"/>
    </row>
    <row r="7" spans="1:21" s="2" customFormat="1" ht="12.75">
      <c r="A7" s="117"/>
      <c r="B7" s="117"/>
      <c r="C7" s="22"/>
      <c r="D7" s="53" t="s">
        <v>9</v>
      </c>
      <c r="E7" s="118" t="s">
        <v>96</v>
      </c>
      <c r="F7" s="53" t="s">
        <v>9</v>
      </c>
      <c r="G7" s="118" t="s">
        <v>96</v>
      </c>
      <c r="H7" s="53" t="s">
        <v>9</v>
      </c>
      <c r="I7" s="118" t="s">
        <v>96</v>
      </c>
      <c r="J7" s="53" t="s">
        <v>9</v>
      </c>
      <c r="K7" s="118" t="s">
        <v>96</v>
      </c>
      <c r="L7" s="53" t="s">
        <v>9</v>
      </c>
      <c r="M7" s="118" t="s">
        <v>96</v>
      </c>
      <c r="N7" s="53" t="s">
        <v>9</v>
      </c>
      <c r="O7" s="118" t="s">
        <v>96</v>
      </c>
      <c r="P7" s="53" t="s">
        <v>9</v>
      </c>
      <c r="Q7" s="118" t="s">
        <v>96</v>
      </c>
      <c r="R7" s="53" t="s">
        <v>9</v>
      </c>
      <c r="S7" s="118" t="s">
        <v>96</v>
      </c>
      <c r="T7" s="53" t="s">
        <v>9</v>
      </c>
      <c r="U7" s="118" t="s">
        <v>96</v>
      </c>
    </row>
    <row r="8" spans="1:21" s="2" customFormat="1" ht="12.75">
      <c r="A8" s="91" t="s">
        <v>0</v>
      </c>
      <c r="B8" s="92"/>
      <c r="C8" s="31"/>
      <c r="D8" s="36">
        <f aca="true" t="shared" si="0" ref="D8:U8">+D9</f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  <c r="H8" s="36">
        <f t="shared" si="0"/>
        <v>0</v>
      </c>
      <c r="I8" s="36">
        <f t="shared" si="0"/>
        <v>0</v>
      </c>
      <c r="J8" s="36">
        <f t="shared" si="0"/>
        <v>552</v>
      </c>
      <c r="K8" s="36">
        <f t="shared" si="0"/>
        <v>0</v>
      </c>
      <c r="L8" s="36">
        <f t="shared" si="0"/>
        <v>0</v>
      </c>
      <c r="M8" s="36">
        <f t="shared" si="0"/>
        <v>0</v>
      </c>
      <c r="N8" s="36">
        <f t="shared" si="0"/>
        <v>0</v>
      </c>
      <c r="O8" s="36">
        <f t="shared" si="0"/>
        <v>0</v>
      </c>
      <c r="P8" s="36">
        <f t="shared" si="0"/>
        <v>0</v>
      </c>
      <c r="Q8" s="36">
        <f t="shared" si="0"/>
        <v>0</v>
      </c>
      <c r="R8" s="36">
        <f t="shared" si="0"/>
        <v>0</v>
      </c>
      <c r="S8" s="36">
        <f t="shared" si="0"/>
        <v>0</v>
      </c>
      <c r="T8" s="36">
        <f t="shared" si="0"/>
        <v>0</v>
      </c>
      <c r="U8" s="36">
        <f t="shared" si="0"/>
        <v>0</v>
      </c>
    </row>
    <row r="9" spans="1:21" s="2" customFormat="1" ht="12.75">
      <c r="A9" s="17"/>
      <c r="B9" s="95" t="s">
        <v>14</v>
      </c>
      <c r="C9" s="119"/>
      <c r="D9" s="24"/>
      <c r="E9" s="99"/>
      <c r="F9" s="24"/>
      <c r="G9" s="99"/>
      <c r="H9" s="24"/>
      <c r="I9" s="21"/>
      <c r="J9" s="24">
        <v>552</v>
      </c>
      <c r="K9" s="21"/>
      <c r="L9" s="24"/>
      <c r="M9" s="21"/>
      <c r="N9" s="24"/>
      <c r="O9" s="21"/>
      <c r="P9" s="24"/>
      <c r="Q9" s="21"/>
      <c r="R9" s="24"/>
      <c r="S9" s="21"/>
      <c r="T9" s="24"/>
      <c r="U9" s="21"/>
    </row>
    <row r="10" spans="1:21" s="2" customFormat="1" ht="12.75">
      <c r="A10" s="93" t="s">
        <v>124</v>
      </c>
      <c r="B10" s="111"/>
      <c r="C10" s="127"/>
      <c r="D10" s="128">
        <f>+D11+D19+D23</f>
        <v>3580</v>
      </c>
      <c r="E10" s="128">
        <f>+E11+E19+E23</f>
        <v>1309</v>
      </c>
      <c r="F10" s="128">
        <f>+F11+F19+F23</f>
        <v>6544</v>
      </c>
      <c r="G10" s="128">
        <f>+G11+G19+G23</f>
        <v>429</v>
      </c>
      <c r="H10" s="128">
        <f>+H11+H19+H23</f>
        <v>7442</v>
      </c>
      <c r="I10" s="128">
        <f>+I11+I19+I23</f>
        <v>350</v>
      </c>
      <c r="J10" s="128">
        <f>+J11+J19+J23</f>
        <v>21400</v>
      </c>
      <c r="K10" s="128">
        <f>+K11+K19+K23</f>
        <v>150</v>
      </c>
      <c r="L10" s="128">
        <f>+L11+L19+L23</f>
        <v>16936</v>
      </c>
      <c r="M10" s="128">
        <f>+M11+M19+M23</f>
        <v>1582</v>
      </c>
      <c r="N10" s="128">
        <f>+N11+N19+N23</f>
        <v>12435</v>
      </c>
      <c r="O10" s="128">
        <f>+O11+O19+O23</f>
        <v>1486</v>
      </c>
      <c r="P10" s="128">
        <f>+P11+P19+P23</f>
        <v>10714</v>
      </c>
      <c r="Q10" s="128">
        <f>+Q11+Q19+Q23</f>
        <v>1976</v>
      </c>
      <c r="R10" s="128">
        <f>+R11+R19+R23</f>
        <v>13841</v>
      </c>
      <c r="S10" s="128">
        <f>+S11+S19+S23</f>
        <v>4022</v>
      </c>
      <c r="T10" s="128">
        <f>+T11+T19+T23</f>
        <v>11608</v>
      </c>
      <c r="U10" s="128">
        <f>+U11+U19+U23</f>
        <v>525</v>
      </c>
    </row>
    <row r="11" spans="1:21" s="2" customFormat="1" ht="12.75">
      <c r="A11" s="91" t="s">
        <v>125</v>
      </c>
      <c r="B11" s="92"/>
      <c r="C11" s="32"/>
      <c r="D11" s="36">
        <f>SUM(D12:D18)</f>
        <v>1382</v>
      </c>
      <c r="E11" s="36">
        <f>SUM(E12:E18)</f>
        <v>1309</v>
      </c>
      <c r="F11" s="36">
        <f>SUM(F12:F18)</f>
        <v>494</v>
      </c>
      <c r="G11" s="36">
        <f>SUM(G12:G18)</f>
        <v>429</v>
      </c>
      <c r="H11" s="36">
        <f>SUM(H12:H18)</f>
        <v>1383</v>
      </c>
      <c r="I11" s="36">
        <f>SUM(I12:I18)</f>
        <v>350</v>
      </c>
      <c r="J11" s="36">
        <f>SUM(J12:J18)</f>
        <v>1319</v>
      </c>
      <c r="K11" s="36">
        <f>SUM(K12:K18)</f>
        <v>150</v>
      </c>
      <c r="L11" s="36">
        <f>SUM(L12:L18)</f>
        <v>1648</v>
      </c>
      <c r="M11" s="36">
        <f>SUM(M12:M18)</f>
        <v>1582</v>
      </c>
      <c r="N11" s="36">
        <f>SUM(N12:N18)</f>
        <v>1524</v>
      </c>
      <c r="O11" s="36">
        <f>SUM(O12:O18)</f>
        <v>1486</v>
      </c>
      <c r="P11" s="36">
        <f>SUM(P12:P18)</f>
        <v>1989</v>
      </c>
      <c r="Q11" s="36">
        <f>SUM(Q12:Q18)</f>
        <v>1976</v>
      </c>
      <c r="R11" s="36">
        <f>SUM(R12:R18)</f>
        <v>4028</v>
      </c>
      <c r="S11" s="36">
        <f>SUM(S12:S18)</f>
        <v>4022</v>
      </c>
      <c r="T11" s="36">
        <f>SUM(T12:T18)</f>
        <v>503</v>
      </c>
      <c r="U11" s="36">
        <f>SUM(U12:U18)</f>
        <v>495</v>
      </c>
    </row>
    <row r="12" spans="1:21" s="2" customFormat="1" ht="12.75">
      <c r="A12" s="97"/>
      <c r="B12" s="38" t="s">
        <v>66</v>
      </c>
      <c r="C12" s="60"/>
      <c r="D12" s="25">
        <v>1309</v>
      </c>
      <c r="E12" s="48">
        <v>1309</v>
      </c>
      <c r="F12" s="25">
        <v>198</v>
      </c>
      <c r="G12" s="48">
        <v>198</v>
      </c>
      <c r="H12" s="23"/>
      <c r="I12" s="56"/>
      <c r="J12" s="40"/>
      <c r="K12" s="56"/>
      <c r="L12" s="40"/>
      <c r="M12" s="56"/>
      <c r="N12" s="40"/>
      <c r="O12" s="56"/>
      <c r="P12" s="40"/>
      <c r="Q12" s="81"/>
      <c r="R12" s="40"/>
      <c r="S12" s="81"/>
      <c r="T12" s="40">
        <v>32</v>
      </c>
      <c r="U12" s="81">
        <v>32</v>
      </c>
    </row>
    <row r="13" spans="1:21" s="2" customFormat="1" ht="12.75">
      <c r="A13" s="58"/>
      <c r="B13" s="38" t="s">
        <v>16</v>
      </c>
      <c r="D13" s="40"/>
      <c r="E13" s="51"/>
      <c r="F13" s="39"/>
      <c r="G13" s="55"/>
      <c r="H13" s="40">
        <v>1033</v>
      </c>
      <c r="I13" s="56"/>
      <c r="J13" s="40">
        <v>1085</v>
      </c>
      <c r="K13" s="56"/>
      <c r="L13" s="40"/>
      <c r="M13" s="56"/>
      <c r="N13" s="40"/>
      <c r="O13" s="56"/>
      <c r="P13" s="40"/>
      <c r="Q13" s="56"/>
      <c r="R13" s="39">
        <v>31</v>
      </c>
      <c r="S13" s="40">
        <v>31</v>
      </c>
      <c r="T13" s="39">
        <v>20</v>
      </c>
      <c r="U13" s="40">
        <v>20</v>
      </c>
    </row>
    <row r="14" spans="1:21" s="60" customFormat="1" ht="12.75">
      <c r="A14" s="97"/>
      <c r="B14" s="37" t="s">
        <v>97</v>
      </c>
      <c r="D14" s="39"/>
      <c r="E14" s="55"/>
      <c r="F14" s="39">
        <v>100</v>
      </c>
      <c r="G14" s="55">
        <v>100</v>
      </c>
      <c r="H14" s="23">
        <v>130</v>
      </c>
      <c r="I14" s="56">
        <v>130</v>
      </c>
      <c r="J14" s="40"/>
      <c r="K14" s="56"/>
      <c r="L14" s="40">
        <f>1287+48</f>
        <v>1335</v>
      </c>
      <c r="M14" s="56">
        <f>1287+48</f>
        <v>1335</v>
      </c>
      <c r="N14" s="40">
        <f>1142+6</f>
        <v>1148</v>
      </c>
      <c r="O14" s="56">
        <f>1142+6</f>
        <v>1148</v>
      </c>
      <c r="P14" s="40">
        <v>1819</v>
      </c>
      <c r="Q14" s="81">
        <v>1819</v>
      </c>
      <c r="R14" s="40">
        <v>3671</v>
      </c>
      <c r="S14" s="81">
        <v>3671</v>
      </c>
      <c r="T14" s="40">
        <f>35+24</f>
        <v>59</v>
      </c>
      <c r="U14" s="81">
        <f>35+24</f>
        <v>59</v>
      </c>
    </row>
    <row r="15" spans="1:21" s="2" customFormat="1" ht="12.75">
      <c r="A15" s="97"/>
      <c r="B15" s="37" t="s">
        <v>67</v>
      </c>
      <c r="C15" s="60"/>
      <c r="D15" s="39"/>
      <c r="E15" s="55"/>
      <c r="F15" s="39"/>
      <c r="G15" s="55"/>
      <c r="H15" s="40"/>
      <c r="I15" s="56"/>
      <c r="J15" s="40"/>
      <c r="K15" s="56"/>
      <c r="L15" s="39">
        <v>12</v>
      </c>
      <c r="M15" s="40">
        <v>12</v>
      </c>
      <c r="N15" s="40"/>
      <c r="O15" s="56"/>
      <c r="P15" s="39">
        <v>10</v>
      </c>
      <c r="Q15" s="40">
        <v>10</v>
      </c>
      <c r="R15" s="40">
        <v>100</v>
      </c>
      <c r="S15" s="81">
        <v>100</v>
      </c>
      <c r="T15" s="40">
        <f>15+235</f>
        <v>250</v>
      </c>
      <c r="U15" s="81">
        <f>15+235</f>
        <v>250</v>
      </c>
    </row>
    <row r="16" spans="1:21" s="60" customFormat="1" ht="12.75">
      <c r="A16" s="58"/>
      <c r="B16" s="38" t="s">
        <v>18</v>
      </c>
      <c r="C16" s="2"/>
      <c r="D16" s="39">
        <v>73</v>
      </c>
      <c r="E16" s="55"/>
      <c r="F16" s="39">
        <v>65</v>
      </c>
      <c r="G16" s="55"/>
      <c r="H16" s="23"/>
      <c r="I16" s="56"/>
      <c r="J16" s="40"/>
      <c r="K16" s="56"/>
      <c r="L16" s="40"/>
      <c r="M16" s="56"/>
      <c r="N16" s="40"/>
      <c r="O16" s="56"/>
      <c r="P16" s="40"/>
      <c r="Q16" s="56"/>
      <c r="R16" s="40"/>
      <c r="S16" s="56"/>
      <c r="T16" s="40"/>
      <c r="U16" s="56"/>
    </row>
    <row r="17" spans="1:21" s="60" customFormat="1" ht="12.75">
      <c r="A17" s="13"/>
      <c r="B17" s="10" t="s">
        <v>19</v>
      </c>
      <c r="C17"/>
      <c r="D17" s="25"/>
      <c r="E17" s="48"/>
      <c r="F17" s="25"/>
      <c r="G17" s="48"/>
      <c r="H17" s="23"/>
      <c r="I17" s="20"/>
      <c r="J17" s="23">
        <v>84</v>
      </c>
      <c r="K17" s="20"/>
      <c r="L17" s="23">
        <v>66</v>
      </c>
      <c r="M17" s="20"/>
      <c r="N17" s="23">
        <v>38</v>
      </c>
      <c r="O17" s="20"/>
      <c r="P17" s="23">
        <v>13</v>
      </c>
      <c r="Q17" s="20"/>
      <c r="R17" s="23">
        <v>6</v>
      </c>
      <c r="S17" s="20"/>
      <c r="T17" s="23">
        <v>8</v>
      </c>
      <c r="U17" s="20"/>
    </row>
    <row r="18" spans="1:21" s="60" customFormat="1" ht="12.75">
      <c r="A18" s="13"/>
      <c r="B18" s="10" t="s">
        <v>111</v>
      </c>
      <c r="C18"/>
      <c r="D18" s="25"/>
      <c r="E18" s="48"/>
      <c r="F18" s="25">
        <v>131</v>
      </c>
      <c r="G18" s="48">
        <v>131</v>
      </c>
      <c r="H18" s="23">
        <v>220</v>
      </c>
      <c r="I18" s="20">
        <v>220</v>
      </c>
      <c r="J18" s="23">
        <v>150</v>
      </c>
      <c r="K18" s="20">
        <v>150</v>
      </c>
      <c r="L18" s="23">
        <v>235</v>
      </c>
      <c r="M18" s="20">
        <v>235</v>
      </c>
      <c r="N18" s="23">
        <v>338</v>
      </c>
      <c r="O18" s="20">
        <v>338</v>
      </c>
      <c r="P18" s="23">
        <v>147</v>
      </c>
      <c r="Q18" s="20">
        <v>147</v>
      </c>
      <c r="R18" s="23">
        <v>220</v>
      </c>
      <c r="S18" s="20">
        <v>220</v>
      </c>
      <c r="T18" s="23">
        <v>134</v>
      </c>
      <c r="U18" s="20">
        <v>134</v>
      </c>
    </row>
    <row r="19" spans="1:21" s="2" customFormat="1" ht="12.75">
      <c r="A19" s="28" t="s">
        <v>87</v>
      </c>
      <c r="B19" s="29"/>
      <c r="C19" s="32"/>
      <c r="D19" s="30">
        <f>SUM(D20:D22)</f>
        <v>16</v>
      </c>
      <c r="E19" s="30">
        <f aca="true" t="shared" si="1" ref="E19:Q19">SUM(E20:E22)</f>
        <v>0</v>
      </c>
      <c r="F19" s="30">
        <f t="shared" si="1"/>
        <v>38</v>
      </c>
      <c r="G19" s="30">
        <f t="shared" si="1"/>
        <v>0</v>
      </c>
      <c r="H19" s="30">
        <f t="shared" si="1"/>
        <v>33</v>
      </c>
      <c r="I19" s="30">
        <f t="shared" si="1"/>
        <v>0</v>
      </c>
      <c r="J19" s="30">
        <f t="shared" si="1"/>
        <v>60</v>
      </c>
      <c r="K19" s="30">
        <f t="shared" si="1"/>
        <v>0</v>
      </c>
      <c r="L19" s="30">
        <f t="shared" si="1"/>
        <v>63</v>
      </c>
      <c r="M19" s="30">
        <f t="shared" si="1"/>
        <v>0</v>
      </c>
      <c r="N19" s="30">
        <f t="shared" si="1"/>
        <v>36</v>
      </c>
      <c r="O19" s="30">
        <f t="shared" si="1"/>
        <v>0</v>
      </c>
      <c r="P19" s="30">
        <f t="shared" si="1"/>
        <v>36</v>
      </c>
      <c r="Q19" s="30">
        <f t="shared" si="1"/>
        <v>0</v>
      </c>
      <c r="R19" s="30">
        <f>SUM(R20:R22)</f>
        <v>37</v>
      </c>
      <c r="S19" s="30">
        <f>SUM(S20:S22)</f>
        <v>0</v>
      </c>
      <c r="T19" s="30">
        <f>SUM(T20:T22)</f>
        <v>68</v>
      </c>
      <c r="U19" s="30">
        <f>SUM(U20:U22)</f>
        <v>30</v>
      </c>
    </row>
    <row r="20" spans="1:21" s="42" customFormat="1" ht="12.75">
      <c r="A20" s="97"/>
      <c r="B20" s="37" t="s">
        <v>21</v>
      </c>
      <c r="C20" s="60"/>
      <c r="D20" s="39">
        <v>1</v>
      </c>
      <c r="E20" s="55"/>
      <c r="F20" s="39"/>
      <c r="G20" s="55"/>
      <c r="H20" s="23"/>
      <c r="I20" s="56"/>
      <c r="J20" s="40"/>
      <c r="K20" s="56"/>
      <c r="L20" s="40"/>
      <c r="M20" s="56"/>
      <c r="N20" s="40"/>
      <c r="O20" s="56"/>
      <c r="P20" s="40"/>
      <c r="Q20" s="56"/>
      <c r="R20" s="40"/>
      <c r="S20" s="56"/>
      <c r="T20" s="40"/>
      <c r="U20" s="56"/>
    </row>
    <row r="21" spans="1:21" s="2" customFormat="1" ht="12.75">
      <c r="A21" s="97"/>
      <c r="B21" s="6" t="s">
        <v>67</v>
      </c>
      <c r="C21" s="60"/>
      <c r="D21" s="39"/>
      <c r="E21" s="55"/>
      <c r="F21" s="39"/>
      <c r="G21" s="55"/>
      <c r="H21" s="23"/>
      <c r="I21" s="56"/>
      <c r="J21" s="40"/>
      <c r="K21" s="56"/>
      <c r="L21" s="40"/>
      <c r="M21" s="56"/>
      <c r="N21" s="40"/>
      <c r="O21" s="56"/>
      <c r="P21" s="40"/>
      <c r="Q21" s="56"/>
      <c r="R21" s="40"/>
      <c r="S21" s="56"/>
      <c r="T21" s="40">
        <v>30</v>
      </c>
      <c r="U21" s="56">
        <v>30</v>
      </c>
    </row>
    <row r="22" spans="1:21" s="2" customFormat="1" ht="12.75">
      <c r="A22" s="13"/>
      <c r="B22" s="6" t="s">
        <v>20</v>
      </c>
      <c r="C22"/>
      <c r="D22" s="25">
        <v>15</v>
      </c>
      <c r="E22" s="48"/>
      <c r="F22" s="25">
        <v>38</v>
      </c>
      <c r="G22" s="48"/>
      <c r="H22" s="23">
        <v>33</v>
      </c>
      <c r="I22" s="20"/>
      <c r="J22" s="23">
        <v>60</v>
      </c>
      <c r="K22" s="20"/>
      <c r="L22" s="23">
        <v>63</v>
      </c>
      <c r="M22" s="20"/>
      <c r="N22" s="23">
        <v>36</v>
      </c>
      <c r="O22" s="20"/>
      <c r="P22" s="23">
        <v>36</v>
      </c>
      <c r="Q22" s="20"/>
      <c r="R22" s="23">
        <v>37</v>
      </c>
      <c r="S22" s="20"/>
      <c r="T22" s="23">
        <v>38</v>
      </c>
      <c r="U22" s="20"/>
    </row>
    <row r="23" spans="1:21" s="60" customFormat="1" ht="12.75">
      <c r="A23" s="28" t="s">
        <v>98</v>
      </c>
      <c r="B23" s="29"/>
      <c r="C23" s="129"/>
      <c r="D23" s="30">
        <f aca="true" t="shared" si="2" ref="D23:U23">+D24</f>
        <v>2182</v>
      </c>
      <c r="E23" s="30">
        <f t="shared" si="2"/>
        <v>0</v>
      </c>
      <c r="F23" s="30">
        <f t="shared" si="2"/>
        <v>6012</v>
      </c>
      <c r="G23" s="30">
        <f t="shared" si="2"/>
        <v>0</v>
      </c>
      <c r="H23" s="30">
        <f t="shared" si="2"/>
        <v>6026</v>
      </c>
      <c r="I23" s="30">
        <f t="shared" si="2"/>
        <v>0</v>
      </c>
      <c r="J23" s="30">
        <f t="shared" si="2"/>
        <v>20021</v>
      </c>
      <c r="K23" s="30">
        <f t="shared" si="2"/>
        <v>0</v>
      </c>
      <c r="L23" s="30">
        <f t="shared" si="2"/>
        <v>15225</v>
      </c>
      <c r="M23" s="30">
        <f t="shared" si="2"/>
        <v>0</v>
      </c>
      <c r="N23" s="30">
        <f t="shared" si="2"/>
        <v>10875</v>
      </c>
      <c r="O23" s="30">
        <f t="shared" si="2"/>
        <v>0</v>
      </c>
      <c r="P23" s="30">
        <f t="shared" si="2"/>
        <v>8689</v>
      </c>
      <c r="Q23" s="30">
        <f t="shared" si="2"/>
        <v>0</v>
      </c>
      <c r="R23" s="30">
        <f t="shared" si="2"/>
        <v>9776</v>
      </c>
      <c r="S23" s="30">
        <f t="shared" si="2"/>
        <v>0</v>
      </c>
      <c r="T23" s="30">
        <f t="shared" si="2"/>
        <v>11037</v>
      </c>
      <c r="U23" s="30">
        <f t="shared" si="2"/>
        <v>0</v>
      </c>
    </row>
    <row r="24" spans="1:21" s="60" customFormat="1" ht="12.75">
      <c r="A24" s="57"/>
      <c r="B24" s="38" t="s">
        <v>15</v>
      </c>
      <c r="C24" s="42"/>
      <c r="D24" s="23">
        <v>2182</v>
      </c>
      <c r="E24" s="18"/>
      <c r="F24" s="23">
        <v>6012</v>
      </c>
      <c r="G24" s="18"/>
      <c r="H24" s="23">
        <v>6026</v>
      </c>
      <c r="I24" s="20"/>
      <c r="J24" s="23">
        <v>20021</v>
      </c>
      <c r="K24" s="20"/>
      <c r="L24" s="23">
        <v>15225</v>
      </c>
      <c r="M24" s="20"/>
      <c r="N24" s="23">
        <v>10875</v>
      </c>
      <c r="O24" s="20"/>
      <c r="P24" s="23">
        <v>8689</v>
      </c>
      <c r="Q24" s="20"/>
      <c r="R24" s="23">
        <v>9776</v>
      </c>
      <c r="S24" s="20"/>
      <c r="T24" s="23">
        <v>11037</v>
      </c>
      <c r="U24" s="20"/>
    </row>
    <row r="25" spans="1:21" s="2" customFormat="1" ht="12.75">
      <c r="A25" s="93" t="s">
        <v>126</v>
      </c>
      <c r="B25" s="111"/>
      <c r="C25" s="127"/>
      <c r="D25" s="128">
        <f>+D26+D28+D32+D40+D44+D51+D72</f>
        <v>131815</v>
      </c>
      <c r="E25" s="128">
        <f aca="true" t="shared" si="3" ref="E25:U25">+E26+E28+E32+E40+E44+E51+E72</f>
        <v>87</v>
      </c>
      <c r="F25" s="128">
        <f t="shared" si="3"/>
        <v>126213</v>
      </c>
      <c r="G25" s="128">
        <f t="shared" si="3"/>
        <v>84</v>
      </c>
      <c r="H25" s="128">
        <f t="shared" si="3"/>
        <v>123404</v>
      </c>
      <c r="I25" s="128">
        <f t="shared" si="3"/>
        <v>116</v>
      </c>
      <c r="J25" s="128">
        <f t="shared" si="3"/>
        <v>131885</v>
      </c>
      <c r="K25" s="128">
        <f t="shared" si="3"/>
        <v>425</v>
      </c>
      <c r="L25" s="128">
        <f t="shared" si="3"/>
        <v>137135</v>
      </c>
      <c r="M25" s="128">
        <f t="shared" si="3"/>
        <v>792</v>
      </c>
      <c r="N25" s="128">
        <f t="shared" si="3"/>
        <v>153189</v>
      </c>
      <c r="O25" s="128">
        <f t="shared" si="3"/>
        <v>535</v>
      </c>
      <c r="P25" s="128">
        <f t="shared" si="3"/>
        <v>140921</v>
      </c>
      <c r="Q25" s="128">
        <f t="shared" si="3"/>
        <v>251</v>
      </c>
      <c r="R25" s="128">
        <f t="shared" si="3"/>
        <v>144054</v>
      </c>
      <c r="S25" s="128">
        <f t="shared" si="3"/>
        <v>276</v>
      </c>
      <c r="T25" s="128">
        <f t="shared" si="3"/>
        <v>133045</v>
      </c>
      <c r="U25" s="128">
        <f t="shared" si="3"/>
        <v>179</v>
      </c>
    </row>
    <row r="26" spans="1:21" s="42" customFormat="1" ht="12.75">
      <c r="A26" s="91" t="s">
        <v>86</v>
      </c>
      <c r="B26" s="92"/>
      <c r="C26" s="32"/>
      <c r="D26" s="36">
        <f>+D27</f>
        <v>303</v>
      </c>
      <c r="E26" s="36">
        <f aca="true" t="shared" si="4" ref="E26:U26">+E27</f>
        <v>0</v>
      </c>
      <c r="F26" s="36">
        <f t="shared" si="4"/>
        <v>39</v>
      </c>
      <c r="G26" s="36">
        <f t="shared" si="4"/>
        <v>0</v>
      </c>
      <c r="H26" s="36">
        <f t="shared" si="4"/>
        <v>13</v>
      </c>
      <c r="I26" s="36">
        <f t="shared" si="4"/>
        <v>0</v>
      </c>
      <c r="J26" s="36">
        <f t="shared" si="4"/>
        <v>21</v>
      </c>
      <c r="K26" s="36">
        <f t="shared" si="4"/>
        <v>0</v>
      </c>
      <c r="L26" s="36">
        <f t="shared" si="4"/>
        <v>33</v>
      </c>
      <c r="M26" s="36">
        <f t="shared" si="4"/>
        <v>33</v>
      </c>
      <c r="N26" s="36">
        <f t="shared" si="4"/>
        <v>42</v>
      </c>
      <c r="O26" s="36">
        <f t="shared" si="4"/>
        <v>42</v>
      </c>
      <c r="P26" s="36">
        <f t="shared" si="4"/>
        <v>61</v>
      </c>
      <c r="Q26" s="36">
        <f t="shared" si="4"/>
        <v>61</v>
      </c>
      <c r="R26" s="36">
        <f t="shared" si="4"/>
        <v>52</v>
      </c>
      <c r="S26" s="36">
        <f t="shared" si="4"/>
        <v>52</v>
      </c>
      <c r="T26" s="36">
        <f t="shared" si="4"/>
        <v>32</v>
      </c>
      <c r="U26" s="36">
        <f t="shared" si="4"/>
        <v>22</v>
      </c>
    </row>
    <row r="27" spans="1:21" s="42" customFormat="1" ht="12.75">
      <c r="A27" s="57"/>
      <c r="B27" s="38" t="s">
        <v>24</v>
      </c>
      <c r="C27" s="2"/>
      <c r="D27" s="25">
        <v>303</v>
      </c>
      <c r="E27" s="48"/>
      <c r="F27" s="25">
        <v>39</v>
      </c>
      <c r="G27" s="48"/>
      <c r="H27" s="25">
        <v>13</v>
      </c>
      <c r="I27" s="50"/>
      <c r="J27" s="25">
        <v>21</v>
      </c>
      <c r="K27" s="50"/>
      <c r="L27" s="23">
        <v>33</v>
      </c>
      <c r="M27" s="20">
        <v>33</v>
      </c>
      <c r="N27" s="23">
        <v>42</v>
      </c>
      <c r="O27" s="20">
        <v>42</v>
      </c>
      <c r="P27" s="23">
        <v>61</v>
      </c>
      <c r="Q27" s="20">
        <v>61</v>
      </c>
      <c r="R27" s="23">
        <v>52</v>
      </c>
      <c r="S27" s="20">
        <v>52</v>
      </c>
      <c r="T27" s="23">
        <f>10+22</f>
        <v>32</v>
      </c>
      <c r="U27" s="20">
        <v>22</v>
      </c>
    </row>
    <row r="28" spans="1:21" s="2" customFormat="1" ht="12.75">
      <c r="A28" s="28" t="s">
        <v>127</v>
      </c>
      <c r="B28" s="29"/>
      <c r="C28" s="32"/>
      <c r="D28" s="30">
        <f>SUM(D29:D31)</f>
        <v>1053</v>
      </c>
      <c r="E28" s="30">
        <f aca="true" t="shared" si="5" ref="E28:S28">SUM(E29:E31)</f>
        <v>0</v>
      </c>
      <c r="F28" s="30">
        <f t="shared" si="5"/>
        <v>1136</v>
      </c>
      <c r="G28" s="30">
        <f t="shared" si="5"/>
        <v>0</v>
      </c>
      <c r="H28" s="30">
        <f t="shared" si="5"/>
        <v>1305</v>
      </c>
      <c r="I28" s="30">
        <f t="shared" si="5"/>
        <v>8</v>
      </c>
      <c r="J28" s="30">
        <f t="shared" si="5"/>
        <v>875</v>
      </c>
      <c r="K28" s="30">
        <f t="shared" si="5"/>
        <v>0</v>
      </c>
      <c r="L28" s="30">
        <f t="shared" si="5"/>
        <v>704</v>
      </c>
      <c r="M28" s="30">
        <f t="shared" si="5"/>
        <v>7</v>
      </c>
      <c r="N28" s="30">
        <f t="shared" si="5"/>
        <v>97</v>
      </c>
      <c r="O28" s="30">
        <f t="shared" si="5"/>
        <v>7</v>
      </c>
      <c r="P28" s="30">
        <f t="shared" si="5"/>
        <v>110</v>
      </c>
      <c r="Q28" s="30">
        <f t="shared" si="5"/>
        <v>9</v>
      </c>
      <c r="R28" s="30">
        <f t="shared" si="5"/>
        <v>76</v>
      </c>
      <c r="S28" s="30">
        <f t="shared" si="5"/>
        <v>0</v>
      </c>
      <c r="T28" s="30">
        <f>SUM(T29:T31)</f>
        <v>88</v>
      </c>
      <c r="U28" s="30">
        <f>SUM(U29:U31)</f>
        <v>0</v>
      </c>
    </row>
    <row r="29" spans="1:21" s="2" customFormat="1" ht="12.75">
      <c r="A29" s="57"/>
      <c r="B29" s="38" t="s">
        <v>59</v>
      </c>
      <c r="D29" s="40"/>
      <c r="E29" s="51"/>
      <c r="F29" s="40"/>
      <c r="G29" s="51"/>
      <c r="H29" s="23"/>
      <c r="I29" s="56"/>
      <c r="J29" s="40"/>
      <c r="K29" s="56"/>
      <c r="L29" s="40">
        <v>51</v>
      </c>
      <c r="M29" s="56"/>
      <c r="N29" s="40">
        <v>54</v>
      </c>
      <c r="O29" s="56"/>
      <c r="P29" s="40">
        <v>76</v>
      </c>
      <c r="Q29" s="56"/>
      <c r="R29" s="40">
        <v>56</v>
      </c>
      <c r="S29" s="56"/>
      <c r="T29" s="40">
        <v>59</v>
      </c>
      <c r="U29" s="56"/>
    </row>
    <row r="30" spans="1:21" s="2" customFormat="1" ht="12.75">
      <c r="A30" s="57"/>
      <c r="B30" s="38" t="s">
        <v>24</v>
      </c>
      <c r="D30" s="25">
        <v>212</v>
      </c>
      <c r="E30" s="48"/>
      <c r="F30" s="25">
        <v>722</v>
      </c>
      <c r="G30" s="48"/>
      <c r="H30" s="25">
        <v>771</v>
      </c>
      <c r="I30" s="50"/>
      <c r="J30" s="25">
        <v>575</v>
      </c>
      <c r="K30" s="50"/>
      <c r="L30" s="25">
        <v>646</v>
      </c>
      <c r="M30" s="50"/>
      <c r="N30" s="25">
        <v>36</v>
      </c>
      <c r="O30" s="50"/>
      <c r="P30" s="25">
        <v>25</v>
      </c>
      <c r="Q30" s="50"/>
      <c r="R30" s="25">
        <v>20</v>
      </c>
      <c r="S30" s="50"/>
      <c r="T30" s="25">
        <v>29</v>
      </c>
      <c r="U30" s="50"/>
    </row>
    <row r="31" spans="1:21" s="2" customFormat="1" ht="12.75">
      <c r="A31" s="62"/>
      <c r="B31" s="63" t="s">
        <v>16</v>
      </c>
      <c r="D31" s="40">
        <f>516+325</f>
        <v>841</v>
      </c>
      <c r="E31" s="51"/>
      <c r="F31" s="40">
        <v>414</v>
      </c>
      <c r="G31" s="51"/>
      <c r="H31" s="23">
        <f>526+8</f>
        <v>534</v>
      </c>
      <c r="I31" s="56">
        <v>8</v>
      </c>
      <c r="J31" s="40">
        <v>300</v>
      </c>
      <c r="K31" s="56"/>
      <c r="L31" s="40">
        <v>7</v>
      </c>
      <c r="M31" s="56">
        <v>7</v>
      </c>
      <c r="N31" s="40">
        <v>7</v>
      </c>
      <c r="O31" s="56">
        <v>7</v>
      </c>
      <c r="P31" s="40">
        <v>9</v>
      </c>
      <c r="Q31" s="56">
        <v>9</v>
      </c>
      <c r="R31" s="40"/>
      <c r="S31" s="56"/>
      <c r="T31" s="40"/>
      <c r="U31" s="56"/>
    </row>
    <row r="32" spans="1:21" s="2" customFormat="1" ht="12.75">
      <c r="A32" s="91" t="s">
        <v>128</v>
      </c>
      <c r="B32" s="92"/>
      <c r="C32" s="32"/>
      <c r="D32" s="34">
        <f aca="true" t="shared" si="6" ref="D32:Q32">SUM(D33:D39)</f>
        <v>3501</v>
      </c>
      <c r="E32" s="34">
        <f t="shared" si="6"/>
        <v>41</v>
      </c>
      <c r="F32" s="34">
        <f t="shared" si="6"/>
        <v>6419</v>
      </c>
      <c r="G32" s="34">
        <f t="shared" si="6"/>
        <v>33</v>
      </c>
      <c r="H32" s="34">
        <f t="shared" si="6"/>
        <v>6071</v>
      </c>
      <c r="I32" s="34">
        <f t="shared" si="6"/>
        <v>25</v>
      </c>
      <c r="J32" s="34">
        <f t="shared" si="6"/>
        <v>6156</v>
      </c>
      <c r="K32" s="34">
        <f t="shared" si="6"/>
        <v>84</v>
      </c>
      <c r="L32" s="34">
        <f t="shared" si="6"/>
        <v>3994</v>
      </c>
      <c r="M32" s="34">
        <f t="shared" si="6"/>
        <v>63</v>
      </c>
      <c r="N32" s="34">
        <f t="shared" si="6"/>
        <v>8008</v>
      </c>
      <c r="O32" s="34">
        <f t="shared" si="6"/>
        <v>56</v>
      </c>
      <c r="P32" s="34">
        <f t="shared" si="6"/>
        <v>7870</v>
      </c>
      <c r="Q32" s="34">
        <f t="shared" si="6"/>
        <v>78</v>
      </c>
      <c r="R32" s="34">
        <f>SUM(R33:R39)</f>
        <v>7641</v>
      </c>
      <c r="S32" s="34">
        <f>SUM(S33:S39)</f>
        <v>149</v>
      </c>
      <c r="T32" s="34">
        <f>SUM(T33:T39)</f>
        <v>7420</v>
      </c>
      <c r="U32" s="34">
        <f>SUM(U33:U39)</f>
        <v>155</v>
      </c>
    </row>
    <row r="33" spans="1:21" s="2" customFormat="1" ht="12.75">
      <c r="A33" s="54"/>
      <c r="B33" s="38" t="s">
        <v>19</v>
      </c>
      <c r="D33" s="40">
        <v>100</v>
      </c>
      <c r="E33" s="51"/>
      <c r="F33" s="39">
        <v>113</v>
      </c>
      <c r="G33" s="55"/>
      <c r="H33" s="23">
        <v>40</v>
      </c>
      <c r="I33" s="56"/>
      <c r="J33" s="40">
        <v>719</v>
      </c>
      <c r="K33" s="56"/>
      <c r="L33" s="40">
        <v>23</v>
      </c>
      <c r="M33" s="56"/>
      <c r="N33" s="40">
        <v>14</v>
      </c>
      <c r="O33" s="56"/>
      <c r="P33" s="40">
        <v>14</v>
      </c>
      <c r="Q33" s="56"/>
      <c r="R33" s="40">
        <v>23</v>
      </c>
      <c r="S33" s="56"/>
      <c r="T33" s="40">
        <v>27</v>
      </c>
      <c r="U33" s="56"/>
    </row>
    <row r="34" spans="1:21" s="2" customFormat="1" ht="12.75">
      <c r="A34" s="15"/>
      <c r="B34" s="10" t="s">
        <v>24</v>
      </c>
      <c r="C34"/>
      <c r="D34" s="25">
        <f>123+41</f>
        <v>164</v>
      </c>
      <c r="E34" s="48">
        <v>41</v>
      </c>
      <c r="F34" s="25">
        <f>3046+33</f>
        <v>3079</v>
      </c>
      <c r="G34" s="48">
        <v>33</v>
      </c>
      <c r="H34" s="23">
        <f>2690+25</f>
        <v>2715</v>
      </c>
      <c r="I34" s="20">
        <v>25</v>
      </c>
      <c r="J34" s="23">
        <f>2089-58+84</f>
        <v>2115</v>
      </c>
      <c r="K34" s="88">
        <v>84</v>
      </c>
      <c r="L34" s="23">
        <f>593+63</f>
        <v>656</v>
      </c>
      <c r="M34" s="88">
        <v>63</v>
      </c>
      <c r="N34" s="23">
        <f>749+56</f>
        <v>805</v>
      </c>
      <c r="O34" s="88">
        <v>56</v>
      </c>
      <c r="P34" s="23">
        <f>874+78</f>
        <v>952</v>
      </c>
      <c r="Q34" s="88">
        <v>78</v>
      </c>
      <c r="R34" s="23">
        <f>1332+149</f>
        <v>1481</v>
      </c>
      <c r="S34" s="88">
        <v>149</v>
      </c>
      <c r="T34" s="23">
        <f>1168+155</f>
        <v>1323</v>
      </c>
      <c r="U34" s="88">
        <v>155</v>
      </c>
    </row>
    <row r="35" spans="1:21" s="2" customFormat="1" ht="12.75">
      <c r="A35" s="15"/>
      <c r="B35" s="38" t="s">
        <v>32</v>
      </c>
      <c r="C35"/>
      <c r="D35" s="25">
        <v>129</v>
      </c>
      <c r="E35" s="48"/>
      <c r="F35" s="25">
        <v>119</v>
      </c>
      <c r="G35" s="48"/>
      <c r="H35" s="23">
        <v>144</v>
      </c>
      <c r="I35" s="20"/>
      <c r="J35" s="23">
        <v>130</v>
      </c>
      <c r="K35" s="20"/>
      <c r="L35" s="23">
        <v>123</v>
      </c>
      <c r="M35" s="20"/>
      <c r="N35" s="23">
        <v>120</v>
      </c>
      <c r="O35" s="20"/>
      <c r="P35" s="23"/>
      <c r="Q35" s="20"/>
      <c r="R35" s="23"/>
      <c r="S35" s="20"/>
      <c r="T35" s="23"/>
      <c r="U35" s="20"/>
    </row>
    <row r="36" spans="1:21" s="2" customFormat="1" ht="12.75">
      <c r="A36" s="15"/>
      <c r="B36" s="38" t="s">
        <v>18</v>
      </c>
      <c r="C36"/>
      <c r="D36" s="25"/>
      <c r="E36" s="48"/>
      <c r="F36" s="25"/>
      <c r="G36" s="48"/>
      <c r="H36" s="23"/>
      <c r="I36" s="20"/>
      <c r="J36" s="23"/>
      <c r="K36" s="20"/>
      <c r="L36" s="23"/>
      <c r="M36" s="20"/>
      <c r="N36" s="23"/>
      <c r="O36" s="20"/>
      <c r="P36" s="23"/>
      <c r="Q36" s="20"/>
      <c r="R36" s="23"/>
      <c r="S36" s="20"/>
      <c r="T36" s="23"/>
      <c r="U36" s="20"/>
    </row>
    <row r="37" spans="1:21" s="2" customFormat="1" ht="12.75">
      <c r="A37" s="15"/>
      <c r="B37" s="38" t="s">
        <v>72</v>
      </c>
      <c r="C37"/>
      <c r="D37" s="25"/>
      <c r="E37" s="48"/>
      <c r="F37" s="25"/>
      <c r="G37" s="48"/>
      <c r="H37" s="23"/>
      <c r="I37" s="20"/>
      <c r="J37" s="23"/>
      <c r="K37" s="20"/>
      <c r="L37" s="23"/>
      <c r="M37" s="20"/>
      <c r="N37" s="23"/>
      <c r="O37" s="20"/>
      <c r="P37" s="23">
        <v>382</v>
      </c>
      <c r="Q37" s="20"/>
      <c r="R37" s="23"/>
      <c r="S37" s="20"/>
      <c r="T37" s="23"/>
      <c r="U37" s="20"/>
    </row>
    <row r="38" spans="1:21" s="2" customFormat="1" ht="12.75">
      <c r="A38" s="15"/>
      <c r="B38" s="10" t="s">
        <v>36</v>
      </c>
      <c r="C38"/>
      <c r="D38" s="25"/>
      <c r="E38" s="48"/>
      <c r="F38" s="25"/>
      <c r="G38" s="48"/>
      <c r="H38" s="23"/>
      <c r="I38" s="20"/>
      <c r="J38" s="23"/>
      <c r="K38" s="20"/>
      <c r="L38" s="23"/>
      <c r="M38" s="20"/>
      <c r="N38" s="23"/>
      <c r="O38" s="20"/>
      <c r="P38" s="23"/>
      <c r="Q38" s="20"/>
      <c r="R38" s="23">
        <v>1004</v>
      </c>
      <c r="S38" s="20"/>
      <c r="T38" s="23"/>
      <c r="U38" s="20"/>
    </row>
    <row r="39" spans="1:21" s="2" customFormat="1" ht="12.75">
      <c r="A39" s="15"/>
      <c r="B39" s="38" t="s">
        <v>66</v>
      </c>
      <c r="C39"/>
      <c r="D39" s="26">
        <v>3108</v>
      </c>
      <c r="E39" s="49"/>
      <c r="F39" s="26">
        <v>3108</v>
      </c>
      <c r="G39" s="49"/>
      <c r="H39" s="24">
        <v>3172</v>
      </c>
      <c r="I39" s="21"/>
      <c r="J39" s="24">
        <v>3192</v>
      </c>
      <c r="K39" s="21"/>
      <c r="L39" s="24">
        <v>3192</v>
      </c>
      <c r="M39" s="21"/>
      <c r="N39" s="24">
        <f>6190+879</f>
        <v>7069</v>
      </c>
      <c r="O39" s="21"/>
      <c r="P39" s="24">
        <f>434+6088</f>
        <v>6522</v>
      </c>
      <c r="Q39" s="21"/>
      <c r="R39" s="24">
        <f>1073+4060</f>
        <v>5133</v>
      </c>
      <c r="S39" s="21"/>
      <c r="T39" s="24">
        <f>2010+4060</f>
        <v>6070</v>
      </c>
      <c r="U39" s="21"/>
    </row>
    <row r="40" spans="1:21" s="2" customFormat="1" ht="12.75">
      <c r="A40" s="28" t="s">
        <v>1</v>
      </c>
      <c r="B40" s="29"/>
      <c r="C40" s="32"/>
      <c r="D40" s="36">
        <f>SUM(D41:D43)</f>
        <v>1907</v>
      </c>
      <c r="E40" s="36">
        <f aca="true" t="shared" si="7" ref="E40:Q40">SUM(E41:E43)</f>
        <v>0</v>
      </c>
      <c r="F40" s="36">
        <f t="shared" si="7"/>
        <v>1578</v>
      </c>
      <c r="G40" s="36">
        <f t="shared" si="7"/>
        <v>0</v>
      </c>
      <c r="H40" s="36">
        <f t="shared" si="7"/>
        <v>2119</v>
      </c>
      <c r="I40" s="36">
        <f t="shared" si="7"/>
        <v>0</v>
      </c>
      <c r="J40" s="36">
        <f t="shared" si="7"/>
        <v>1211</v>
      </c>
      <c r="K40" s="36">
        <f t="shared" si="7"/>
        <v>0</v>
      </c>
      <c r="L40" s="36">
        <f t="shared" si="7"/>
        <v>1466</v>
      </c>
      <c r="M40" s="36">
        <f t="shared" si="7"/>
        <v>38</v>
      </c>
      <c r="N40" s="36">
        <f t="shared" si="7"/>
        <v>1133</v>
      </c>
      <c r="O40" s="36">
        <f t="shared" si="7"/>
        <v>0</v>
      </c>
      <c r="P40" s="36">
        <f t="shared" si="7"/>
        <v>1750</v>
      </c>
      <c r="Q40" s="36">
        <f t="shared" si="7"/>
        <v>0</v>
      </c>
      <c r="R40" s="36">
        <f>SUM(R41:R43)</f>
        <v>2017</v>
      </c>
      <c r="S40" s="36">
        <f>SUM(S41:S43)</f>
        <v>0</v>
      </c>
      <c r="T40" s="36">
        <f>SUM(T41:T43)</f>
        <v>1520</v>
      </c>
      <c r="U40" s="36">
        <f>SUM(U41:U43)</f>
        <v>0</v>
      </c>
    </row>
    <row r="41" spans="1:21" s="2" customFormat="1" ht="12.75">
      <c r="A41" s="57"/>
      <c r="B41" s="10" t="s">
        <v>24</v>
      </c>
      <c r="D41" s="40">
        <f>568+1333</f>
        <v>1901</v>
      </c>
      <c r="E41" s="51"/>
      <c r="F41" s="39">
        <f>516+1060</f>
        <v>1576</v>
      </c>
      <c r="G41" s="55"/>
      <c r="H41" s="23">
        <f>516+1581</f>
        <v>2097</v>
      </c>
      <c r="I41" s="56"/>
      <c r="J41" s="39">
        <v>1206</v>
      </c>
      <c r="K41" s="56"/>
      <c r="L41" s="39">
        <v>1421</v>
      </c>
      <c r="M41" s="56"/>
      <c r="N41" s="39">
        <v>1114</v>
      </c>
      <c r="O41" s="56"/>
      <c r="P41" s="39">
        <v>1750</v>
      </c>
      <c r="Q41" s="56"/>
      <c r="R41" s="39">
        <v>2017</v>
      </c>
      <c r="S41" s="56"/>
      <c r="T41" s="39">
        <v>1520</v>
      </c>
      <c r="U41" s="56"/>
    </row>
    <row r="42" spans="1:21" s="2" customFormat="1" ht="12.75">
      <c r="A42" s="57"/>
      <c r="B42" s="38" t="s">
        <v>19</v>
      </c>
      <c r="D42" s="39">
        <v>6</v>
      </c>
      <c r="E42" s="55"/>
      <c r="F42" s="39">
        <v>2</v>
      </c>
      <c r="G42" s="55"/>
      <c r="H42" s="23">
        <v>22</v>
      </c>
      <c r="I42" s="56"/>
      <c r="J42" s="39">
        <v>5</v>
      </c>
      <c r="K42" s="56"/>
      <c r="L42" s="39">
        <v>7</v>
      </c>
      <c r="M42" s="56"/>
      <c r="N42" s="39">
        <v>19</v>
      </c>
      <c r="O42" s="56"/>
      <c r="P42" s="39"/>
      <c r="Q42" s="56"/>
      <c r="R42" s="39"/>
      <c r="S42" s="56"/>
      <c r="T42" s="39"/>
      <c r="U42" s="56"/>
    </row>
    <row r="43" spans="1:21" s="2" customFormat="1" ht="12.75">
      <c r="A43" s="57"/>
      <c r="B43" s="38" t="s">
        <v>72</v>
      </c>
      <c r="D43" s="39"/>
      <c r="E43" s="55"/>
      <c r="F43" s="39"/>
      <c r="G43" s="55"/>
      <c r="H43" s="23"/>
      <c r="I43" s="56"/>
      <c r="J43" s="39"/>
      <c r="K43" s="56"/>
      <c r="L43" s="39">
        <v>38</v>
      </c>
      <c r="M43" s="56">
        <v>38</v>
      </c>
      <c r="N43" s="39"/>
      <c r="O43" s="56"/>
      <c r="P43" s="39"/>
      <c r="Q43" s="56"/>
      <c r="R43" s="39"/>
      <c r="S43" s="56"/>
      <c r="T43" s="39"/>
      <c r="U43" s="56"/>
    </row>
    <row r="44" spans="1:21" s="2" customFormat="1" ht="12.75">
      <c r="A44" s="28" t="s">
        <v>88</v>
      </c>
      <c r="B44" s="29"/>
      <c r="C44" s="32"/>
      <c r="D44" s="30">
        <f aca="true" t="shared" si="8" ref="D44:Q44">SUM(D45:D50)</f>
        <v>327</v>
      </c>
      <c r="E44" s="30">
        <f t="shared" si="8"/>
        <v>0</v>
      </c>
      <c r="F44" s="30">
        <f t="shared" si="8"/>
        <v>427</v>
      </c>
      <c r="G44" s="30">
        <f t="shared" si="8"/>
        <v>0</v>
      </c>
      <c r="H44" s="30">
        <f t="shared" si="8"/>
        <v>288</v>
      </c>
      <c r="I44" s="30">
        <f t="shared" si="8"/>
        <v>0</v>
      </c>
      <c r="J44" s="30">
        <f t="shared" si="8"/>
        <v>254</v>
      </c>
      <c r="K44" s="30">
        <f t="shared" si="8"/>
        <v>113</v>
      </c>
      <c r="L44" s="30">
        <f t="shared" si="8"/>
        <v>714</v>
      </c>
      <c r="M44" s="30">
        <f t="shared" si="8"/>
        <v>620</v>
      </c>
      <c r="N44" s="30">
        <f t="shared" si="8"/>
        <v>518</v>
      </c>
      <c r="O44" s="30">
        <f t="shared" si="8"/>
        <v>404</v>
      </c>
      <c r="P44" s="30">
        <f t="shared" si="8"/>
        <v>179</v>
      </c>
      <c r="Q44" s="30">
        <f t="shared" si="8"/>
        <v>78</v>
      </c>
      <c r="R44" s="30">
        <f>SUM(R45:R50)</f>
        <v>101</v>
      </c>
      <c r="S44" s="30">
        <f>SUM(S45:S50)</f>
        <v>20</v>
      </c>
      <c r="T44" s="30">
        <f>SUM(T45:T50)</f>
        <v>63</v>
      </c>
      <c r="U44" s="30">
        <f>SUM(U45:U50)</f>
        <v>0</v>
      </c>
    </row>
    <row r="45" spans="1:21" s="42" customFormat="1" ht="12.75">
      <c r="A45" s="57"/>
      <c r="B45" s="38" t="s">
        <v>52</v>
      </c>
      <c r="C45" s="2"/>
      <c r="D45" s="40">
        <v>204</v>
      </c>
      <c r="E45" s="51"/>
      <c r="F45" s="39">
        <v>193</v>
      </c>
      <c r="G45" s="55"/>
      <c r="H45" s="23">
        <v>190</v>
      </c>
      <c r="I45" s="56"/>
      <c r="J45" s="39">
        <v>38</v>
      </c>
      <c r="K45" s="56"/>
      <c r="L45" s="39">
        <v>8</v>
      </c>
      <c r="M45" s="56"/>
      <c r="N45" s="39">
        <v>2</v>
      </c>
      <c r="O45" s="56"/>
      <c r="P45" s="39">
        <v>7</v>
      </c>
      <c r="Q45" s="56"/>
      <c r="R45" s="39">
        <v>3</v>
      </c>
      <c r="S45" s="56"/>
      <c r="T45" s="39">
        <v>4</v>
      </c>
      <c r="U45" s="56"/>
    </row>
    <row r="46" spans="1:21" s="42" customFormat="1" ht="12.75">
      <c r="A46" s="57"/>
      <c r="B46" s="38" t="s">
        <v>53</v>
      </c>
      <c r="C46" s="2"/>
      <c r="D46" s="40">
        <v>123</v>
      </c>
      <c r="E46" s="51"/>
      <c r="F46" s="39">
        <v>234</v>
      </c>
      <c r="G46" s="55"/>
      <c r="H46" s="23">
        <v>98</v>
      </c>
      <c r="I46" s="56"/>
      <c r="J46" s="39">
        <v>103</v>
      </c>
      <c r="K46" s="56"/>
      <c r="L46" s="39">
        <v>86</v>
      </c>
      <c r="M46" s="56"/>
      <c r="N46" s="39">
        <v>112</v>
      </c>
      <c r="O46" s="56"/>
      <c r="P46" s="39">
        <v>94</v>
      </c>
      <c r="Q46" s="56"/>
      <c r="R46" s="39">
        <v>78</v>
      </c>
      <c r="S46" s="56"/>
      <c r="T46" s="39">
        <v>59</v>
      </c>
      <c r="U46" s="56"/>
    </row>
    <row r="47" spans="1:21" s="42" customFormat="1" ht="12.75">
      <c r="A47" s="57"/>
      <c r="B47" s="10" t="s">
        <v>65</v>
      </c>
      <c r="C47" s="2"/>
      <c r="D47" s="40"/>
      <c r="E47" s="51"/>
      <c r="F47" s="39"/>
      <c r="G47" s="55"/>
      <c r="H47" s="23"/>
      <c r="I47" s="56"/>
      <c r="J47" s="39"/>
      <c r="K47" s="56"/>
      <c r="L47" s="39"/>
      <c r="M47" s="56"/>
      <c r="N47" s="39"/>
      <c r="O47" s="56"/>
      <c r="P47" s="39">
        <v>78</v>
      </c>
      <c r="Q47" s="56">
        <v>78</v>
      </c>
      <c r="R47" s="39"/>
      <c r="S47" s="56"/>
      <c r="T47" s="39"/>
      <c r="U47" s="56"/>
    </row>
    <row r="48" spans="1:21" s="42" customFormat="1" ht="12.75">
      <c r="A48" s="57"/>
      <c r="B48" s="38" t="s">
        <v>16</v>
      </c>
      <c r="C48" s="2"/>
      <c r="D48" s="40"/>
      <c r="E48" s="51"/>
      <c r="F48" s="39"/>
      <c r="G48" s="55"/>
      <c r="H48" s="23"/>
      <c r="I48" s="56"/>
      <c r="J48" s="39"/>
      <c r="K48" s="56"/>
      <c r="L48" s="39"/>
      <c r="M48" s="56"/>
      <c r="N48" s="39"/>
      <c r="O48" s="56"/>
      <c r="P48" s="39"/>
      <c r="Q48" s="56"/>
      <c r="R48" s="39">
        <v>20</v>
      </c>
      <c r="S48" s="56">
        <v>20</v>
      </c>
      <c r="T48" s="39"/>
      <c r="U48" s="56"/>
    </row>
    <row r="49" spans="1:21" s="2" customFormat="1" ht="12.75">
      <c r="A49" s="57"/>
      <c r="B49" s="38" t="s">
        <v>66</v>
      </c>
      <c r="D49" s="40"/>
      <c r="E49" s="51"/>
      <c r="F49" s="39"/>
      <c r="G49" s="55"/>
      <c r="H49" s="23"/>
      <c r="I49" s="56"/>
      <c r="J49" s="39">
        <v>62</v>
      </c>
      <c r="K49" s="56">
        <v>62</v>
      </c>
      <c r="L49" s="39">
        <v>620</v>
      </c>
      <c r="M49" s="56">
        <v>620</v>
      </c>
      <c r="N49" s="39">
        <v>404</v>
      </c>
      <c r="O49" s="56">
        <v>404</v>
      </c>
      <c r="P49" s="39"/>
      <c r="Q49" s="56"/>
      <c r="R49" s="39"/>
      <c r="S49" s="56"/>
      <c r="T49" s="39"/>
      <c r="U49" s="56"/>
    </row>
    <row r="50" spans="1:21" s="2" customFormat="1" ht="12.75">
      <c r="A50" s="62"/>
      <c r="B50" s="16" t="s">
        <v>111</v>
      </c>
      <c r="D50" s="41"/>
      <c r="E50" s="61"/>
      <c r="F50" s="71"/>
      <c r="G50" s="72"/>
      <c r="H50" s="24"/>
      <c r="I50" s="64"/>
      <c r="J50" s="71">
        <v>51</v>
      </c>
      <c r="K50" s="89">
        <v>51</v>
      </c>
      <c r="L50" s="71"/>
      <c r="M50" s="89"/>
      <c r="N50" s="71"/>
      <c r="O50" s="89"/>
      <c r="P50" s="71"/>
      <c r="Q50" s="89"/>
      <c r="R50" s="71"/>
      <c r="S50" s="89"/>
      <c r="T50" s="71"/>
      <c r="U50" s="89"/>
    </row>
    <row r="51" spans="1:21" s="2" customFormat="1" ht="12.75">
      <c r="A51" s="29" t="s">
        <v>129</v>
      </c>
      <c r="B51" s="32"/>
      <c r="C51" s="32"/>
      <c r="D51" s="30">
        <f>SUM(D52:D71)</f>
        <v>124680</v>
      </c>
      <c r="E51" s="30">
        <f aca="true" t="shared" si="9" ref="E51:U51">SUM(E52:E71)</f>
        <v>2</v>
      </c>
      <c r="F51" s="30">
        <f t="shared" si="9"/>
        <v>116565</v>
      </c>
      <c r="G51" s="30">
        <f t="shared" si="9"/>
        <v>2</v>
      </c>
      <c r="H51" s="30">
        <f t="shared" si="9"/>
        <v>113527</v>
      </c>
      <c r="I51" s="30">
        <f t="shared" si="9"/>
        <v>2</v>
      </c>
      <c r="J51" s="30">
        <f t="shared" si="9"/>
        <v>123166</v>
      </c>
      <c r="K51" s="30">
        <f t="shared" si="9"/>
        <v>26</v>
      </c>
      <c r="L51" s="30">
        <f t="shared" si="9"/>
        <v>130203</v>
      </c>
      <c r="M51" s="30">
        <f t="shared" si="9"/>
        <v>10</v>
      </c>
      <c r="N51" s="30">
        <f t="shared" si="9"/>
        <v>143371</v>
      </c>
      <c r="O51" s="30">
        <f t="shared" si="9"/>
        <v>6</v>
      </c>
      <c r="P51" s="30">
        <f t="shared" si="9"/>
        <v>130928</v>
      </c>
      <c r="Q51" s="30">
        <f t="shared" si="9"/>
        <v>2</v>
      </c>
      <c r="R51" s="30">
        <f t="shared" si="9"/>
        <v>134114</v>
      </c>
      <c r="S51" s="30">
        <f t="shared" si="9"/>
        <v>2</v>
      </c>
      <c r="T51" s="30">
        <f t="shared" si="9"/>
        <v>123921</v>
      </c>
      <c r="U51" s="30">
        <f t="shared" si="9"/>
        <v>1</v>
      </c>
    </row>
    <row r="52" spans="1:21" s="2" customFormat="1" ht="12.75">
      <c r="A52" s="102"/>
      <c r="B52" s="10" t="s">
        <v>25</v>
      </c>
      <c r="D52" s="98">
        <v>59440</v>
      </c>
      <c r="E52" s="87"/>
      <c r="F52" s="87">
        <v>58487</v>
      </c>
      <c r="G52" s="87"/>
      <c r="H52" s="98">
        <v>52570</v>
      </c>
      <c r="I52" s="87"/>
      <c r="J52" s="87">
        <v>69381</v>
      </c>
      <c r="K52" s="87"/>
      <c r="L52" s="87">
        <v>5982</v>
      </c>
      <c r="M52" s="87"/>
      <c r="N52" s="87"/>
      <c r="O52" s="87"/>
      <c r="P52" s="87">
        <v>463</v>
      </c>
      <c r="Q52" s="87"/>
      <c r="R52" s="87">
        <v>8152</v>
      </c>
      <c r="S52" s="87"/>
      <c r="T52" s="87">
        <v>10212</v>
      </c>
      <c r="U52" s="87"/>
    </row>
    <row r="53" spans="1:21" s="2" customFormat="1" ht="12.75">
      <c r="A53" s="102"/>
      <c r="B53" s="10" t="s">
        <v>89</v>
      </c>
      <c r="D53" s="98"/>
      <c r="E53" s="81"/>
      <c r="F53" s="87"/>
      <c r="G53" s="81"/>
      <c r="H53" s="98"/>
      <c r="I53" s="81"/>
      <c r="J53" s="87"/>
      <c r="K53" s="81"/>
      <c r="L53" s="87">
        <v>64952</v>
      </c>
      <c r="M53" s="81"/>
      <c r="N53" s="87">
        <v>91870</v>
      </c>
      <c r="O53" s="81"/>
      <c r="P53" s="87">
        <v>93361</v>
      </c>
      <c r="Q53" s="81"/>
      <c r="R53" s="87">
        <v>92691</v>
      </c>
      <c r="S53" s="81"/>
      <c r="T53" s="87">
        <v>91684</v>
      </c>
      <c r="U53" s="81"/>
    </row>
    <row r="54" spans="1:21" s="2" customFormat="1" ht="12.75">
      <c r="A54" s="102"/>
      <c r="B54" s="10" t="s">
        <v>123</v>
      </c>
      <c r="D54" s="98"/>
      <c r="E54" s="81"/>
      <c r="F54" s="87"/>
      <c r="G54" s="81"/>
      <c r="H54" s="98"/>
      <c r="I54" s="81"/>
      <c r="J54" s="87"/>
      <c r="K54" s="81"/>
      <c r="L54" s="87"/>
      <c r="M54" s="81"/>
      <c r="N54" s="87"/>
      <c r="O54" s="81"/>
      <c r="P54" s="87"/>
      <c r="Q54" s="81"/>
      <c r="R54" s="87"/>
      <c r="S54" s="81"/>
      <c r="T54" s="87">
        <v>234</v>
      </c>
      <c r="U54" s="81"/>
    </row>
    <row r="55" spans="1:21" s="2" customFormat="1" ht="12.75">
      <c r="A55" s="102"/>
      <c r="B55" s="10" t="s">
        <v>26</v>
      </c>
      <c r="D55" s="98">
        <v>28398</v>
      </c>
      <c r="E55" s="81"/>
      <c r="F55" s="87">
        <v>21531</v>
      </c>
      <c r="G55" s="81"/>
      <c r="H55" s="98">
        <v>17029</v>
      </c>
      <c r="I55" s="81"/>
      <c r="J55" s="87">
        <v>14691</v>
      </c>
      <c r="K55" s="81"/>
      <c r="L55" s="87">
        <v>13496</v>
      </c>
      <c r="M55" s="81"/>
      <c r="N55" s="87">
        <v>11156</v>
      </c>
      <c r="O55" s="81"/>
      <c r="P55" s="87">
        <v>2111</v>
      </c>
      <c r="Q55" s="81"/>
      <c r="R55" s="87">
        <v>1494</v>
      </c>
      <c r="S55" s="81"/>
      <c r="T55" s="87">
        <v>1494</v>
      </c>
      <c r="U55" s="81"/>
    </row>
    <row r="56" spans="1:21" s="2" customFormat="1" ht="12.75">
      <c r="A56" s="102"/>
      <c r="B56" s="38" t="s">
        <v>18</v>
      </c>
      <c r="D56" s="98"/>
      <c r="E56" s="81"/>
      <c r="F56" s="87">
        <v>1</v>
      </c>
      <c r="G56" s="81"/>
      <c r="H56" s="98"/>
      <c r="I56" s="81"/>
      <c r="J56" s="87">
        <v>6</v>
      </c>
      <c r="K56" s="81"/>
      <c r="L56" s="87">
        <v>10</v>
      </c>
      <c r="M56" s="81"/>
      <c r="N56" s="87"/>
      <c r="O56" s="81"/>
      <c r="P56" s="87">
        <v>5</v>
      </c>
      <c r="Q56" s="81"/>
      <c r="R56" s="87"/>
      <c r="S56" s="81"/>
      <c r="T56" s="87"/>
      <c r="U56" s="81"/>
    </row>
    <row r="57" spans="1:21" s="2" customFormat="1" ht="12.75">
      <c r="A57" s="102"/>
      <c r="B57" s="10" t="s">
        <v>27</v>
      </c>
      <c r="D57" s="98">
        <v>2</v>
      </c>
      <c r="E57" s="81">
        <v>2</v>
      </c>
      <c r="F57" s="87">
        <v>2</v>
      </c>
      <c r="G57" s="81">
        <v>2</v>
      </c>
      <c r="H57" s="98">
        <v>2</v>
      </c>
      <c r="I57" s="81">
        <v>2</v>
      </c>
      <c r="J57" s="87">
        <v>14</v>
      </c>
      <c r="K57" s="81">
        <v>14</v>
      </c>
      <c r="L57" s="87">
        <v>10</v>
      </c>
      <c r="M57" s="81">
        <v>10</v>
      </c>
      <c r="N57" s="87">
        <v>6</v>
      </c>
      <c r="O57" s="81">
        <v>6</v>
      </c>
      <c r="P57" s="87">
        <v>2</v>
      </c>
      <c r="Q57" s="81">
        <v>2</v>
      </c>
      <c r="R57" s="87">
        <v>2</v>
      </c>
      <c r="S57" s="81">
        <v>2</v>
      </c>
      <c r="T57" s="87">
        <v>1</v>
      </c>
      <c r="U57" s="81">
        <v>1</v>
      </c>
    </row>
    <row r="58" spans="1:21" s="2" customFormat="1" ht="12.75">
      <c r="A58" s="102"/>
      <c r="B58" s="10" t="s">
        <v>28</v>
      </c>
      <c r="D58" s="98">
        <v>558</v>
      </c>
      <c r="E58" s="81"/>
      <c r="F58" s="87">
        <v>396</v>
      </c>
      <c r="G58" s="81"/>
      <c r="H58" s="98">
        <v>4516</v>
      </c>
      <c r="I58" s="81"/>
      <c r="J58" s="87">
        <v>3672</v>
      </c>
      <c r="K58" s="81">
        <v>12</v>
      </c>
      <c r="L58" s="87">
        <v>2946</v>
      </c>
      <c r="M58" s="81"/>
      <c r="N58" s="87">
        <v>2280</v>
      </c>
      <c r="O58" s="81"/>
      <c r="P58" s="87">
        <v>3381</v>
      </c>
      <c r="Q58" s="81"/>
      <c r="R58" s="87">
        <v>2663</v>
      </c>
      <c r="S58" s="81"/>
      <c r="T58" s="87">
        <v>2829</v>
      </c>
      <c r="U58" s="81"/>
    </row>
    <row r="59" spans="1:21" s="2" customFormat="1" ht="12.75">
      <c r="A59" s="102"/>
      <c r="B59" s="10" t="s">
        <v>29</v>
      </c>
      <c r="D59" s="98">
        <v>2868</v>
      </c>
      <c r="E59" s="81"/>
      <c r="F59" s="87">
        <v>2723</v>
      </c>
      <c r="G59" s="81"/>
      <c r="H59" s="98">
        <v>2374</v>
      </c>
      <c r="I59" s="81"/>
      <c r="J59" s="87">
        <v>1639</v>
      </c>
      <c r="K59" s="81"/>
      <c r="L59" s="87">
        <v>1353</v>
      </c>
      <c r="M59" s="81"/>
      <c r="N59" s="87">
        <v>2117</v>
      </c>
      <c r="O59" s="81"/>
      <c r="P59" s="87">
        <v>150</v>
      </c>
      <c r="Q59" s="81"/>
      <c r="R59" s="87">
        <v>35</v>
      </c>
      <c r="S59" s="81"/>
      <c r="T59" s="87">
        <v>27</v>
      </c>
      <c r="U59" s="81"/>
    </row>
    <row r="60" spans="1:21" s="2" customFormat="1" ht="12.75">
      <c r="A60" s="102"/>
      <c r="B60" s="10" t="s">
        <v>34</v>
      </c>
      <c r="D60" s="98">
        <v>4403</v>
      </c>
      <c r="E60" s="81"/>
      <c r="F60" s="87">
        <v>5127</v>
      </c>
      <c r="G60" s="81"/>
      <c r="H60" s="98">
        <v>6177</v>
      </c>
      <c r="I60" s="81"/>
      <c r="J60" s="87">
        <v>6126</v>
      </c>
      <c r="K60" s="81"/>
      <c r="L60" s="87">
        <v>6266</v>
      </c>
      <c r="M60" s="81"/>
      <c r="N60" s="87">
        <v>8382</v>
      </c>
      <c r="O60" s="81"/>
      <c r="P60" s="87">
        <v>8325</v>
      </c>
      <c r="Q60" s="81"/>
      <c r="R60" s="87">
        <v>12218</v>
      </c>
      <c r="S60" s="81"/>
      <c r="T60" s="87">
        <v>3487</v>
      </c>
      <c r="U60" s="81"/>
    </row>
    <row r="61" spans="1:21" s="2" customFormat="1" ht="12.75">
      <c r="A61" s="102"/>
      <c r="B61" s="10" t="s">
        <v>30</v>
      </c>
      <c r="D61" s="98">
        <v>15530</v>
      </c>
      <c r="E61" s="81"/>
      <c r="F61" s="87">
        <v>15530</v>
      </c>
      <c r="G61" s="81"/>
      <c r="H61" s="98">
        <v>15530</v>
      </c>
      <c r="I61" s="81"/>
      <c r="J61" s="87">
        <v>15530</v>
      </c>
      <c r="K61" s="81"/>
      <c r="L61" s="87">
        <v>15375</v>
      </c>
      <c r="M61" s="81"/>
      <c r="N61" s="87"/>
      <c r="O61" s="81"/>
      <c r="P61" s="87"/>
      <c r="Q61" s="81"/>
      <c r="R61" s="87"/>
      <c r="S61" s="81"/>
      <c r="T61" s="87"/>
      <c r="U61" s="81"/>
    </row>
    <row r="62" spans="1:21" s="2" customFormat="1" ht="12.75">
      <c r="A62" s="102"/>
      <c r="B62" s="10" t="s">
        <v>31</v>
      </c>
      <c r="D62" s="98">
        <v>722</v>
      </c>
      <c r="E62" s="81"/>
      <c r="F62" s="87">
        <v>722</v>
      </c>
      <c r="G62" s="81"/>
      <c r="H62" s="98">
        <v>722</v>
      </c>
      <c r="I62" s="81"/>
      <c r="J62" s="87">
        <v>722</v>
      </c>
      <c r="K62" s="81"/>
      <c r="L62" s="87">
        <v>714</v>
      </c>
      <c r="M62" s="81"/>
      <c r="N62" s="87"/>
      <c r="O62" s="81"/>
      <c r="P62" s="87"/>
      <c r="Q62" s="81"/>
      <c r="R62" s="87"/>
      <c r="S62" s="81"/>
      <c r="T62" s="87"/>
      <c r="U62" s="81"/>
    </row>
    <row r="63" spans="1:21" s="2" customFormat="1" ht="12.75">
      <c r="A63" s="102"/>
      <c r="B63" s="10" t="s">
        <v>36</v>
      </c>
      <c r="D63" s="98">
        <v>2</v>
      </c>
      <c r="E63" s="81"/>
      <c r="F63" s="87">
        <v>2</v>
      </c>
      <c r="G63" s="81"/>
      <c r="H63" s="98">
        <v>3614</v>
      </c>
      <c r="I63" s="81"/>
      <c r="J63" s="87">
        <v>2</v>
      </c>
      <c r="K63" s="81"/>
      <c r="L63" s="87">
        <v>2</v>
      </c>
      <c r="M63" s="81"/>
      <c r="N63" s="87">
        <v>18</v>
      </c>
      <c r="O63" s="81"/>
      <c r="P63" s="87">
        <v>50</v>
      </c>
      <c r="Q63" s="81"/>
      <c r="R63" s="87">
        <v>27</v>
      </c>
      <c r="S63" s="81"/>
      <c r="T63" s="87"/>
      <c r="U63" s="81"/>
    </row>
    <row r="64" spans="1:21" s="2" customFormat="1" ht="12.75">
      <c r="A64" s="102"/>
      <c r="B64" s="10" t="s">
        <v>21</v>
      </c>
      <c r="D64" s="98">
        <v>493</v>
      </c>
      <c r="E64" s="81"/>
      <c r="F64" s="87">
        <v>442</v>
      </c>
      <c r="G64" s="81"/>
      <c r="H64" s="98">
        <v>194</v>
      </c>
      <c r="I64" s="81"/>
      <c r="J64" s="87">
        <v>235</v>
      </c>
      <c r="K64" s="81"/>
      <c r="L64" s="87">
        <v>261</v>
      </c>
      <c r="M64" s="81"/>
      <c r="N64" s="87">
        <v>551</v>
      </c>
      <c r="O64" s="81"/>
      <c r="P64" s="87">
        <v>559</v>
      </c>
      <c r="Q64" s="81"/>
      <c r="R64" s="87">
        <v>321</v>
      </c>
      <c r="S64" s="81"/>
      <c r="T64" s="87">
        <v>330</v>
      </c>
      <c r="U64" s="81"/>
    </row>
    <row r="65" spans="1:21" s="2" customFormat="1" ht="12.75">
      <c r="A65" s="102"/>
      <c r="B65" s="10" t="s">
        <v>60</v>
      </c>
      <c r="D65" s="98"/>
      <c r="E65" s="81"/>
      <c r="F65" s="87"/>
      <c r="G65" s="81"/>
      <c r="H65" s="98"/>
      <c r="I65" s="81"/>
      <c r="J65" s="87"/>
      <c r="K65" s="81"/>
      <c r="L65" s="87"/>
      <c r="M65" s="81"/>
      <c r="N65" s="87"/>
      <c r="O65" s="81"/>
      <c r="P65" s="87">
        <v>54</v>
      </c>
      <c r="Q65" s="81"/>
      <c r="R65" s="87">
        <v>11</v>
      </c>
      <c r="S65" s="81"/>
      <c r="T65" s="87">
        <v>10</v>
      </c>
      <c r="U65" s="81"/>
    </row>
    <row r="66" spans="1:21" s="2" customFormat="1" ht="12.75">
      <c r="A66" s="102"/>
      <c r="B66" s="38" t="s">
        <v>32</v>
      </c>
      <c r="D66" s="98">
        <v>1291</v>
      </c>
      <c r="E66" s="81"/>
      <c r="F66" s="87">
        <v>1291</v>
      </c>
      <c r="G66" s="81"/>
      <c r="H66" s="98">
        <v>1291</v>
      </c>
      <c r="I66" s="81"/>
      <c r="J66" s="87">
        <v>1291</v>
      </c>
      <c r="K66" s="81"/>
      <c r="L66" s="87">
        <v>430</v>
      </c>
      <c r="M66" s="81"/>
      <c r="N66" s="87"/>
      <c r="O66" s="81"/>
      <c r="P66" s="87"/>
      <c r="Q66" s="81"/>
      <c r="R66" s="87"/>
      <c r="S66" s="81"/>
      <c r="T66" s="87"/>
      <c r="U66" s="81"/>
    </row>
    <row r="67" spans="1:21" s="2" customFormat="1" ht="12.75">
      <c r="A67" s="102"/>
      <c r="B67" s="10" t="s">
        <v>33</v>
      </c>
      <c r="D67" s="98">
        <v>4724</v>
      </c>
      <c r="E67" s="81"/>
      <c r="F67" s="87">
        <v>6294</v>
      </c>
      <c r="G67" s="81"/>
      <c r="H67" s="98">
        <v>4693</v>
      </c>
      <c r="I67" s="81"/>
      <c r="J67" s="87">
        <v>5371</v>
      </c>
      <c r="K67" s="81"/>
      <c r="L67" s="87">
        <v>2853</v>
      </c>
      <c r="M67" s="81"/>
      <c r="N67" s="87">
        <v>4532</v>
      </c>
      <c r="O67" s="81"/>
      <c r="P67" s="87">
        <v>3832</v>
      </c>
      <c r="Q67" s="81"/>
      <c r="R67" s="87">
        <v>4617</v>
      </c>
      <c r="S67" s="81"/>
      <c r="T67" s="87">
        <v>2499</v>
      </c>
      <c r="U67" s="81"/>
    </row>
    <row r="68" spans="1:21" s="2" customFormat="1" ht="12.75">
      <c r="A68" s="102"/>
      <c r="B68" s="10" t="s">
        <v>14</v>
      </c>
      <c r="D68" s="98">
        <v>1378</v>
      </c>
      <c r="E68" s="81"/>
      <c r="F68" s="87"/>
      <c r="G68" s="81"/>
      <c r="H68" s="98"/>
      <c r="I68" s="81"/>
      <c r="J68" s="87"/>
      <c r="K68" s="81"/>
      <c r="L68" s="87"/>
      <c r="M68" s="81"/>
      <c r="N68" s="87"/>
      <c r="O68" s="81"/>
      <c r="P68" s="87"/>
      <c r="Q68" s="81"/>
      <c r="R68" s="87"/>
      <c r="S68" s="81"/>
      <c r="T68" s="87"/>
      <c r="U68" s="81"/>
    </row>
    <row r="69" spans="1:21" s="2" customFormat="1" ht="12.75">
      <c r="A69" s="102"/>
      <c r="B69" s="38" t="s">
        <v>35</v>
      </c>
      <c r="D69" s="98">
        <v>3</v>
      </c>
      <c r="E69" s="81"/>
      <c r="F69" s="87">
        <v>3</v>
      </c>
      <c r="G69" s="81"/>
      <c r="H69" s="98">
        <v>1036</v>
      </c>
      <c r="I69" s="81"/>
      <c r="J69" s="87">
        <v>1036</v>
      </c>
      <c r="K69" s="81"/>
      <c r="L69" s="87">
        <v>12247</v>
      </c>
      <c r="M69" s="81"/>
      <c r="N69" s="87">
        <v>19199</v>
      </c>
      <c r="O69" s="81"/>
      <c r="P69" s="87">
        <v>14238</v>
      </c>
      <c r="Q69" s="81"/>
      <c r="R69" s="87">
        <v>9270</v>
      </c>
      <c r="S69" s="81"/>
      <c r="T69" s="87">
        <v>9676</v>
      </c>
      <c r="U69" s="81"/>
    </row>
    <row r="70" spans="1:21" s="2" customFormat="1" ht="12.75">
      <c r="A70" s="102"/>
      <c r="B70" s="38" t="s">
        <v>53</v>
      </c>
      <c r="D70" s="98">
        <v>4868</v>
      </c>
      <c r="E70" s="81"/>
      <c r="F70" s="87">
        <v>4014</v>
      </c>
      <c r="G70" s="81"/>
      <c r="H70" s="98">
        <v>3779</v>
      </c>
      <c r="I70" s="81"/>
      <c r="J70" s="87">
        <v>3450</v>
      </c>
      <c r="K70" s="81"/>
      <c r="L70" s="87">
        <v>3306</v>
      </c>
      <c r="M70" s="81"/>
      <c r="N70" s="87">
        <v>3260</v>
      </c>
      <c r="O70" s="81"/>
      <c r="P70" s="87">
        <v>1585</v>
      </c>
      <c r="Q70" s="81"/>
      <c r="R70" s="87">
        <v>1500</v>
      </c>
      <c r="S70" s="81"/>
      <c r="T70" s="87">
        <v>1438</v>
      </c>
      <c r="U70" s="81"/>
    </row>
    <row r="71" spans="1:21" s="2" customFormat="1" ht="12.75">
      <c r="A71" s="122"/>
      <c r="B71" s="63" t="s">
        <v>103</v>
      </c>
      <c r="C71" s="65"/>
      <c r="D71" s="123"/>
      <c r="E71" s="89"/>
      <c r="F71" s="104"/>
      <c r="G71" s="89"/>
      <c r="H71" s="123"/>
      <c r="I71" s="89"/>
      <c r="J71" s="104"/>
      <c r="K71" s="89"/>
      <c r="L71" s="104"/>
      <c r="M71" s="89"/>
      <c r="N71" s="104"/>
      <c r="O71" s="89"/>
      <c r="P71" s="104">
        <v>2812</v>
      </c>
      <c r="Q71" s="89"/>
      <c r="R71" s="104">
        <v>1113</v>
      </c>
      <c r="S71" s="89"/>
      <c r="T71" s="104"/>
      <c r="U71" s="89"/>
    </row>
    <row r="72" spans="1:23" s="2" customFormat="1" ht="12.75">
      <c r="A72" s="91" t="s">
        <v>130</v>
      </c>
      <c r="B72" s="101"/>
      <c r="C72" s="32"/>
      <c r="D72" s="36">
        <f>SUM(D73:D75)</f>
        <v>44</v>
      </c>
      <c r="E72" s="36">
        <f aca="true" t="shared" si="10" ref="E72:U72">SUM(E73:E75)</f>
        <v>44</v>
      </c>
      <c r="F72" s="36">
        <f t="shared" si="10"/>
        <v>49</v>
      </c>
      <c r="G72" s="36">
        <f t="shared" si="10"/>
        <v>49</v>
      </c>
      <c r="H72" s="36">
        <f t="shared" si="10"/>
        <v>81</v>
      </c>
      <c r="I72" s="36">
        <f t="shared" si="10"/>
        <v>81</v>
      </c>
      <c r="J72" s="36">
        <f t="shared" si="10"/>
        <v>202</v>
      </c>
      <c r="K72" s="36">
        <f t="shared" si="10"/>
        <v>202</v>
      </c>
      <c r="L72" s="36">
        <f t="shared" si="10"/>
        <v>21</v>
      </c>
      <c r="M72" s="36">
        <f t="shared" si="10"/>
        <v>21</v>
      </c>
      <c r="N72" s="36">
        <f t="shared" si="10"/>
        <v>20</v>
      </c>
      <c r="O72" s="36">
        <f t="shared" si="10"/>
        <v>20</v>
      </c>
      <c r="P72" s="36">
        <f t="shared" si="10"/>
        <v>23</v>
      </c>
      <c r="Q72" s="36">
        <f t="shared" si="10"/>
        <v>23</v>
      </c>
      <c r="R72" s="36">
        <f t="shared" si="10"/>
        <v>53</v>
      </c>
      <c r="S72" s="36">
        <f t="shared" si="10"/>
        <v>53</v>
      </c>
      <c r="T72" s="36">
        <f t="shared" si="10"/>
        <v>1</v>
      </c>
      <c r="U72" s="36">
        <f t="shared" si="10"/>
        <v>1</v>
      </c>
      <c r="W72" s="115"/>
    </row>
    <row r="73" spans="1:21" s="2" customFormat="1" ht="12.75">
      <c r="A73" s="9"/>
      <c r="B73" s="37" t="s">
        <v>17</v>
      </c>
      <c r="C73"/>
      <c r="D73" s="25">
        <v>44</v>
      </c>
      <c r="E73" s="48">
        <v>44</v>
      </c>
      <c r="F73" s="25">
        <v>25</v>
      </c>
      <c r="G73" s="48">
        <v>25</v>
      </c>
      <c r="H73" s="23">
        <v>81</v>
      </c>
      <c r="I73" s="20">
        <v>81</v>
      </c>
      <c r="J73" s="25">
        <v>195</v>
      </c>
      <c r="K73" s="88">
        <v>195</v>
      </c>
      <c r="L73" s="25">
        <v>20</v>
      </c>
      <c r="M73" s="88">
        <v>20</v>
      </c>
      <c r="N73" s="25">
        <v>20</v>
      </c>
      <c r="O73" s="88">
        <v>20</v>
      </c>
      <c r="P73" s="25">
        <v>20</v>
      </c>
      <c r="Q73" s="88">
        <v>20</v>
      </c>
      <c r="R73" s="25"/>
      <c r="S73" s="88"/>
      <c r="T73" s="25">
        <v>1</v>
      </c>
      <c r="U73" s="88">
        <v>1</v>
      </c>
    </row>
    <row r="74" spans="1:21" s="2" customFormat="1" ht="12.75">
      <c r="A74" s="9"/>
      <c r="B74" s="38" t="s">
        <v>66</v>
      </c>
      <c r="C74"/>
      <c r="D74" s="25"/>
      <c r="E74" s="48"/>
      <c r="F74" s="25">
        <v>24</v>
      </c>
      <c r="G74" s="48">
        <v>24</v>
      </c>
      <c r="H74" s="23"/>
      <c r="I74" s="20"/>
      <c r="J74" s="25">
        <v>7</v>
      </c>
      <c r="K74" s="23">
        <v>7</v>
      </c>
      <c r="L74" s="25">
        <v>1</v>
      </c>
      <c r="M74" s="23">
        <v>1</v>
      </c>
      <c r="N74" s="25"/>
      <c r="O74" s="23"/>
      <c r="P74" s="25">
        <v>3</v>
      </c>
      <c r="Q74" s="23">
        <v>3</v>
      </c>
      <c r="R74" s="25">
        <v>1</v>
      </c>
      <c r="S74" s="23">
        <v>1</v>
      </c>
      <c r="T74" s="25"/>
      <c r="U74" s="23"/>
    </row>
    <row r="75" spans="1:21" s="2" customFormat="1" ht="12.75">
      <c r="A75" s="9"/>
      <c r="B75" s="38" t="s">
        <v>72</v>
      </c>
      <c r="C75"/>
      <c r="D75" s="25"/>
      <c r="E75" s="48"/>
      <c r="F75" s="25"/>
      <c r="G75" s="48"/>
      <c r="H75" s="23"/>
      <c r="I75" s="20"/>
      <c r="J75" s="25"/>
      <c r="K75" s="23"/>
      <c r="L75" s="25"/>
      <c r="M75" s="23"/>
      <c r="N75" s="25"/>
      <c r="O75" s="23"/>
      <c r="P75" s="25"/>
      <c r="Q75" s="23"/>
      <c r="R75" s="25">
        <v>52</v>
      </c>
      <c r="S75" s="23">
        <v>52</v>
      </c>
      <c r="T75" s="25"/>
      <c r="U75" s="23"/>
    </row>
    <row r="76" spans="1:21" s="2" customFormat="1" ht="12.75">
      <c r="A76" s="93" t="s">
        <v>131</v>
      </c>
      <c r="B76" s="111"/>
      <c r="C76" s="127"/>
      <c r="D76" s="128">
        <f>+D77+D86+D97+D120+D131+D148+D161+D173+D182+D191+D200+D210+D215+D224</f>
        <v>283610</v>
      </c>
      <c r="E76" s="128">
        <f>+E77+E86+E97+E120+E131+E148+E161+E173+E182+E191+E200+E210+E215+E224</f>
        <v>6903</v>
      </c>
      <c r="F76" s="128">
        <f>+F77+F86+F97+F120+F131+F148+F161+F173+F182+F191+F200+F210+F215+F224</f>
        <v>283850</v>
      </c>
      <c r="G76" s="128">
        <f>+G77+G86+G97+G120+G131+G148+G161+G173+G182+G191+G200+G210+G215+G224</f>
        <v>7436</v>
      </c>
      <c r="H76" s="128">
        <f>+H77+H86+H97+H120+H131+H148+H161+H173+H182+H191+H200+H210+H215+H224</f>
        <v>302371</v>
      </c>
      <c r="I76" s="128">
        <f>+I77+I86+I97+I120+I131+I148+I161+I173+I182+I191+I200+I210+I215+I224</f>
        <v>14415</v>
      </c>
      <c r="J76" s="128">
        <f>+J77+J86+J97+J120+J131+J148+J161+J173+J182+J191+J200+J210+J215+J224</f>
        <v>297633</v>
      </c>
      <c r="K76" s="128">
        <f>+K77+K86+K97+K120+K131+K148+K161+K173+K182+K191+K200+K210+K215+K224</f>
        <v>15138</v>
      </c>
      <c r="L76" s="128">
        <f>+L77+L86+L97+L120+L131+L148+L161+L173+L182+L191+L200+L210+L215+L224</f>
        <v>323210</v>
      </c>
      <c r="M76" s="128">
        <f>+M77+M86+M97+M120+M131+M148+M161+M173+M182+M191+M200+M210+M215+M224</f>
        <v>24610</v>
      </c>
      <c r="N76" s="128">
        <f>+N77+N86+N97+N120+N131+N148+N161+N173+N182+N191+N200+N210+N215+N224</f>
        <v>334782</v>
      </c>
      <c r="O76" s="128">
        <f>+O77+O86+O97+O120+O131+O148+O161+O173+O182+O191+O200+O210+O215+O224</f>
        <v>26192</v>
      </c>
      <c r="P76" s="128">
        <f>+P77+P86+P97+P120+P131+P148+P161+P173+P182+P191+P200+P210+P215+P224</f>
        <v>355179</v>
      </c>
      <c r="Q76" s="128">
        <f>+Q77+Q86+Q97+Q120+Q131+Q148+Q161+Q173+Q182+Q191+Q200+Q210+Q215+Q224</f>
        <v>28513</v>
      </c>
      <c r="R76" s="128">
        <f>+R77+R86+R97+R120+R131+R148+R161+R173+R182+R191+R200+R210+R215+R224</f>
        <v>366459</v>
      </c>
      <c r="S76" s="128">
        <f>+S77+S86+S97+S120+S131+S148+S161+S173+S182+S191+S200+S210+S215+S224</f>
        <v>32241</v>
      </c>
      <c r="T76" s="128">
        <f>+T77+T86+T97+T120+T131+T148+T161+T173+T182+T191+T200+T210+T215+T224</f>
        <v>351039</v>
      </c>
      <c r="U76" s="128">
        <f>+U77+U86+U97+U120+U131+U148+U161+U173+U182+U191+U200+U210+U215+U224</f>
        <v>18206</v>
      </c>
    </row>
    <row r="77" spans="1:21" s="2" customFormat="1" ht="12.75">
      <c r="A77" s="91" t="s">
        <v>100</v>
      </c>
      <c r="B77" s="92"/>
      <c r="C77" s="32"/>
      <c r="D77" s="36">
        <f>SUM(D78:D85)</f>
        <v>513</v>
      </c>
      <c r="E77" s="36">
        <f aca="true" t="shared" si="11" ref="E77:Q77">SUM(E78:E85)</f>
        <v>104</v>
      </c>
      <c r="F77" s="36">
        <f t="shared" si="11"/>
        <v>1248</v>
      </c>
      <c r="G77" s="36">
        <f t="shared" si="11"/>
        <v>239</v>
      </c>
      <c r="H77" s="36">
        <f t="shared" si="11"/>
        <v>879</v>
      </c>
      <c r="I77" s="36">
        <f t="shared" si="11"/>
        <v>166</v>
      </c>
      <c r="J77" s="36">
        <f t="shared" si="11"/>
        <v>2560</v>
      </c>
      <c r="K77" s="36">
        <f t="shared" si="11"/>
        <v>1789</v>
      </c>
      <c r="L77" s="36">
        <f t="shared" si="11"/>
        <v>1801</v>
      </c>
      <c r="M77" s="36">
        <f t="shared" si="11"/>
        <v>1134</v>
      </c>
      <c r="N77" s="36">
        <f t="shared" si="11"/>
        <v>1907</v>
      </c>
      <c r="O77" s="36">
        <f t="shared" si="11"/>
        <v>1693</v>
      </c>
      <c r="P77" s="36">
        <f t="shared" si="11"/>
        <v>827</v>
      </c>
      <c r="Q77" s="36">
        <f t="shared" si="11"/>
        <v>407</v>
      </c>
      <c r="R77" s="36">
        <f>SUM(R78:R85)</f>
        <v>601</v>
      </c>
      <c r="S77" s="36">
        <f>SUM(S78:S85)</f>
        <v>223</v>
      </c>
      <c r="T77" s="36">
        <f>SUM(T78:T85)</f>
        <v>1162</v>
      </c>
      <c r="U77" s="36">
        <f>SUM(U78:U85)</f>
        <v>628</v>
      </c>
    </row>
    <row r="78" spans="1:21" s="2" customFormat="1" ht="12.75">
      <c r="A78" s="57"/>
      <c r="B78" s="38" t="s">
        <v>32</v>
      </c>
      <c r="D78" s="40"/>
      <c r="E78" s="51"/>
      <c r="F78" s="40"/>
      <c r="G78" s="51"/>
      <c r="H78" s="23"/>
      <c r="I78" s="56"/>
      <c r="J78" s="40">
        <v>207</v>
      </c>
      <c r="K78" s="81"/>
      <c r="L78" s="40">
        <v>207</v>
      </c>
      <c r="M78" s="81"/>
      <c r="N78" s="40"/>
      <c r="O78" s="81"/>
      <c r="P78" s="40"/>
      <c r="Q78" s="81"/>
      <c r="R78" s="40"/>
      <c r="S78" s="81"/>
      <c r="T78" s="40">
        <v>284</v>
      </c>
      <c r="U78" s="81">
        <v>284</v>
      </c>
    </row>
    <row r="79" spans="1:21" s="2" customFormat="1" ht="12.75">
      <c r="A79" s="57"/>
      <c r="B79" s="38" t="s">
        <v>72</v>
      </c>
      <c r="D79" s="40"/>
      <c r="E79" s="51"/>
      <c r="F79" s="40"/>
      <c r="G79" s="51"/>
      <c r="H79" s="23"/>
      <c r="I79" s="56"/>
      <c r="J79" s="40"/>
      <c r="K79" s="81"/>
      <c r="L79" s="40"/>
      <c r="M79" s="81"/>
      <c r="N79" s="40"/>
      <c r="O79" s="81"/>
      <c r="P79" s="40"/>
      <c r="Q79" s="81"/>
      <c r="R79" s="40"/>
      <c r="S79" s="81"/>
      <c r="T79" s="40">
        <v>17</v>
      </c>
      <c r="U79" s="81">
        <v>17</v>
      </c>
    </row>
    <row r="80" spans="1:21" s="2" customFormat="1" ht="12.75">
      <c r="A80" s="57"/>
      <c r="B80" s="10" t="s">
        <v>24</v>
      </c>
      <c r="D80" s="23">
        <f>18+64+82</f>
        <v>164</v>
      </c>
      <c r="E80" s="18">
        <v>82</v>
      </c>
      <c r="F80" s="23">
        <f>153+79+172</f>
        <v>404</v>
      </c>
      <c r="G80" s="18">
        <v>172</v>
      </c>
      <c r="H80" s="23">
        <f>546+56+166</f>
        <v>768</v>
      </c>
      <c r="I80" s="20">
        <v>166</v>
      </c>
      <c r="J80" s="23">
        <f>508+56+77</f>
        <v>641</v>
      </c>
      <c r="K80" s="20">
        <v>77</v>
      </c>
      <c r="L80" s="23">
        <f>155+28+146</f>
        <v>329</v>
      </c>
      <c r="M80" s="20">
        <v>146</v>
      </c>
      <c r="N80" s="23">
        <f>163+134</f>
        <v>297</v>
      </c>
      <c r="O80" s="20">
        <v>134</v>
      </c>
      <c r="P80" s="23">
        <f>283+326</f>
        <v>609</v>
      </c>
      <c r="Q80" s="20">
        <v>326</v>
      </c>
      <c r="R80" s="23">
        <f>325+221</f>
        <v>546</v>
      </c>
      <c r="S80" s="20">
        <v>221</v>
      </c>
      <c r="T80" s="23">
        <f>534+112</f>
        <v>646</v>
      </c>
      <c r="U80" s="20">
        <v>112</v>
      </c>
    </row>
    <row r="81" spans="1:21" s="2" customFormat="1" ht="12.75">
      <c r="A81" s="57"/>
      <c r="B81" s="37" t="s">
        <v>19</v>
      </c>
      <c r="D81" s="23"/>
      <c r="E81" s="18"/>
      <c r="F81" s="23"/>
      <c r="G81" s="18"/>
      <c r="H81" s="23"/>
      <c r="I81" s="20"/>
      <c r="J81" s="23"/>
      <c r="K81" s="88"/>
      <c r="L81" s="23">
        <v>32</v>
      </c>
      <c r="M81" s="88"/>
      <c r="N81" s="23">
        <v>51</v>
      </c>
      <c r="O81" s="88"/>
      <c r="P81" s="23">
        <v>29</v>
      </c>
      <c r="Q81" s="88"/>
      <c r="R81" s="23"/>
      <c r="S81" s="88"/>
      <c r="T81" s="23"/>
      <c r="U81" s="88"/>
    </row>
    <row r="82" spans="1:21" s="2" customFormat="1" ht="12.75">
      <c r="A82" s="57"/>
      <c r="B82" s="38" t="s">
        <v>35</v>
      </c>
      <c r="D82" s="23">
        <v>2</v>
      </c>
      <c r="E82" s="18"/>
      <c r="F82" s="23">
        <v>2</v>
      </c>
      <c r="G82" s="18"/>
      <c r="H82" s="23"/>
      <c r="I82" s="20"/>
      <c r="J82" s="23"/>
      <c r="K82" s="20"/>
      <c r="L82" s="23"/>
      <c r="M82" s="20"/>
      <c r="N82" s="23"/>
      <c r="O82" s="20"/>
      <c r="P82" s="23"/>
      <c r="Q82" s="20"/>
      <c r="R82" s="23"/>
      <c r="S82" s="20"/>
      <c r="T82" s="23"/>
      <c r="U82" s="20"/>
    </row>
    <row r="83" spans="1:21" s="2" customFormat="1" ht="12.75">
      <c r="A83" s="57"/>
      <c r="B83" s="38" t="s">
        <v>111</v>
      </c>
      <c r="D83" s="23"/>
      <c r="E83" s="18"/>
      <c r="F83" s="23"/>
      <c r="G83" s="18"/>
      <c r="H83" s="23"/>
      <c r="I83" s="20"/>
      <c r="J83" s="23"/>
      <c r="K83" s="20"/>
      <c r="L83" s="23"/>
      <c r="M83" s="20"/>
      <c r="N83" s="23"/>
      <c r="O83" s="20"/>
      <c r="P83" s="23"/>
      <c r="Q83" s="20"/>
      <c r="R83" s="23">
        <v>2</v>
      </c>
      <c r="S83" s="20">
        <v>2</v>
      </c>
      <c r="T83" s="23">
        <v>206</v>
      </c>
      <c r="U83" s="20">
        <v>206</v>
      </c>
    </row>
    <row r="84" spans="1:21" s="2" customFormat="1" ht="12.75">
      <c r="A84" s="57"/>
      <c r="B84" s="38" t="s">
        <v>14</v>
      </c>
      <c r="D84" s="23">
        <v>56</v>
      </c>
      <c r="E84" s="18"/>
      <c r="F84" s="23"/>
      <c r="G84" s="18"/>
      <c r="H84" s="23">
        <v>111</v>
      </c>
      <c r="I84" s="20"/>
      <c r="J84" s="23">
        <v>117</v>
      </c>
      <c r="K84" s="88">
        <v>117</v>
      </c>
      <c r="L84" s="23"/>
      <c r="M84" s="88"/>
      <c r="N84" s="23"/>
      <c r="O84" s="88"/>
      <c r="P84" s="23">
        <f>108+81</f>
        <v>189</v>
      </c>
      <c r="Q84" s="88">
        <v>81</v>
      </c>
      <c r="R84" s="23">
        <v>53</v>
      </c>
      <c r="S84" s="88"/>
      <c r="T84" s="23">
        <v>9</v>
      </c>
      <c r="U84" s="88">
        <v>9</v>
      </c>
    </row>
    <row r="85" spans="1:21" s="2" customFormat="1" ht="12.75">
      <c r="A85" s="62"/>
      <c r="B85" s="63" t="s">
        <v>64</v>
      </c>
      <c r="C85" s="65"/>
      <c r="D85" s="24">
        <f>269+22</f>
        <v>291</v>
      </c>
      <c r="E85" s="99">
        <v>22</v>
      </c>
      <c r="F85" s="24">
        <f>775+67</f>
        <v>842</v>
      </c>
      <c r="G85" s="99">
        <v>67</v>
      </c>
      <c r="H85" s="24"/>
      <c r="I85" s="21"/>
      <c r="J85" s="24">
        <v>1595</v>
      </c>
      <c r="K85" s="109">
        <v>1595</v>
      </c>
      <c r="L85" s="24">
        <f>245+988</f>
        <v>1233</v>
      </c>
      <c r="M85" s="109">
        <v>988</v>
      </c>
      <c r="N85" s="24">
        <v>1559</v>
      </c>
      <c r="O85" s="109">
        <v>1559</v>
      </c>
      <c r="P85" s="24"/>
      <c r="Q85" s="109"/>
      <c r="R85" s="24"/>
      <c r="S85" s="109"/>
      <c r="T85" s="24"/>
      <c r="U85" s="109"/>
    </row>
    <row r="86" spans="1:21" s="2" customFormat="1" ht="12.75">
      <c r="A86" s="91" t="s">
        <v>99</v>
      </c>
      <c r="B86" s="101"/>
      <c r="C86" s="32"/>
      <c r="D86" s="36">
        <f>SUM(D87:D96)</f>
        <v>12456</v>
      </c>
      <c r="E86" s="36">
        <f aca="true" t="shared" si="12" ref="E86:Q86">SUM(E87:E96)</f>
        <v>40</v>
      </c>
      <c r="F86" s="36">
        <f t="shared" si="12"/>
        <v>13309</v>
      </c>
      <c r="G86" s="36">
        <f t="shared" si="12"/>
        <v>22</v>
      </c>
      <c r="H86" s="36">
        <f t="shared" si="12"/>
        <v>14531</v>
      </c>
      <c r="I86" s="36">
        <f t="shared" si="12"/>
        <v>5</v>
      </c>
      <c r="J86" s="36">
        <f t="shared" si="12"/>
        <v>13736</v>
      </c>
      <c r="K86" s="36">
        <f t="shared" si="12"/>
        <v>0</v>
      </c>
      <c r="L86" s="36">
        <f t="shared" si="12"/>
        <v>15608</v>
      </c>
      <c r="M86" s="36">
        <f t="shared" si="12"/>
        <v>0</v>
      </c>
      <c r="N86" s="36">
        <f t="shared" si="12"/>
        <v>18407</v>
      </c>
      <c r="O86" s="36">
        <f t="shared" si="12"/>
        <v>5</v>
      </c>
      <c r="P86" s="36">
        <f t="shared" si="12"/>
        <v>25805</v>
      </c>
      <c r="Q86" s="36">
        <f t="shared" si="12"/>
        <v>1</v>
      </c>
      <c r="R86" s="36">
        <f>SUM(R87:R96)</f>
        <v>30485</v>
      </c>
      <c r="S86" s="36">
        <f>SUM(S87:S96)</f>
        <v>7</v>
      </c>
      <c r="T86" s="36">
        <f>SUM(T87:T96)</f>
        <v>44489</v>
      </c>
      <c r="U86" s="36">
        <f>SUM(U87:U96)</f>
        <v>0</v>
      </c>
    </row>
    <row r="87" spans="1:21" s="2" customFormat="1" ht="12.75">
      <c r="A87" s="76"/>
      <c r="B87" s="38" t="s">
        <v>36</v>
      </c>
      <c r="C87"/>
      <c r="D87" s="23">
        <v>52</v>
      </c>
      <c r="E87" s="18"/>
      <c r="F87" s="25">
        <v>2</v>
      </c>
      <c r="G87" s="48"/>
      <c r="H87" s="23">
        <v>17</v>
      </c>
      <c r="I87" s="20"/>
      <c r="J87" s="23">
        <v>31</v>
      </c>
      <c r="K87" s="20"/>
      <c r="L87" s="23">
        <v>8</v>
      </c>
      <c r="M87" s="20"/>
      <c r="N87" s="23">
        <v>3</v>
      </c>
      <c r="O87" s="20"/>
      <c r="P87" s="23"/>
      <c r="Q87" s="20"/>
      <c r="R87" s="23">
        <v>8</v>
      </c>
      <c r="S87" s="20"/>
      <c r="T87" s="23">
        <v>3</v>
      </c>
      <c r="U87" s="20"/>
    </row>
    <row r="88" spans="1:21" s="2" customFormat="1" ht="12.75">
      <c r="A88" s="15"/>
      <c r="B88" s="10" t="s">
        <v>28</v>
      </c>
      <c r="C88"/>
      <c r="D88" s="23">
        <v>12</v>
      </c>
      <c r="E88" s="18"/>
      <c r="F88" s="25">
        <v>7</v>
      </c>
      <c r="G88" s="48"/>
      <c r="H88" s="23">
        <v>4</v>
      </c>
      <c r="I88" s="20"/>
      <c r="J88" s="23">
        <v>2</v>
      </c>
      <c r="K88" s="20"/>
      <c r="L88" s="23">
        <v>3</v>
      </c>
      <c r="M88" s="20"/>
      <c r="N88" s="23">
        <v>14</v>
      </c>
      <c r="O88" s="20"/>
      <c r="P88" s="23">
        <v>1</v>
      </c>
      <c r="Q88" s="20"/>
      <c r="R88" s="23"/>
      <c r="S88" s="20"/>
      <c r="T88" s="23"/>
      <c r="U88" s="20"/>
    </row>
    <row r="89" spans="1:21" s="2" customFormat="1" ht="12.75">
      <c r="A89" s="15"/>
      <c r="B89" s="10" t="s">
        <v>65</v>
      </c>
      <c r="C89"/>
      <c r="D89" s="23">
        <v>1029</v>
      </c>
      <c r="E89" s="18"/>
      <c r="F89" s="25">
        <v>1229</v>
      </c>
      <c r="G89" s="48"/>
      <c r="H89" s="23">
        <v>1515</v>
      </c>
      <c r="I89" s="20"/>
      <c r="J89" s="23">
        <v>1298</v>
      </c>
      <c r="K89" s="20"/>
      <c r="L89" s="23">
        <v>1286</v>
      </c>
      <c r="M89" s="20"/>
      <c r="N89" s="23">
        <v>1693</v>
      </c>
      <c r="O89" s="20"/>
      <c r="P89" s="23">
        <v>2554</v>
      </c>
      <c r="Q89" s="20"/>
      <c r="R89" s="23">
        <v>3008</v>
      </c>
      <c r="S89" s="20"/>
      <c r="T89" s="23">
        <v>5539</v>
      </c>
      <c r="U89" s="20"/>
    </row>
    <row r="90" spans="1:21" s="2" customFormat="1" ht="12.75">
      <c r="A90" s="15"/>
      <c r="B90" s="38" t="s">
        <v>82</v>
      </c>
      <c r="C90"/>
      <c r="D90" s="23">
        <v>879</v>
      </c>
      <c r="E90" s="18"/>
      <c r="F90" s="25">
        <v>823</v>
      </c>
      <c r="G90" s="48"/>
      <c r="H90" s="23">
        <v>989</v>
      </c>
      <c r="I90" s="20"/>
      <c r="J90" s="23">
        <v>1486</v>
      </c>
      <c r="K90" s="20"/>
      <c r="L90" s="23">
        <v>1233</v>
      </c>
      <c r="M90" s="20"/>
      <c r="N90" s="23">
        <v>1486</v>
      </c>
      <c r="O90" s="20"/>
      <c r="P90" s="23">
        <v>1475</v>
      </c>
      <c r="Q90" s="88"/>
      <c r="R90" s="23">
        <v>1564</v>
      </c>
      <c r="S90" s="88"/>
      <c r="T90" s="23">
        <v>1441</v>
      </c>
      <c r="U90" s="88"/>
    </row>
    <row r="91" spans="1:21" s="2" customFormat="1" ht="12.75">
      <c r="A91" s="15"/>
      <c r="B91" s="10" t="s">
        <v>18</v>
      </c>
      <c r="C91"/>
      <c r="D91" s="23">
        <v>30</v>
      </c>
      <c r="E91" s="18"/>
      <c r="F91" s="25">
        <v>57</v>
      </c>
      <c r="G91" s="48"/>
      <c r="H91" s="23">
        <v>98</v>
      </c>
      <c r="I91" s="20"/>
      <c r="J91" s="23">
        <v>126</v>
      </c>
      <c r="K91" s="20"/>
      <c r="L91" s="23">
        <v>99</v>
      </c>
      <c r="M91" s="20"/>
      <c r="N91" s="23">
        <v>72</v>
      </c>
      <c r="O91" s="20"/>
      <c r="P91" s="23">
        <v>73</v>
      </c>
      <c r="Q91" s="20"/>
      <c r="R91" s="23">
        <v>66</v>
      </c>
      <c r="S91" s="20"/>
      <c r="T91" s="23">
        <v>75</v>
      </c>
      <c r="U91" s="20"/>
    </row>
    <row r="92" spans="1:21" s="2" customFormat="1" ht="12.75">
      <c r="A92" s="15"/>
      <c r="B92" s="6" t="s">
        <v>67</v>
      </c>
      <c r="C92"/>
      <c r="D92" s="25">
        <v>40</v>
      </c>
      <c r="E92" s="48">
        <v>40</v>
      </c>
      <c r="F92" s="25">
        <v>22</v>
      </c>
      <c r="G92" s="48">
        <v>22</v>
      </c>
      <c r="H92" s="23">
        <v>5</v>
      </c>
      <c r="I92" s="20">
        <v>5</v>
      </c>
      <c r="J92" s="23">
        <v>0</v>
      </c>
      <c r="K92" s="20"/>
      <c r="L92" s="23"/>
      <c r="M92" s="20"/>
      <c r="N92" s="23">
        <v>5</v>
      </c>
      <c r="O92" s="20">
        <v>5</v>
      </c>
      <c r="P92" s="23">
        <v>1</v>
      </c>
      <c r="Q92" s="20">
        <v>1</v>
      </c>
      <c r="R92" s="23">
        <v>7</v>
      </c>
      <c r="S92" s="20">
        <v>7</v>
      </c>
      <c r="T92" s="23"/>
      <c r="U92" s="20"/>
    </row>
    <row r="93" spans="1:21" s="2" customFormat="1" ht="12.75">
      <c r="A93" s="15"/>
      <c r="B93" s="10" t="s">
        <v>79</v>
      </c>
      <c r="C93"/>
      <c r="D93" s="23">
        <v>10414</v>
      </c>
      <c r="E93" s="18"/>
      <c r="F93" s="25">
        <v>11169</v>
      </c>
      <c r="G93" s="48"/>
      <c r="H93" s="23">
        <v>11903</v>
      </c>
      <c r="I93" s="20"/>
      <c r="J93" s="23"/>
      <c r="K93" s="20"/>
      <c r="L93" s="23"/>
      <c r="M93" s="20"/>
      <c r="N93" s="23"/>
      <c r="O93" s="20"/>
      <c r="P93" s="23"/>
      <c r="Q93" s="20"/>
      <c r="R93" s="23"/>
      <c r="S93" s="20"/>
      <c r="T93" s="23"/>
      <c r="U93" s="20"/>
    </row>
    <row r="94" spans="1:21" s="2" customFormat="1" ht="12.75">
      <c r="A94" s="54"/>
      <c r="B94" s="10" t="s">
        <v>80</v>
      </c>
      <c r="D94" s="40"/>
      <c r="E94" s="51"/>
      <c r="F94" s="39"/>
      <c r="G94" s="55"/>
      <c r="H94" s="23"/>
      <c r="I94" s="56"/>
      <c r="J94" s="40">
        <v>9883</v>
      </c>
      <c r="K94" s="56"/>
      <c r="L94" s="40">
        <v>11265</v>
      </c>
      <c r="M94" s="56"/>
      <c r="N94" s="40">
        <v>13729</v>
      </c>
      <c r="O94" s="56"/>
      <c r="P94" s="40">
        <v>19527</v>
      </c>
      <c r="Q94" s="56"/>
      <c r="R94" s="40">
        <v>20450</v>
      </c>
      <c r="S94" s="56"/>
      <c r="T94" s="40">
        <v>26195</v>
      </c>
      <c r="U94" s="56"/>
    </row>
    <row r="95" spans="1:21" s="2" customFormat="1" ht="12.75">
      <c r="A95" s="15"/>
      <c r="B95" s="10" t="s">
        <v>81</v>
      </c>
      <c r="C95"/>
      <c r="D95" s="23"/>
      <c r="E95" s="18"/>
      <c r="F95" s="25"/>
      <c r="G95" s="48"/>
      <c r="H95" s="23"/>
      <c r="I95" s="20"/>
      <c r="J95" s="23">
        <v>910</v>
      </c>
      <c r="K95" s="20"/>
      <c r="L95" s="23">
        <v>1713</v>
      </c>
      <c r="M95" s="20"/>
      <c r="N95" s="23">
        <v>1405</v>
      </c>
      <c r="O95" s="20"/>
      <c r="P95" s="23">
        <v>2174</v>
      </c>
      <c r="Q95" s="20"/>
      <c r="R95" s="23">
        <v>5382</v>
      </c>
      <c r="S95" s="20"/>
      <c r="T95" s="23">
        <v>11236</v>
      </c>
      <c r="U95" s="20"/>
    </row>
    <row r="96" spans="1:21" s="2" customFormat="1" ht="12.75">
      <c r="A96" s="116"/>
      <c r="B96" s="16" t="s">
        <v>83</v>
      </c>
      <c r="C96" s="65"/>
      <c r="D96" s="41"/>
      <c r="E96" s="61"/>
      <c r="F96" s="71"/>
      <c r="G96" s="72"/>
      <c r="H96" s="24"/>
      <c r="I96" s="64"/>
      <c r="J96" s="41"/>
      <c r="K96" s="64"/>
      <c r="L96" s="41">
        <v>1</v>
      </c>
      <c r="M96" s="64"/>
      <c r="N96" s="41"/>
      <c r="O96" s="64"/>
      <c r="P96" s="41"/>
      <c r="Q96" s="64"/>
      <c r="R96" s="41"/>
      <c r="S96" s="64"/>
      <c r="T96" s="41"/>
      <c r="U96" s="64"/>
    </row>
    <row r="97" spans="1:21" s="2" customFormat="1" ht="12.75">
      <c r="A97" s="91" t="s">
        <v>12</v>
      </c>
      <c r="B97" s="101"/>
      <c r="C97" s="32"/>
      <c r="D97" s="36">
        <f>SUM(D98:D119)</f>
        <v>217059</v>
      </c>
      <c r="E97" s="36">
        <f aca="true" t="shared" si="13" ref="E97:Q97">SUM(E98:E119)</f>
        <v>0</v>
      </c>
      <c r="F97" s="36">
        <f t="shared" si="13"/>
        <v>216716</v>
      </c>
      <c r="G97" s="36">
        <f t="shared" si="13"/>
        <v>0</v>
      </c>
      <c r="H97" s="36">
        <f t="shared" si="13"/>
        <v>226913</v>
      </c>
      <c r="I97" s="36">
        <f t="shared" si="13"/>
        <v>1</v>
      </c>
      <c r="J97" s="36">
        <f t="shared" si="13"/>
        <v>212885</v>
      </c>
      <c r="K97" s="36">
        <f t="shared" si="13"/>
        <v>0</v>
      </c>
      <c r="L97" s="36">
        <f t="shared" si="13"/>
        <v>230379</v>
      </c>
      <c r="M97" s="36">
        <f t="shared" si="13"/>
        <v>2</v>
      </c>
      <c r="N97" s="36">
        <f t="shared" si="13"/>
        <v>243739</v>
      </c>
      <c r="O97" s="36">
        <f t="shared" si="13"/>
        <v>1</v>
      </c>
      <c r="P97" s="36">
        <f t="shared" si="13"/>
        <v>251898</v>
      </c>
      <c r="Q97" s="36">
        <f t="shared" si="13"/>
        <v>0</v>
      </c>
      <c r="R97" s="36">
        <f>SUM(R98:R119)</f>
        <v>253571</v>
      </c>
      <c r="S97" s="36">
        <f>SUM(S98:S119)</f>
        <v>7</v>
      </c>
      <c r="T97" s="36">
        <f>SUM(T98:T119)</f>
        <v>252788</v>
      </c>
      <c r="U97" s="36">
        <f>SUM(U98:U119)</f>
        <v>5</v>
      </c>
    </row>
    <row r="98" spans="1:21" s="2" customFormat="1" ht="12.75">
      <c r="A98" s="102"/>
      <c r="B98" s="38" t="s">
        <v>37</v>
      </c>
      <c r="D98" s="98"/>
      <c r="E98" s="81"/>
      <c r="F98" s="87">
        <v>134</v>
      </c>
      <c r="G98" s="81"/>
      <c r="H98" s="98">
        <v>207</v>
      </c>
      <c r="I98" s="81"/>
      <c r="J98" s="87">
        <v>142</v>
      </c>
      <c r="K98" s="81"/>
      <c r="L98" s="87">
        <v>48</v>
      </c>
      <c r="M98" s="81"/>
      <c r="N98" s="87">
        <v>39</v>
      </c>
      <c r="O98" s="81"/>
      <c r="P98" s="87">
        <v>29</v>
      </c>
      <c r="Q98" s="81"/>
      <c r="R98" s="87">
        <v>32</v>
      </c>
      <c r="S98" s="81"/>
      <c r="T98" s="87">
        <v>45</v>
      </c>
      <c r="U98" s="81"/>
    </row>
    <row r="99" spans="1:21" s="2" customFormat="1" ht="12.75">
      <c r="A99" s="102"/>
      <c r="B99" s="38" t="s">
        <v>38</v>
      </c>
      <c r="D99" s="98">
        <v>132574</v>
      </c>
      <c r="E99" s="81"/>
      <c r="F99" s="87">
        <v>132161</v>
      </c>
      <c r="G99" s="81"/>
      <c r="H99" s="98">
        <v>131568</v>
      </c>
      <c r="I99" s="81"/>
      <c r="J99" s="87">
        <v>130819</v>
      </c>
      <c r="K99" s="81"/>
      <c r="L99" s="87">
        <v>130982</v>
      </c>
      <c r="M99" s="81"/>
      <c r="N99" s="87">
        <v>131250</v>
      </c>
      <c r="O99" s="81"/>
      <c r="P99" s="87">
        <v>131700</v>
      </c>
      <c r="Q99" s="81"/>
      <c r="R99" s="87">
        <v>131519</v>
      </c>
      <c r="S99" s="81"/>
      <c r="T99" s="87">
        <v>132773</v>
      </c>
      <c r="U99" s="81"/>
    </row>
    <row r="100" spans="1:21" s="2" customFormat="1" ht="12.75">
      <c r="A100" s="102"/>
      <c r="B100" s="38" t="s">
        <v>91</v>
      </c>
      <c r="D100" s="98"/>
      <c r="E100" s="81"/>
      <c r="F100" s="87"/>
      <c r="G100" s="81"/>
      <c r="H100" s="98"/>
      <c r="I100" s="81"/>
      <c r="J100" s="87"/>
      <c r="K100" s="81"/>
      <c r="L100" s="87"/>
      <c r="M100" s="81"/>
      <c r="N100" s="87">
        <v>4350</v>
      </c>
      <c r="O100" s="81"/>
      <c r="P100" s="87">
        <v>3299</v>
      </c>
      <c r="Q100" s="81"/>
      <c r="R100" s="87">
        <v>3968</v>
      </c>
      <c r="S100" s="81"/>
      <c r="T100" s="87">
        <v>2575</v>
      </c>
      <c r="U100" s="81"/>
    </row>
    <row r="101" spans="1:21" s="2" customFormat="1" ht="12.75">
      <c r="A101" s="102"/>
      <c r="B101" s="38" t="s">
        <v>39</v>
      </c>
      <c r="D101" s="98">
        <v>4324</v>
      </c>
      <c r="E101" s="81"/>
      <c r="F101" s="87">
        <v>4414</v>
      </c>
      <c r="G101" s="81"/>
      <c r="H101" s="98">
        <v>4400</v>
      </c>
      <c r="I101" s="81"/>
      <c r="J101" s="87">
        <v>4544</v>
      </c>
      <c r="K101" s="81"/>
      <c r="L101" s="87">
        <v>4596</v>
      </c>
      <c r="M101" s="81"/>
      <c r="N101" s="87">
        <v>4882</v>
      </c>
      <c r="O101" s="81"/>
      <c r="P101" s="87">
        <v>4949</v>
      </c>
      <c r="Q101" s="81"/>
      <c r="R101" s="87">
        <v>4597</v>
      </c>
      <c r="S101" s="81"/>
      <c r="T101" s="87">
        <v>5743</v>
      </c>
      <c r="U101" s="81"/>
    </row>
    <row r="102" spans="1:21" s="2" customFormat="1" ht="12.75">
      <c r="A102" s="102"/>
      <c r="B102" s="38" t="s">
        <v>40</v>
      </c>
      <c r="D102" s="98">
        <v>3763</v>
      </c>
      <c r="E102" s="81"/>
      <c r="F102" s="87">
        <v>3942</v>
      </c>
      <c r="G102" s="81"/>
      <c r="H102" s="98">
        <v>3396</v>
      </c>
      <c r="I102" s="81"/>
      <c r="J102" s="87">
        <v>3523</v>
      </c>
      <c r="K102" s="81"/>
      <c r="L102" s="87">
        <v>3615</v>
      </c>
      <c r="M102" s="81"/>
      <c r="N102" s="87">
        <v>3615</v>
      </c>
      <c r="O102" s="81"/>
      <c r="P102" s="87">
        <v>4196</v>
      </c>
      <c r="Q102" s="81"/>
      <c r="R102" s="87">
        <v>3989</v>
      </c>
      <c r="S102" s="81"/>
      <c r="T102" s="87">
        <v>3819</v>
      </c>
      <c r="U102" s="81"/>
    </row>
    <row r="103" spans="1:21" s="2" customFormat="1" ht="12.75">
      <c r="A103" s="102"/>
      <c r="B103" s="38" t="s">
        <v>41</v>
      </c>
      <c r="D103" s="98">
        <v>47651</v>
      </c>
      <c r="E103" s="81"/>
      <c r="F103" s="87">
        <v>47956</v>
      </c>
      <c r="G103" s="81"/>
      <c r="H103" s="98">
        <v>47800</v>
      </c>
      <c r="I103" s="81"/>
      <c r="J103" s="87">
        <v>50305</v>
      </c>
      <c r="K103" s="81"/>
      <c r="L103" s="87">
        <v>50004</v>
      </c>
      <c r="M103" s="81"/>
      <c r="N103" s="87">
        <v>54233</v>
      </c>
      <c r="O103" s="81"/>
      <c r="P103" s="87">
        <v>57223</v>
      </c>
      <c r="Q103" s="81"/>
      <c r="R103" s="87">
        <v>58080</v>
      </c>
      <c r="S103" s="81"/>
      <c r="T103" s="87">
        <v>59579</v>
      </c>
      <c r="U103" s="81"/>
    </row>
    <row r="104" spans="1:21" s="2" customFormat="1" ht="12.75">
      <c r="A104" s="102"/>
      <c r="B104" s="38" t="s">
        <v>93</v>
      </c>
      <c r="D104" s="98"/>
      <c r="E104" s="81"/>
      <c r="F104" s="87"/>
      <c r="G104" s="81"/>
      <c r="H104" s="98"/>
      <c r="I104" s="81"/>
      <c r="J104" s="87"/>
      <c r="K104" s="81"/>
      <c r="L104" s="87">
        <v>5760</v>
      </c>
      <c r="M104" s="81"/>
      <c r="N104" s="87">
        <v>8344</v>
      </c>
      <c r="O104" s="81"/>
      <c r="P104" s="87">
        <v>13523</v>
      </c>
      <c r="Q104" s="81"/>
      <c r="R104" s="87">
        <v>10948</v>
      </c>
      <c r="S104" s="81"/>
      <c r="T104" s="87">
        <v>6328</v>
      </c>
      <c r="U104" s="81"/>
    </row>
    <row r="105" spans="1:21" s="2" customFormat="1" ht="12.75">
      <c r="A105" s="102"/>
      <c r="B105" s="38" t="s">
        <v>42</v>
      </c>
      <c r="D105" s="98">
        <v>3607</v>
      </c>
      <c r="E105" s="81"/>
      <c r="F105" s="87">
        <v>136</v>
      </c>
      <c r="G105" s="81"/>
      <c r="H105" s="98">
        <v>71</v>
      </c>
      <c r="I105" s="81"/>
      <c r="J105" s="87">
        <v>56</v>
      </c>
      <c r="K105" s="81"/>
      <c r="L105" s="87">
        <v>23</v>
      </c>
      <c r="M105" s="81"/>
      <c r="N105" s="87">
        <v>1</v>
      </c>
      <c r="O105" s="81"/>
      <c r="P105" s="87">
        <v>40</v>
      </c>
      <c r="Q105" s="81"/>
      <c r="R105" s="87">
        <v>43</v>
      </c>
      <c r="S105" s="81"/>
      <c r="T105" s="87">
        <v>21</v>
      </c>
      <c r="U105" s="81"/>
    </row>
    <row r="106" spans="1:21" s="2" customFormat="1" ht="12.75">
      <c r="A106" s="102"/>
      <c r="B106" s="38" t="s">
        <v>43</v>
      </c>
      <c r="D106" s="98"/>
      <c r="E106" s="81"/>
      <c r="F106" s="87"/>
      <c r="G106" s="81"/>
      <c r="H106" s="98"/>
      <c r="I106" s="81"/>
      <c r="J106" s="87"/>
      <c r="K106" s="81"/>
      <c r="L106" s="87"/>
      <c r="M106" s="81"/>
      <c r="N106" s="87"/>
      <c r="O106" s="81"/>
      <c r="P106" s="87"/>
      <c r="Q106" s="81"/>
      <c r="R106" s="87"/>
      <c r="S106" s="81"/>
      <c r="T106" s="87"/>
      <c r="U106" s="81"/>
    </row>
    <row r="107" spans="1:21" s="2" customFormat="1" ht="12.75">
      <c r="A107" s="102"/>
      <c r="B107" s="38" t="s">
        <v>44</v>
      </c>
      <c r="D107" s="98">
        <v>883</v>
      </c>
      <c r="E107" s="81"/>
      <c r="F107" s="87">
        <v>871</v>
      </c>
      <c r="G107" s="81"/>
      <c r="H107" s="98">
        <v>869</v>
      </c>
      <c r="I107" s="81"/>
      <c r="J107" s="87">
        <v>958</v>
      </c>
      <c r="K107" s="81"/>
      <c r="L107" s="87">
        <v>962</v>
      </c>
      <c r="M107" s="81"/>
      <c r="N107" s="87">
        <v>829</v>
      </c>
      <c r="O107" s="81"/>
      <c r="P107" s="87">
        <v>682</v>
      </c>
      <c r="Q107" s="81"/>
      <c r="R107" s="87">
        <v>809</v>
      </c>
      <c r="S107" s="81"/>
      <c r="T107" s="87">
        <v>790</v>
      </c>
      <c r="U107" s="81"/>
    </row>
    <row r="108" spans="1:21" s="2" customFormat="1" ht="12.75">
      <c r="A108" s="102"/>
      <c r="B108" s="38" t="s">
        <v>45</v>
      </c>
      <c r="D108" s="98">
        <v>3742</v>
      </c>
      <c r="E108" s="81"/>
      <c r="F108" s="87"/>
      <c r="G108" s="81"/>
      <c r="H108" s="98">
        <v>487</v>
      </c>
      <c r="I108" s="81"/>
      <c r="J108" s="87"/>
      <c r="K108" s="81"/>
      <c r="L108" s="87"/>
      <c r="M108" s="81"/>
      <c r="N108" s="87"/>
      <c r="O108" s="81"/>
      <c r="P108" s="87"/>
      <c r="Q108" s="81"/>
      <c r="R108" s="87"/>
      <c r="S108" s="81"/>
      <c r="T108" s="87"/>
      <c r="U108" s="81"/>
    </row>
    <row r="109" spans="1:21" s="2" customFormat="1" ht="12.75">
      <c r="A109" s="102"/>
      <c r="B109" s="38" t="s">
        <v>18</v>
      </c>
      <c r="D109" s="98">
        <v>146</v>
      </c>
      <c r="E109" s="81"/>
      <c r="F109" s="87">
        <v>156</v>
      </c>
      <c r="G109" s="81"/>
      <c r="H109" s="98">
        <f>182+1</f>
        <v>183</v>
      </c>
      <c r="I109" s="81">
        <v>1</v>
      </c>
      <c r="J109" s="87">
        <v>237</v>
      </c>
      <c r="K109" s="81"/>
      <c r="L109" s="87">
        <f>367+2</f>
        <v>369</v>
      </c>
      <c r="M109" s="81">
        <v>2</v>
      </c>
      <c r="N109" s="87">
        <f>306+1</f>
        <v>307</v>
      </c>
      <c r="O109" s="81">
        <v>1</v>
      </c>
      <c r="P109" s="87">
        <f>443</f>
        <v>443</v>
      </c>
      <c r="Q109" s="81"/>
      <c r="R109" s="87">
        <f>343+7</f>
        <v>350</v>
      </c>
      <c r="S109" s="81">
        <v>7</v>
      </c>
      <c r="T109" s="87">
        <f>433+5</f>
        <v>438</v>
      </c>
      <c r="U109" s="81">
        <v>5</v>
      </c>
    </row>
    <row r="110" spans="1:21" s="2" customFormat="1" ht="12.75">
      <c r="A110" s="102"/>
      <c r="B110" s="38" t="s">
        <v>47</v>
      </c>
      <c r="D110" s="98">
        <v>5696</v>
      </c>
      <c r="E110" s="81"/>
      <c r="F110" s="87">
        <v>5638</v>
      </c>
      <c r="G110" s="81"/>
      <c r="H110" s="98">
        <v>5852</v>
      </c>
      <c r="I110" s="81"/>
      <c r="J110" s="87">
        <v>5841</v>
      </c>
      <c r="K110" s="81"/>
      <c r="L110" s="87">
        <v>6900</v>
      </c>
      <c r="M110" s="81"/>
      <c r="N110" s="87">
        <v>7525</v>
      </c>
      <c r="O110" s="81"/>
      <c r="P110" s="87">
        <v>7790</v>
      </c>
      <c r="Q110" s="81"/>
      <c r="R110" s="87">
        <v>9242</v>
      </c>
      <c r="S110" s="81"/>
      <c r="T110" s="87">
        <v>10983</v>
      </c>
      <c r="U110" s="81"/>
    </row>
    <row r="111" spans="1:21" s="2" customFormat="1" ht="12.75">
      <c r="A111" s="102"/>
      <c r="B111" s="10" t="s">
        <v>33</v>
      </c>
      <c r="D111" s="98"/>
      <c r="E111" s="81"/>
      <c r="F111" s="87"/>
      <c r="G111" s="81"/>
      <c r="H111" s="98"/>
      <c r="I111" s="81"/>
      <c r="J111" s="87">
        <v>6</v>
      </c>
      <c r="K111" s="81"/>
      <c r="L111" s="87">
        <v>1</v>
      </c>
      <c r="M111" s="81"/>
      <c r="N111" s="87"/>
      <c r="O111" s="81"/>
      <c r="P111" s="87"/>
      <c r="Q111" s="81"/>
      <c r="R111" s="87"/>
      <c r="S111" s="81"/>
      <c r="T111" s="87"/>
      <c r="U111" s="81"/>
    </row>
    <row r="112" spans="1:21" s="2" customFormat="1" ht="12.75">
      <c r="A112" s="102"/>
      <c r="B112" s="38" t="s">
        <v>14</v>
      </c>
      <c r="D112" s="98">
        <v>64</v>
      </c>
      <c r="E112" s="81"/>
      <c r="F112" s="87">
        <v>80</v>
      </c>
      <c r="G112" s="81"/>
      <c r="H112" s="98">
        <v>21</v>
      </c>
      <c r="I112" s="81"/>
      <c r="J112" s="87">
        <v>105</v>
      </c>
      <c r="K112" s="81"/>
      <c r="L112" s="87"/>
      <c r="M112" s="81"/>
      <c r="N112" s="87">
        <v>37</v>
      </c>
      <c r="O112" s="81"/>
      <c r="P112" s="87">
        <v>2</v>
      </c>
      <c r="Q112" s="81"/>
      <c r="R112" s="87">
        <v>304</v>
      </c>
      <c r="S112" s="81"/>
      <c r="T112" s="87"/>
      <c r="U112" s="81"/>
    </row>
    <row r="113" spans="1:21" s="2" customFormat="1" ht="12.75">
      <c r="A113" s="102"/>
      <c r="B113" s="38" t="s">
        <v>48</v>
      </c>
      <c r="D113" s="98">
        <v>14609</v>
      </c>
      <c r="E113" s="81"/>
      <c r="F113" s="87">
        <v>14828</v>
      </c>
      <c r="G113" s="81"/>
      <c r="H113" s="98">
        <v>15006</v>
      </c>
      <c r="I113" s="81"/>
      <c r="J113" s="87"/>
      <c r="K113" s="81"/>
      <c r="L113" s="87"/>
      <c r="M113" s="81"/>
      <c r="N113" s="87"/>
      <c r="O113" s="81"/>
      <c r="P113" s="87"/>
      <c r="Q113" s="81"/>
      <c r="R113" s="87"/>
      <c r="S113" s="81"/>
      <c r="T113" s="87"/>
      <c r="U113" s="81"/>
    </row>
    <row r="114" spans="1:21" s="2" customFormat="1" ht="12.75">
      <c r="A114" s="102"/>
      <c r="B114" s="38" t="s">
        <v>49</v>
      </c>
      <c r="D114" s="98"/>
      <c r="E114" s="81"/>
      <c r="F114" s="87"/>
      <c r="G114" s="81"/>
      <c r="H114" s="98">
        <v>11362</v>
      </c>
      <c r="I114" s="81"/>
      <c r="J114" s="87">
        <v>11362</v>
      </c>
      <c r="K114" s="81"/>
      <c r="L114" s="87">
        <v>23422</v>
      </c>
      <c r="M114" s="81"/>
      <c r="N114" s="87">
        <v>23422</v>
      </c>
      <c r="O114" s="81"/>
      <c r="P114" s="87">
        <v>23601</v>
      </c>
      <c r="Q114" s="81"/>
      <c r="R114" s="87">
        <v>24632</v>
      </c>
      <c r="S114" s="81"/>
      <c r="T114" s="87">
        <v>25537</v>
      </c>
      <c r="U114" s="81"/>
    </row>
    <row r="115" spans="1:21" s="2" customFormat="1" ht="12.75">
      <c r="A115" s="102"/>
      <c r="B115" s="38" t="s">
        <v>92</v>
      </c>
      <c r="D115" s="98"/>
      <c r="E115" s="81"/>
      <c r="F115" s="87"/>
      <c r="G115" s="81"/>
      <c r="H115" s="98"/>
      <c r="I115" s="81"/>
      <c r="J115" s="87"/>
      <c r="K115" s="81"/>
      <c r="L115" s="87"/>
      <c r="M115" s="81"/>
      <c r="N115" s="87">
        <v>846</v>
      </c>
      <c r="O115" s="81"/>
      <c r="P115" s="87">
        <v>475</v>
      </c>
      <c r="Q115" s="81"/>
      <c r="R115" s="87">
        <v>870</v>
      </c>
      <c r="S115" s="81"/>
      <c r="T115" s="87"/>
      <c r="U115" s="81"/>
    </row>
    <row r="116" spans="1:21" s="2" customFormat="1" ht="12.75">
      <c r="A116" s="102"/>
      <c r="B116" s="38" t="s">
        <v>50</v>
      </c>
      <c r="D116" s="98"/>
      <c r="E116" s="81"/>
      <c r="F116" s="87">
        <v>2585</v>
      </c>
      <c r="G116" s="81"/>
      <c r="H116" s="98">
        <v>3346</v>
      </c>
      <c r="I116" s="81"/>
      <c r="J116" s="87">
        <v>4024</v>
      </c>
      <c r="K116" s="81"/>
      <c r="L116" s="87">
        <v>3697</v>
      </c>
      <c r="M116" s="81"/>
      <c r="N116" s="87">
        <v>4043</v>
      </c>
      <c r="O116" s="81"/>
      <c r="P116" s="87">
        <v>3697</v>
      </c>
      <c r="Q116" s="81"/>
      <c r="R116" s="87">
        <v>3738</v>
      </c>
      <c r="S116" s="81"/>
      <c r="T116" s="87">
        <v>3809</v>
      </c>
      <c r="U116" s="81"/>
    </row>
    <row r="117" spans="1:21" s="112" customFormat="1" ht="12.75">
      <c r="A117" s="102"/>
      <c r="B117" s="38" t="s">
        <v>51</v>
      </c>
      <c r="C117" s="2"/>
      <c r="D117" s="98"/>
      <c r="E117" s="81"/>
      <c r="F117" s="87">
        <v>3815</v>
      </c>
      <c r="G117" s="81"/>
      <c r="H117" s="98">
        <v>2345</v>
      </c>
      <c r="I117" s="81"/>
      <c r="J117" s="87">
        <v>395</v>
      </c>
      <c r="K117" s="81"/>
      <c r="L117" s="87"/>
      <c r="M117" s="81"/>
      <c r="N117" s="87"/>
      <c r="O117" s="81"/>
      <c r="P117" s="87"/>
      <c r="Q117" s="81"/>
      <c r="R117" s="87"/>
      <c r="S117" s="81"/>
      <c r="T117" s="87"/>
      <c r="U117" s="81"/>
    </row>
    <row r="118" spans="1:21" s="2" customFormat="1" ht="12.75">
      <c r="A118" s="102"/>
      <c r="B118" s="38" t="s">
        <v>104</v>
      </c>
      <c r="D118" s="98"/>
      <c r="E118" s="81"/>
      <c r="F118" s="87"/>
      <c r="G118" s="81"/>
      <c r="H118" s="98"/>
      <c r="I118" s="81"/>
      <c r="J118" s="87"/>
      <c r="K118" s="81"/>
      <c r="L118" s="87"/>
      <c r="M118" s="81"/>
      <c r="N118" s="87"/>
      <c r="O118" s="81"/>
      <c r="P118" s="87">
        <f>171+49+29</f>
        <v>249</v>
      </c>
      <c r="Q118" s="81"/>
      <c r="R118" s="87">
        <f>329+57+48</f>
        <v>434</v>
      </c>
      <c r="S118" s="81"/>
      <c r="T118" s="87">
        <f>203+57+58</f>
        <v>318</v>
      </c>
      <c r="U118" s="81"/>
    </row>
    <row r="119" spans="1:21" s="2" customFormat="1" ht="12.75">
      <c r="A119" s="122"/>
      <c r="B119" s="63" t="s">
        <v>32</v>
      </c>
      <c r="C119" s="65"/>
      <c r="D119" s="123"/>
      <c r="E119" s="89"/>
      <c r="F119" s="104"/>
      <c r="G119" s="89"/>
      <c r="H119" s="123"/>
      <c r="I119" s="89"/>
      <c r="J119" s="104">
        <v>568</v>
      </c>
      <c r="K119" s="89"/>
      <c r="L119" s="104"/>
      <c r="M119" s="89"/>
      <c r="N119" s="104">
        <v>16</v>
      </c>
      <c r="O119" s="89"/>
      <c r="P119" s="104"/>
      <c r="Q119" s="89"/>
      <c r="R119" s="104">
        <v>16</v>
      </c>
      <c r="S119" s="89"/>
      <c r="T119" s="104">
        <v>30</v>
      </c>
      <c r="U119" s="89"/>
    </row>
    <row r="120" spans="1:21" s="2" customFormat="1" ht="12.75">
      <c r="A120" s="91" t="s">
        <v>132</v>
      </c>
      <c r="B120" s="101"/>
      <c r="C120" s="32"/>
      <c r="D120" s="36">
        <f>SUM(D121:D130)</f>
        <v>6349</v>
      </c>
      <c r="E120" s="36">
        <f aca="true" t="shared" si="14" ref="E120:Q120">SUM(E121:E130)</f>
        <v>0</v>
      </c>
      <c r="F120" s="36">
        <f t="shared" si="14"/>
        <v>6264</v>
      </c>
      <c r="G120" s="36">
        <f t="shared" si="14"/>
        <v>0</v>
      </c>
      <c r="H120" s="36">
        <f t="shared" si="14"/>
        <v>7933</v>
      </c>
      <c r="I120" s="36">
        <f t="shared" si="14"/>
        <v>0</v>
      </c>
      <c r="J120" s="36">
        <f t="shared" si="14"/>
        <v>11791</v>
      </c>
      <c r="K120" s="36">
        <f t="shared" si="14"/>
        <v>389</v>
      </c>
      <c r="L120" s="36">
        <f t="shared" si="14"/>
        <v>14632</v>
      </c>
      <c r="M120" s="36">
        <f t="shared" si="14"/>
        <v>2737</v>
      </c>
      <c r="N120" s="36">
        <f t="shared" si="14"/>
        <v>12532</v>
      </c>
      <c r="O120" s="36">
        <f t="shared" si="14"/>
        <v>884</v>
      </c>
      <c r="P120" s="36">
        <f t="shared" si="14"/>
        <v>12291</v>
      </c>
      <c r="Q120" s="36">
        <f t="shared" si="14"/>
        <v>553</v>
      </c>
      <c r="R120" s="36">
        <f>SUM(R121:R130)</f>
        <v>12854</v>
      </c>
      <c r="S120" s="36">
        <f>SUM(S121:S130)</f>
        <v>1045</v>
      </c>
      <c r="T120" s="36">
        <f>SUM(T121:T130)</f>
        <v>12600</v>
      </c>
      <c r="U120" s="36">
        <f>SUM(U121:U130)</f>
        <v>855</v>
      </c>
    </row>
    <row r="121" spans="1:21" s="2" customFormat="1" ht="12.75">
      <c r="A121" s="57"/>
      <c r="B121" s="38" t="s">
        <v>105</v>
      </c>
      <c r="D121" s="39">
        <v>147</v>
      </c>
      <c r="E121" s="55"/>
      <c r="F121" s="39">
        <v>128</v>
      </c>
      <c r="G121" s="55"/>
      <c r="H121" s="23">
        <v>123</v>
      </c>
      <c r="I121" s="56"/>
      <c r="J121" s="39">
        <v>186</v>
      </c>
      <c r="K121" s="56">
        <v>186</v>
      </c>
      <c r="L121" s="39">
        <v>186</v>
      </c>
      <c r="M121" s="56">
        <v>186</v>
      </c>
      <c r="N121" s="39">
        <v>183</v>
      </c>
      <c r="O121" s="56">
        <v>183</v>
      </c>
      <c r="P121" s="39">
        <v>173</v>
      </c>
      <c r="Q121" s="56">
        <v>173</v>
      </c>
      <c r="R121" s="39">
        <v>180</v>
      </c>
      <c r="S121" s="56">
        <v>180</v>
      </c>
      <c r="T121" s="39">
        <v>102</v>
      </c>
      <c r="U121" s="56">
        <v>102</v>
      </c>
    </row>
    <row r="122" spans="1:21" s="2" customFormat="1" ht="12.75">
      <c r="A122" s="57"/>
      <c r="B122" s="38" t="s">
        <v>54</v>
      </c>
      <c r="D122" s="39">
        <v>4010</v>
      </c>
      <c r="E122" s="55"/>
      <c r="F122" s="39">
        <v>4651</v>
      </c>
      <c r="G122" s="55"/>
      <c r="H122" s="23">
        <v>4661</v>
      </c>
      <c r="I122" s="56"/>
      <c r="J122" s="39">
        <v>5460</v>
      </c>
      <c r="K122" s="56"/>
      <c r="L122" s="39">
        <v>5457</v>
      </c>
      <c r="M122" s="56"/>
      <c r="N122" s="39">
        <v>5686</v>
      </c>
      <c r="O122" s="56"/>
      <c r="P122" s="39">
        <v>5615</v>
      </c>
      <c r="Q122" s="56"/>
      <c r="R122" s="39">
        <v>5702</v>
      </c>
      <c r="S122" s="56"/>
      <c r="T122" s="39">
        <v>5656</v>
      </c>
      <c r="U122" s="56"/>
    </row>
    <row r="123" spans="1:21" s="2" customFormat="1" ht="12.75">
      <c r="A123" s="57"/>
      <c r="B123" s="38" t="s">
        <v>106</v>
      </c>
      <c r="D123" s="39">
        <v>177</v>
      </c>
      <c r="E123" s="55"/>
      <c r="F123" s="39">
        <v>193</v>
      </c>
      <c r="G123" s="55"/>
      <c r="H123" s="23">
        <v>189</v>
      </c>
      <c r="I123" s="56"/>
      <c r="J123" s="39">
        <v>203</v>
      </c>
      <c r="K123" s="56">
        <v>203</v>
      </c>
      <c r="L123" s="39">
        <v>202</v>
      </c>
      <c r="M123" s="56">
        <v>202</v>
      </c>
      <c r="N123" s="39">
        <v>193</v>
      </c>
      <c r="O123" s="56">
        <v>193</v>
      </c>
      <c r="P123" s="39">
        <v>218</v>
      </c>
      <c r="Q123" s="56">
        <v>218</v>
      </c>
      <c r="R123" s="39">
        <v>220</v>
      </c>
      <c r="S123" s="56">
        <v>220</v>
      </c>
      <c r="T123" s="39">
        <v>204</v>
      </c>
      <c r="U123" s="56">
        <v>204</v>
      </c>
    </row>
    <row r="124" spans="1:21" s="2" customFormat="1" ht="12.75">
      <c r="A124" s="57"/>
      <c r="B124" s="38" t="s">
        <v>55</v>
      </c>
      <c r="D124" s="39">
        <v>695</v>
      </c>
      <c r="E124" s="55"/>
      <c r="F124" s="39">
        <v>501</v>
      </c>
      <c r="G124" s="55"/>
      <c r="H124" s="23">
        <v>134</v>
      </c>
      <c r="I124" s="56"/>
      <c r="J124" s="39">
        <v>36</v>
      </c>
      <c r="K124" s="56"/>
      <c r="L124" s="39">
        <v>27</v>
      </c>
      <c r="M124" s="56"/>
      <c r="N124" s="39">
        <v>18</v>
      </c>
      <c r="O124" s="56"/>
      <c r="P124" s="39"/>
      <c r="Q124" s="56"/>
      <c r="R124" s="39"/>
      <c r="S124" s="56"/>
      <c r="T124" s="39"/>
      <c r="U124" s="56"/>
    </row>
    <row r="125" spans="1:21" s="2" customFormat="1" ht="12.75">
      <c r="A125" s="57"/>
      <c r="B125" s="38" t="s">
        <v>56</v>
      </c>
      <c r="D125" s="39">
        <v>581</v>
      </c>
      <c r="E125" s="55"/>
      <c r="F125" s="39">
        <v>361</v>
      </c>
      <c r="G125" s="55"/>
      <c r="H125" s="23">
        <v>282</v>
      </c>
      <c r="I125" s="56"/>
      <c r="J125" s="39">
        <v>290</v>
      </c>
      <c r="K125" s="56"/>
      <c r="L125" s="39">
        <v>792</v>
      </c>
      <c r="M125" s="56"/>
      <c r="N125" s="39">
        <v>304</v>
      </c>
      <c r="O125" s="56"/>
      <c r="P125" s="39">
        <v>311</v>
      </c>
      <c r="Q125" s="56"/>
      <c r="R125" s="39">
        <v>317</v>
      </c>
      <c r="S125" s="56"/>
      <c r="T125" s="39">
        <v>323</v>
      </c>
      <c r="U125" s="56"/>
    </row>
    <row r="126" spans="1:21" s="2" customFormat="1" ht="12.75">
      <c r="A126" s="57"/>
      <c r="B126" s="10" t="s">
        <v>33</v>
      </c>
      <c r="D126" s="39">
        <v>739</v>
      </c>
      <c r="E126" s="55"/>
      <c r="F126" s="39">
        <v>430</v>
      </c>
      <c r="G126" s="55"/>
      <c r="H126" s="23">
        <v>272</v>
      </c>
      <c r="I126" s="56"/>
      <c r="J126" s="39">
        <v>374</v>
      </c>
      <c r="K126" s="56"/>
      <c r="L126" s="39">
        <f>219+3</f>
        <v>222</v>
      </c>
      <c r="M126" s="56">
        <v>3</v>
      </c>
      <c r="N126" s="39">
        <f>212+1</f>
        <v>213</v>
      </c>
      <c r="O126" s="56">
        <v>1</v>
      </c>
      <c r="P126" s="39">
        <f>284+7</f>
        <v>291</v>
      </c>
      <c r="Q126" s="56">
        <v>7</v>
      </c>
      <c r="R126" s="39">
        <f>198+2</f>
        <v>200</v>
      </c>
      <c r="S126" s="56">
        <v>2</v>
      </c>
      <c r="T126" s="39">
        <f>171+1</f>
        <v>172</v>
      </c>
      <c r="U126" s="56">
        <v>1</v>
      </c>
    </row>
    <row r="127" spans="1:21" s="2" customFormat="1" ht="12.75">
      <c r="A127" s="57"/>
      <c r="B127" s="37" t="s">
        <v>112</v>
      </c>
      <c r="D127" s="39"/>
      <c r="E127" s="55"/>
      <c r="F127" s="39"/>
      <c r="G127" s="55"/>
      <c r="H127" s="23"/>
      <c r="I127" s="56"/>
      <c r="J127" s="39"/>
      <c r="K127" s="56"/>
      <c r="L127" s="39"/>
      <c r="M127" s="56"/>
      <c r="N127" s="39"/>
      <c r="O127" s="56"/>
      <c r="P127" s="39"/>
      <c r="Q127" s="56"/>
      <c r="R127" s="39">
        <v>10</v>
      </c>
      <c r="S127" s="56">
        <v>10</v>
      </c>
      <c r="T127" s="39"/>
      <c r="U127" s="56"/>
    </row>
    <row r="128" spans="1:21" s="2" customFormat="1" ht="12.75">
      <c r="A128" s="57"/>
      <c r="B128" s="38" t="s">
        <v>59</v>
      </c>
      <c r="D128" s="39"/>
      <c r="E128" s="55"/>
      <c r="F128" s="39"/>
      <c r="G128" s="55"/>
      <c r="H128" s="23"/>
      <c r="I128" s="56"/>
      <c r="J128" s="39"/>
      <c r="K128" s="56"/>
      <c r="L128" s="39">
        <v>162</v>
      </c>
      <c r="M128" s="56"/>
      <c r="N128" s="39">
        <v>114</v>
      </c>
      <c r="O128" s="56"/>
      <c r="P128" s="39">
        <v>145</v>
      </c>
      <c r="Q128" s="56"/>
      <c r="R128" s="39">
        <v>145</v>
      </c>
      <c r="S128" s="56"/>
      <c r="T128" s="39">
        <v>87</v>
      </c>
      <c r="U128" s="56"/>
    </row>
    <row r="129" spans="1:21" s="2" customFormat="1" ht="12.75">
      <c r="A129" s="57"/>
      <c r="B129" s="38" t="s">
        <v>58</v>
      </c>
      <c r="D129" s="39"/>
      <c r="E129" s="55"/>
      <c r="F129" s="39"/>
      <c r="G129" s="55"/>
      <c r="H129" s="23"/>
      <c r="I129" s="56"/>
      <c r="J129" s="39"/>
      <c r="K129" s="56"/>
      <c r="L129" s="39">
        <v>2346</v>
      </c>
      <c r="M129" s="81">
        <v>2346</v>
      </c>
      <c r="N129" s="39">
        <v>507</v>
      </c>
      <c r="O129" s="81">
        <v>507</v>
      </c>
      <c r="P129" s="39">
        <v>155</v>
      </c>
      <c r="Q129" s="81">
        <v>155</v>
      </c>
      <c r="R129" s="39">
        <v>633</v>
      </c>
      <c r="S129" s="81">
        <v>633</v>
      </c>
      <c r="T129" s="39">
        <v>548</v>
      </c>
      <c r="U129" s="81">
        <v>548</v>
      </c>
    </row>
    <row r="130" spans="1:21" s="2" customFormat="1" ht="12.75">
      <c r="A130" s="62"/>
      <c r="B130" s="63" t="s">
        <v>107</v>
      </c>
      <c r="C130" s="65"/>
      <c r="D130" s="71"/>
      <c r="E130" s="72"/>
      <c r="F130" s="71"/>
      <c r="G130" s="72"/>
      <c r="H130" s="24">
        <v>2272</v>
      </c>
      <c r="I130" s="64"/>
      <c r="J130" s="71">
        <v>5242</v>
      </c>
      <c r="K130" s="64"/>
      <c r="L130" s="71">
        <v>5238</v>
      </c>
      <c r="M130" s="64"/>
      <c r="N130" s="71">
        <v>5314</v>
      </c>
      <c r="O130" s="64"/>
      <c r="P130" s="71">
        <v>5383</v>
      </c>
      <c r="Q130" s="64"/>
      <c r="R130" s="71">
        <v>5447</v>
      </c>
      <c r="S130" s="64"/>
      <c r="T130" s="71">
        <v>5508</v>
      </c>
      <c r="U130" s="64"/>
    </row>
    <row r="131" spans="1:21" s="2" customFormat="1" ht="12.75">
      <c r="A131" s="91" t="s">
        <v>133</v>
      </c>
      <c r="B131" s="101"/>
      <c r="C131" s="32"/>
      <c r="D131" s="36">
        <f>SUM(D132:D147)</f>
        <v>12903</v>
      </c>
      <c r="E131" s="36">
        <f aca="true" t="shared" si="15" ref="E131:U131">SUM(E132:E147)</f>
        <v>3011</v>
      </c>
      <c r="F131" s="36">
        <f t="shared" si="15"/>
        <v>12124</v>
      </c>
      <c r="G131" s="36">
        <f t="shared" si="15"/>
        <v>1495</v>
      </c>
      <c r="H131" s="36">
        <f t="shared" si="15"/>
        <v>18732</v>
      </c>
      <c r="I131" s="36">
        <f t="shared" si="15"/>
        <v>7547</v>
      </c>
      <c r="J131" s="36">
        <f t="shared" si="15"/>
        <v>19320</v>
      </c>
      <c r="K131" s="36">
        <f t="shared" si="15"/>
        <v>6024</v>
      </c>
      <c r="L131" s="36">
        <f t="shared" si="15"/>
        <v>18057</v>
      </c>
      <c r="M131" s="36">
        <f t="shared" si="15"/>
        <v>4999</v>
      </c>
      <c r="N131" s="36">
        <f t="shared" si="15"/>
        <v>12648</v>
      </c>
      <c r="O131" s="36">
        <f t="shared" si="15"/>
        <v>6172</v>
      </c>
      <c r="P131" s="36">
        <f t="shared" si="15"/>
        <v>16173</v>
      </c>
      <c r="Q131" s="36">
        <f t="shared" si="15"/>
        <v>9558</v>
      </c>
      <c r="R131" s="36">
        <f t="shared" si="15"/>
        <v>14548</v>
      </c>
      <c r="S131" s="36">
        <f t="shared" si="15"/>
        <v>8512</v>
      </c>
      <c r="T131" s="36">
        <f t="shared" si="15"/>
        <v>12469</v>
      </c>
      <c r="U131" s="36">
        <f t="shared" si="15"/>
        <v>5785</v>
      </c>
    </row>
    <row r="132" spans="1:21" s="2" customFormat="1" ht="12.75">
      <c r="A132" s="57"/>
      <c r="B132" s="37" t="s">
        <v>67</v>
      </c>
      <c r="D132" s="39">
        <v>17</v>
      </c>
      <c r="E132" s="55">
        <v>17</v>
      </c>
      <c r="F132" s="39">
        <f>31+46</f>
        <v>77</v>
      </c>
      <c r="G132" s="55">
        <f>31+46</f>
        <v>77</v>
      </c>
      <c r="H132" s="40">
        <v>2</v>
      </c>
      <c r="I132" s="51">
        <v>2</v>
      </c>
      <c r="J132" s="39">
        <f>5+155</f>
        <v>160</v>
      </c>
      <c r="K132" s="40">
        <f>5+155</f>
        <v>160</v>
      </c>
      <c r="L132" s="39">
        <v>1018</v>
      </c>
      <c r="M132" s="40">
        <v>1018</v>
      </c>
      <c r="N132" s="39">
        <f>1011+1</f>
        <v>1012</v>
      </c>
      <c r="O132" s="40">
        <f>1011+1</f>
        <v>1012</v>
      </c>
      <c r="P132" s="39">
        <f>1436+18</f>
        <v>1454</v>
      </c>
      <c r="Q132" s="40">
        <f>1436+18</f>
        <v>1454</v>
      </c>
      <c r="R132" s="39">
        <f>52+3140+121</f>
        <v>3313</v>
      </c>
      <c r="S132" s="40">
        <f>52+3140+121</f>
        <v>3313</v>
      </c>
      <c r="T132" s="39">
        <f>32+1325+16</f>
        <v>1373</v>
      </c>
      <c r="U132" s="40">
        <f>32+1325+16</f>
        <v>1373</v>
      </c>
    </row>
    <row r="133" spans="1:21" s="2" customFormat="1" ht="12.75">
      <c r="A133" s="57"/>
      <c r="B133" s="38" t="s">
        <v>23</v>
      </c>
      <c r="D133" s="39">
        <f>517+128</f>
        <v>645</v>
      </c>
      <c r="E133" s="55"/>
      <c r="F133" s="39">
        <f>460+148</f>
        <v>608</v>
      </c>
      <c r="G133" s="55"/>
      <c r="H133" s="23">
        <v>507</v>
      </c>
      <c r="I133" s="51"/>
      <c r="J133" s="39">
        <v>2083</v>
      </c>
      <c r="K133" s="51"/>
      <c r="L133" s="39">
        <v>2066</v>
      </c>
      <c r="M133" s="51"/>
      <c r="N133" s="39">
        <v>2212</v>
      </c>
      <c r="O133" s="51"/>
      <c r="P133" s="39">
        <v>2521</v>
      </c>
      <c r="Q133" s="51"/>
      <c r="R133" s="39">
        <v>1685</v>
      </c>
      <c r="S133" s="51"/>
      <c r="T133" s="39">
        <v>2525</v>
      </c>
      <c r="U133" s="51"/>
    </row>
    <row r="134" spans="1:21" s="2" customFormat="1" ht="12.75">
      <c r="A134" s="57"/>
      <c r="B134" s="38" t="s">
        <v>111</v>
      </c>
      <c r="D134" s="39">
        <f>123+62+461</f>
        <v>646</v>
      </c>
      <c r="E134" s="55">
        <f>123+62+461</f>
        <v>646</v>
      </c>
      <c r="F134" s="39">
        <f>15+247+271</f>
        <v>533</v>
      </c>
      <c r="G134" s="55">
        <f>15+247+271</f>
        <v>533</v>
      </c>
      <c r="H134" s="40">
        <f>23+295+712+5268</f>
        <v>6298</v>
      </c>
      <c r="I134" s="51">
        <f>23+295+712+5268</f>
        <v>6298</v>
      </c>
      <c r="J134" s="39">
        <v>4903</v>
      </c>
      <c r="K134" s="40">
        <v>4903</v>
      </c>
      <c r="L134" s="39">
        <f>2364+18</f>
        <v>2382</v>
      </c>
      <c r="M134" s="40">
        <f>2364+18</f>
        <v>2382</v>
      </c>
      <c r="N134" s="39">
        <v>3490</v>
      </c>
      <c r="O134" s="40">
        <v>3490</v>
      </c>
      <c r="P134" s="39">
        <v>2737</v>
      </c>
      <c r="Q134" s="40">
        <v>2737</v>
      </c>
      <c r="R134" s="39">
        <v>3411</v>
      </c>
      <c r="S134" s="40">
        <v>3411</v>
      </c>
      <c r="T134" s="39">
        <v>1957</v>
      </c>
      <c r="U134" s="40">
        <v>1957</v>
      </c>
    </row>
    <row r="135" spans="1:21" s="2" customFormat="1" ht="12.75">
      <c r="A135" s="57"/>
      <c r="B135" s="38" t="s">
        <v>66</v>
      </c>
      <c r="D135" s="39">
        <f>310+968+356</f>
        <v>1634</v>
      </c>
      <c r="E135" s="55">
        <f>310+968+356</f>
        <v>1634</v>
      </c>
      <c r="F135" s="39">
        <v>65</v>
      </c>
      <c r="G135" s="55">
        <v>65</v>
      </c>
      <c r="H135" s="40">
        <v>389</v>
      </c>
      <c r="I135" s="51">
        <v>389</v>
      </c>
      <c r="J135" s="39">
        <v>258</v>
      </c>
      <c r="K135" s="40">
        <v>258</v>
      </c>
      <c r="L135" s="39"/>
      <c r="M135" s="40"/>
      <c r="N135" s="39">
        <f>21+207</f>
        <v>228</v>
      </c>
      <c r="O135" s="40">
        <v>207</v>
      </c>
      <c r="P135" s="39">
        <f>29+516</f>
        <v>545</v>
      </c>
      <c r="Q135" s="40">
        <f>309+239-32</f>
        <v>516</v>
      </c>
      <c r="R135" s="39">
        <f>239+29</f>
        <v>268</v>
      </c>
      <c r="S135" s="40">
        <v>239</v>
      </c>
      <c r="T135" s="39">
        <f>389+29+150</f>
        <v>568</v>
      </c>
      <c r="U135" s="40">
        <f>389+29+150</f>
        <v>568</v>
      </c>
    </row>
    <row r="136" spans="1:21" s="2" customFormat="1" ht="12.75">
      <c r="A136" s="57"/>
      <c r="B136" s="37" t="s">
        <v>108</v>
      </c>
      <c r="D136" s="39">
        <v>1241</v>
      </c>
      <c r="E136" s="39">
        <v>0</v>
      </c>
      <c r="F136" s="39">
        <v>1437</v>
      </c>
      <c r="G136" s="39">
        <v>0</v>
      </c>
      <c r="H136" s="39">
        <v>1862</v>
      </c>
      <c r="I136" s="39">
        <v>0</v>
      </c>
      <c r="J136" s="39">
        <v>1773</v>
      </c>
      <c r="K136" s="39">
        <v>0</v>
      </c>
      <c r="L136" s="39">
        <v>2154</v>
      </c>
      <c r="M136" s="39"/>
      <c r="N136" s="39">
        <v>2327</v>
      </c>
      <c r="O136" s="39"/>
      <c r="P136" s="39">
        <v>2302</v>
      </c>
      <c r="Q136" s="39"/>
      <c r="R136" s="39">
        <v>2746</v>
      </c>
      <c r="S136" s="39"/>
      <c r="T136" s="39">
        <v>2485</v>
      </c>
      <c r="U136" s="39"/>
    </row>
    <row r="137" spans="1:21" s="2" customFormat="1" ht="12.75">
      <c r="A137" s="57"/>
      <c r="B137" s="37" t="s">
        <v>94</v>
      </c>
      <c r="D137" s="39"/>
      <c r="E137" s="55"/>
      <c r="F137" s="39"/>
      <c r="G137" s="55"/>
      <c r="H137" s="23"/>
      <c r="I137" s="51"/>
      <c r="J137" s="39"/>
      <c r="K137" s="51"/>
      <c r="L137" s="39"/>
      <c r="M137" s="51"/>
      <c r="N137" s="39">
        <v>380</v>
      </c>
      <c r="O137" s="51"/>
      <c r="P137" s="39">
        <v>361</v>
      </c>
      <c r="Q137" s="51"/>
      <c r="R137" s="39">
        <v>300</v>
      </c>
      <c r="S137" s="51"/>
      <c r="T137" s="39">
        <v>317</v>
      </c>
      <c r="U137" s="51"/>
    </row>
    <row r="138" spans="1:21" s="2" customFormat="1" ht="12.75">
      <c r="A138" s="57"/>
      <c r="B138" s="38" t="s">
        <v>46</v>
      </c>
      <c r="D138" s="39"/>
      <c r="E138" s="55"/>
      <c r="F138" s="39"/>
      <c r="G138" s="55"/>
      <c r="H138" s="23"/>
      <c r="I138" s="51"/>
      <c r="J138" s="39"/>
      <c r="K138" s="51"/>
      <c r="L138" s="39"/>
      <c r="M138" s="51"/>
      <c r="N138" s="39"/>
      <c r="O138" s="51"/>
      <c r="P138" s="39"/>
      <c r="Q138" s="51"/>
      <c r="R138" s="39"/>
      <c r="S138" s="51"/>
      <c r="T138" s="39"/>
      <c r="U138" s="51"/>
    </row>
    <row r="139" spans="1:21" s="2" customFormat="1" ht="12.75">
      <c r="A139" s="57"/>
      <c r="B139" s="38" t="s">
        <v>16</v>
      </c>
      <c r="D139" s="39">
        <f>516+664</f>
        <v>1180</v>
      </c>
      <c r="E139" s="55">
        <v>664</v>
      </c>
      <c r="F139" s="39">
        <f>638+820</f>
        <v>1458</v>
      </c>
      <c r="G139" s="55">
        <v>820</v>
      </c>
      <c r="H139" s="40">
        <f>516+668</f>
        <v>1184</v>
      </c>
      <c r="I139" s="51">
        <v>668</v>
      </c>
      <c r="J139" s="39">
        <f>697+665+38</f>
        <v>1400</v>
      </c>
      <c r="K139" s="51">
        <f>665+38</f>
        <v>703</v>
      </c>
      <c r="L139" s="39">
        <f>697+603+13</f>
        <v>1313</v>
      </c>
      <c r="M139" s="51">
        <f>603+13</f>
        <v>616</v>
      </c>
      <c r="N139" s="39">
        <f>490+634+49</f>
        <v>1173</v>
      </c>
      <c r="O139" s="51">
        <f>634+49</f>
        <v>683</v>
      </c>
      <c r="P139" s="39">
        <f>550+4127</f>
        <v>4677</v>
      </c>
      <c r="Q139" s="51">
        <v>4127</v>
      </c>
      <c r="R139" s="39">
        <f>425+753</f>
        <v>1178</v>
      </c>
      <c r="S139" s="51">
        <v>753</v>
      </c>
      <c r="T139" s="39">
        <f>806+480+3</f>
        <v>1289</v>
      </c>
      <c r="U139" s="51">
        <f>806+3</f>
        <v>809</v>
      </c>
    </row>
    <row r="140" spans="1:21" s="2" customFormat="1" ht="12.75">
      <c r="A140" s="57"/>
      <c r="B140" s="37" t="s">
        <v>17</v>
      </c>
      <c r="D140" s="39">
        <v>50</v>
      </c>
      <c r="E140" s="55">
        <v>50</v>
      </c>
      <c r="F140" s="39"/>
      <c r="G140" s="55"/>
      <c r="H140" s="23">
        <f>78+112</f>
        <v>190</v>
      </c>
      <c r="I140" s="51">
        <f>78+112</f>
        <v>190</v>
      </c>
      <c r="J140" s="39"/>
      <c r="K140" s="51"/>
      <c r="L140" s="39">
        <v>170</v>
      </c>
      <c r="M140" s="51">
        <v>170</v>
      </c>
      <c r="N140" s="39"/>
      <c r="O140" s="51"/>
      <c r="P140" s="39">
        <v>3</v>
      </c>
      <c r="Q140" s="51">
        <v>3</v>
      </c>
      <c r="R140" s="39">
        <v>25</v>
      </c>
      <c r="S140" s="51">
        <v>25</v>
      </c>
      <c r="T140" s="39"/>
      <c r="U140" s="51"/>
    </row>
    <row r="141" spans="1:21" s="2" customFormat="1" ht="12.75">
      <c r="A141" s="57"/>
      <c r="B141" s="38" t="s">
        <v>14</v>
      </c>
      <c r="D141" s="39"/>
      <c r="E141" s="55"/>
      <c r="F141" s="39"/>
      <c r="G141" s="55"/>
      <c r="H141" s="23"/>
      <c r="I141" s="51"/>
      <c r="J141" s="39"/>
      <c r="K141" s="51"/>
      <c r="L141" s="39"/>
      <c r="M141" s="51"/>
      <c r="N141" s="39"/>
      <c r="O141" s="51"/>
      <c r="P141" s="39"/>
      <c r="Q141" s="51"/>
      <c r="R141" s="39"/>
      <c r="S141" s="51"/>
      <c r="T141" s="39">
        <v>245</v>
      </c>
      <c r="U141" s="51">
        <v>245</v>
      </c>
    </row>
    <row r="142" spans="1:21" s="2" customFormat="1" ht="12.75">
      <c r="A142" s="57"/>
      <c r="B142" s="10" t="s">
        <v>65</v>
      </c>
      <c r="C142" s="42"/>
      <c r="D142" s="39">
        <v>104</v>
      </c>
      <c r="E142" s="55"/>
      <c r="F142" s="39">
        <v>181</v>
      </c>
      <c r="G142" s="55"/>
      <c r="H142" s="23">
        <v>88</v>
      </c>
      <c r="I142" s="51"/>
      <c r="J142" s="39">
        <v>467</v>
      </c>
      <c r="K142" s="51"/>
      <c r="L142" s="39">
        <v>470</v>
      </c>
      <c r="M142" s="51"/>
      <c r="N142" s="39">
        <v>794</v>
      </c>
      <c r="O142" s="51"/>
      <c r="P142" s="39">
        <v>745</v>
      </c>
      <c r="Q142" s="51"/>
      <c r="R142" s="39">
        <v>851</v>
      </c>
      <c r="S142" s="51"/>
      <c r="T142" s="39">
        <f>877+72</f>
        <v>949</v>
      </c>
      <c r="U142" s="51">
        <v>72</v>
      </c>
    </row>
    <row r="143" spans="1:21" s="2" customFormat="1" ht="12.75">
      <c r="A143" s="57"/>
      <c r="B143" s="6" t="s">
        <v>60</v>
      </c>
      <c r="D143" s="25">
        <v>3258</v>
      </c>
      <c r="E143" s="48"/>
      <c r="F143" s="25">
        <v>3206</v>
      </c>
      <c r="G143" s="48"/>
      <c r="H143" s="23">
        <v>2763</v>
      </c>
      <c r="I143" s="51"/>
      <c r="J143" s="25">
        <v>2868</v>
      </c>
      <c r="K143" s="51"/>
      <c r="L143" s="25">
        <v>3458</v>
      </c>
      <c r="M143" s="51"/>
      <c r="N143" s="25"/>
      <c r="O143" s="51"/>
      <c r="P143" s="25"/>
      <c r="Q143" s="51"/>
      <c r="R143" s="25"/>
      <c r="S143" s="51"/>
      <c r="T143" s="25"/>
      <c r="U143" s="51"/>
    </row>
    <row r="144" spans="1:21" s="2" customFormat="1" ht="12.75">
      <c r="A144" s="57"/>
      <c r="B144" s="6" t="s">
        <v>61</v>
      </c>
      <c r="D144" s="25">
        <v>1644</v>
      </c>
      <c r="E144" s="48"/>
      <c r="F144" s="25">
        <v>1647</v>
      </c>
      <c r="G144" s="48"/>
      <c r="H144" s="23">
        <v>1455</v>
      </c>
      <c r="I144" s="51"/>
      <c r="J144" s="25">
        <v>1241</v>
      </c>
      <c r="K144" s="51"/>
      <c r="L144" s="25">
        <v>974</v>
      </c>
      <c r="M144" s="51"/>
      <c r="N144" s="25"/>
      <c r="O144" s="51"/>
      <c r="P144" s="25"/>
      <c r="Q144" s="51"/>
      <c r="R144" s="25"/>
      <c r="S144" s="51"/>
      <c r="T144" s="25"/>
      <c r="U144" s="51"/>
    </row>
    <row r="145" spans="1:21" s="2" customFormat="1" ht="12.75">
      <c r="A145" s="57"/>
      <c r="B145" s="6" t="s">
        <v>62</v>
      </c>
      <c r="D145" s="25">
        <v>573</v>
      </c>
      <c r="E145" s="48"/>
      <c r="F145" s="25">
        <v>573</v>
      </c>
      <c r="G145" s="48"/>
      <c r="H145" s="23">
        <v>688</v>
      </c>
      <c r="I145" s="51"/>
      <c r="J145" s="25">
        <v>989</v>
      </c>
      <c r="K145" s="51"/>
      <c r="L145" s="25">
        <f>296+808</f>
        <v>1104</v>
      </c>
      <c r="M145" s="51">
        <v>808</v>
      </c>
      <c r="N145" s="25">
        <f>252+775</f>
        <v>1027</v>
      </c>
      <c r="O145" s="51">
        <v>775</v>
      </c>
      <c r="P145" s="25">
        <f>107+715</f>
        <v>822</v>
      </c>
      <c r="Q145" s="51">
        <v>715</v>
      </c>
      <c r="R145" s="25">
        <v>765</v>
      </c>
      <c r="S145" s="51">
        <v>765</v>
      </c>
      <c r="T145" s="25">
        <v>755</v>
      </c>
      <c r="U145" s="51">
        <v>755</v>
      </c>
    </row>
    <row r="146" spans="1:21" s="2" customFormat="1" ht="12.75">
      <c r="A146" s="57"/>
      <c r="B146" s="37" t="s">
        <v>63</v>
      </c>
      <c r="D146" s="39">
        <v>1911</v>
      </c>
      <c r="E146" s="55"/>
      <c r="F146" s="39">
        <v>2339</v>
      </c>
      <c r="G146" s="55"/>
      <c r="H146" s="23">
        <v>3306</v>
      </c>
      <c r="I146" s="51"/>
      <c r="J146" s="39">
        <v>3149</v>
      </c>
      <c r="K146" s="51"/>
      <c r="L146" s="39">
        <v>2942</v>
      </c>
      <c r="M146" s="51"/>
      <c r="N146" s="39"/>
      <c r="O146" s="51"/>
      <c r="P146" s="39"/>
      <c r="Q146" s="51"/>
      <c r="R146" s="39"/>
      <c r="S146" s="51"/>
      <c r="T146" s="39"/>
      <c r="U146" s="51"/>
    </row>
    <row r="147" spans="1:21" s="112" customFormat="1" ht="12.75">
      <c r="A147" s="62"/>
      <c r="B147" s="63" t="s">
        <v>64</v>
      </c>
      <c r="C147" s="65"/>
      <c r="D147" s="71"/>
      <c r="E147" s="72"/>
      <c r="F147" s="71"/>
      <c r="G147" s="72"/>
      <c r="H147" s="24"/>
      <c r="I147" s="61"/>
      <c r="J147" s="71">
        <v>29</v>
      </c>
      <c r="K147" s="61"/>
      <c r="L147" s="71">
        <f>1+5</f>
        <v>6</v>
      </c>
      <c r="M147" s="61">
        <v>5</v>
      </c>
      <c r="N147" s="71">
        <v>5</v>
      </c>
      <c r="O147" s="61">
        <v>5</v>
      </c>
      <c r="P147" s="71">
        <v>6</v>
      </c>
      <c r="Q147" s="61">
        <v>6</v>
      </c>
      <c r="R147" s="71">
        <v>6</v>
      </c>
      <c r="S147" s="61">
        <v>6</v>
      </c>
      <c r="T147" s="71">
        <v>6</v>
      </c>
      <c r="U147" s="61">
        <v>6</v>
      </c>
    </row>
    <row r="148" spans="1:21" s="2" customFormat="1" ht="12.75">
      <c r="A148" s="91" t="s">
        <v>134</v>
      </c>
      <c r="B148" s="101"/>
      <c r="C148" s="32"/>
      <c r="D148" s="36">
        <f>SUM(D149:D160)</f>
        <v>15201</v>
      </c>
      <c r="E148" s="36">
        <f aca="true" t="shared" si="16" ref="E148:S148">SUM(E149:E160)</f>
        <v>1551</v>
      </c>
      <c r="F148" s="36">
        <f t="shared" si="16"/>
        <v>14226</v>
      </c>
      <c r="G148" s="36">
        <f t="shared" si="16"/>
        <v>716</v>
      </c>
      <c r="H148" s="36">
        <f t="shared" si="16"/>
        <v>14071</v>
      </c>
      <c r="I148" s="36">
        <f t="shared" si="16"/>
        <v>1131</v>
      </c>
      <c r="J148" s="36">
        <f t="shared" si="16"/>
        <v>17693</v>
      </c>
      <c r="K148" s="36">
        <f t="shared" si="16"/>
        <v>1217</v>
      </c>
      <c r="L148" s="36">
        <f t="shared" si="16"/>
        <v>17886</v>
      </c>
      <c r="M148" s="36">
        <f t="shared" si="16"/>
        <v>1362</v>
      </c>
      <c r="N148" s="36">
        <f t="shared" si="16"/>
        <v>19255</v>
      </c>
      <c r="O148" s="36">
        <f t="shared" si="16"/>
        <v>1291</v>
      </c>
      <c r="P148" s="36">
        <f t="shared" si="16"/>
        <v>21746</v>
      </c>
      <c r="Q148" s="36">
        <f t="shared" si="16"/>
        <v>1588</v>
      </c>
      <c r="R148" s="36">
        <f t="shared" si="16"/>
        <v>21647</v>
      </c>
      <c r="S148" s="36">
        <f t="shared" si="16"/>
        <v>1530</v>
      </c>
      <c r="T148" s="36">
        <f>SUM(T149:T160)</f>
        <v>9568</v>
      </c>
      <c r="U148" s="36">
        <f>SUM(U149:U160)</f>
        <v>1631</v>
      </c>
    </row>
    <row r="149" spans="1:21" s="60" customFormat="1" ht="12.75">
      <c r="A149" s="57"/>
      <c r="B149" s="6" t="s">
        <v>67</v>
      </c>
      <c r="C149" s="2"/>
      <c r="D149" s="40">
        <v>85</v>
      </c>
      <c r="E149" s="51">
        <v>85</v>
      </c>
      <c r="F149" s="70">
        <v>38</v>
      </c>
      <c r="G149" s="73">
        <v>38</v>
      </c>
      <c r="H149" s="23">
        <v>187</v>
      </c>
      <c r="I149" s="40">
        <v>187</v>
      </c>
      <c r="J149" s="69">
        <v>33</v>
      </c>
      <c r="K149" s="40">
        <v>33</v>
      </c>
      <c r="L149" s="69">
        <v>6</v>
      </c>
      <c r="M149" s="40">
        <v>6</v>
      </c>
      <c r="N149" s="69">
        <v>25</v>
      </c>
      <c r="O149" s="40">
        <v>25</v>
      </c>
      <c r="P149" s="69">
        <v>18</v>
      </c>
      <c r="Q149" s="40">
        <v>18</v>
      </c>
      <c r="R149" s="69">
        <v>29</v>
      </c>
      <c r="S149" s="40">
        <v>29</v>
      </c>
      <c r="T149" s="69">
        <v>20</v>
      </c>
      <c r="U149" s="40">
        <v>20</v>
      </c>
    </row>
    <row r="150" spans="1:21" s="60" customFormat="1" ht="12.75">
      <c r="A150" s="57"/>
      <c r="B150" s="37" t="s">
        <v>17</v>
      </c>
      <c r="C150" s="2"/>
      <c r="D150" s="40"/>
      <c r="E150" s="51"/>
      <c r="F150" s="70"/>
      <c r="G150" s="73"/>
      <c r="H150" s="23"/>
      <c r="I150" s="40"/>
      <c r="J150" s="69"/>
      <c r="K150" s="40"/>
      <c r="L150" s="69">
        <v>17</v>
      </c>
      <c r="M150" s="40">
        <v>17</v>
      </c>
      <c r="N150" s="69">
        <v>13</v>
      </c>
      <c r="O150" s="40">
        <v>13</v>
      </c>
      <c r="P150" s="69">
        <v>10</v>
      </c>
      <c r="Q150" s="40">
        <v>10</v>
      </c>
      <c r="R150" s="69">
        <v>20</v>
      </c>
      <c r="S150" s="40">
        <v>20</v>
      </c>
      <c r="T150" s="69"/>
      <c r="U150" s="40"/>
    </row>
    <row r="151" spans="1:21" s="2" customFormat="1" ht="12.75">
      <c r="A151" s="57"/>
      <c r="B151" s="38" t="s">
        <v>111</v>
      </c>
      <c r="D151" s="70">
        <f>182+67</f>
        <v>249</v>
      </c>
      <c r="E151" s="73">
        <f>182+67</f>
        <v>249</v>
      </c>
      <c r="F151" s="70">
        <f>117+45</f>
        <v>162</v>
      </c>
      <c r="G151" s="73">
        <f>117+45</f>
        <v>162</v>
      </c>
      <c r="H151" s="23">
        <f>151+345</f>
        <v>496</v>
      </c>
      <c r="I151" s="40">
        <f>151+345</f>
        <v>496</v>
      </c>
      <c r="J151" s="69">
        <v>645</v>
      </c>
      <c r="K151" s="40">
        <v>645</v>
      </c>
      <c r="L151" s="69">
        <v>854</v>
      </c>
      <c r="M151" s="40">
        <v>854</v>
      </c>
      <c r="N151" s="69">
        <f>775+35</f>
        <v>810</v>
      </c>
      <c r="O151" s="40">
        <f>775+35</f>
        <v>810</v>
      </c>
      <c r="P151" s="87">
        <f>1542+18</f>
        <v>1560</v>
      </c>
      <c r="Q151" s="40">
        <f>1542+18</f>
        <v>1560</v>
      </c>
      <c r="R151" s="87">
        <f>1426+55</f>
        <v>1481</v>
      </c>
      <c r="S151" s="40">
        <f>1426+55</f>
        <v>1481</v>
      </c>
      <c r="T151" s="87">
        <f>1573+30</f>
        <v>1603</v>
      </c>
      <c r="U151" s="40">
        <f>1573+30</f>
        <v>1603</v>
      </c>
    </row>
    <row r="152" spans="1:21" s="2" customFormat="1" ht="12.75">
      <c r="A152" s="57"/>
      <c r="B152" s="37" t="s">
        <v>22</v>
      </c>
      <c r="D152" s="79">
        <f>3770+82</f>
        <v>3852</v>
      </c>
      <c r="E152" s="73"/>
      <c r="F152" s="79">
        <f>3564+118</f>
        <v>3682</v>
      </c>
      <c r="G152" s="73"/>
      <c r="H152" s="23">
        <f>2934+53</f>
        <v>2987</v>
      </c>
      <c r="I152" s="40"/>
      <c r="J152" s="87">
        <f>2841+8</f>
        <v>2849</v>
      </c>
      <c r="K152" s="40"/>
      <c r="L152" s="87">
        <v>2993</v>
      </c>
      <c r="M152" s="40"/>
      <c r="N152" s="87">
        <v>2900</v>
      </c>
      <c r="O152" s="40"/>
      <c r="P152" s="87">
        <v>3100</v>
      </c>
      <c r="Q152" s="40"/>
      <c r="R152" s="87">
        <v>3450</v>
      </c>
      <c r="S152" s="40"/>
      <c r="T152" s="87">
        <v>3600</v>
      </c>
      <c r="U152" s="40"/>
    </row>
    <row r="153" spans="1:21" s="2" customFormat="1" ht="12.75">
      <c r="A153" s="57"/>
      <c r="B153" s="38" t="s">
        <v>66</v>
      </c>
      <c r="D153" s="70">
        <v>168</v>
      </c>
      <c r="E153" s="73"/>
      <c r="F153" s="70">
        <v>156</v>
      </c>
      <c r="G153" s="73"/>
      <c r="H153" s="23">
        <f>168+448</f>
        <v>616</v>
      </c>
      <c r="I153" s="40">
        <v>448</v>
      </c>
      <c r="J153" s="87">
        <v>2276</v>
      </c>
      <c r="K153" s="40"/>
      <c r="L153" s="87">
        <f>2320+54</f>
        <v>2374</v>
      </c>
      <c r="M153" s="40"/>
      <c r="N153" s="87">
        <v>3104</v>
      </c>
      <c r="O153" s="40"/>
      <c r="P153" s="87">
        <v>5115</v>
      </c>
      <c r="Q153" s="40"/>
      <c r="R153" s="87">
        <v>3409</v>
      </c>
      <c r="S153" s="40"/>
      <c r="T153" s="87">
        <v>2692</v>
      </c>
      <c r="U153" s="40"/>
    </row>
    <row r="154" spans="1:21" s="2" customFormat="1" ht="12.75">
      <c r="A154" s="57"/>
      <c r="B154" s="38" t="s">
        <v>23</v>
      </c>
      <c r="D154" s="70">
        <v>362</v>
      </c>
      <c r="E154" s="73"/>
      <c r="F154" s="70"/>
      <c r="G154" s="73"/>
      <c r="H154" s="23"/>
      <c r="I154" s="40"/>
      <c r="J154" s="87"/>
      <c r="K154" s="40"/>
      <c r="L154" s="87"/>
      <c r="M154" s="40"/>
      <c r="N154" s="87"/>
      <c r="O154" s="40"/>
      <c r="P154" s="87"/>
      <c r="Q154" s="40"/>
      <c r="R154" s="87">
        <v>350</v>
      </c>
      <c r="S154" s="40"/>
      <c r="T154" s="87"/>
      <c r="U154" s="40"/>
    </row>
    <row r="155" spans="1:21" s="2" customFormat="1" ht="12.75">
      <c r="A155" s="57"/>
      <c r="B155" s="37" t="s">
        <v>68</v>
      </c>
      <c r="D155" s="70">
        <f>5+825</f>
        <v>830</v>
      </c>
      <c r="E155" s="73"/>
      <c r="F155" s="70">
        <f>10+982</f>
        <v>992</v>
      </c>
      <c r="G155" s="73"/>
      <c r="H155" s="23">
        <f>5+899</f>
        <v>904</v>
      </c>
      <c r="I155" s="40"/>
      <c r="J155" s="87">
        <v>864</v>
      </c>
      <c r="K155" s="40"/>
      <c r="L155" s="87">
        <v>897</v>
      </c>
      <c r="M155" s="40"/>
      <c r="N155" s="87">
        <v>949</v>
      </c>
      <c r="O155" s="40"/>
      <c r="P155" s="87">
        <v>885</v>
      </c>
      <c r="Q155" s="40"/>
      <c r="R155" s="87">
        <v>960</v>
      </c>
      <c r="S155" s="40"/>
      <c r="T155" s="87">
        <v>863</v>
      </c>
      <c r="U155" s="40"/>
    </row>
    <row r="156" spans="1:21" s="2" customFormat="1" ht="12.75">
      <c r="A156" s="57"/>
      <c r="B156" s="38" t="s">
        <v>16</v>
      </c>
      <c r="D156" s="70">
        <v>306</v>
      </c>
      <c r="E156" s="73"/>
      <c r="F156" s="70">
        <v>310</v>
      </c>
      <c r="G156" s="73"/>
      <c r="H156" s="23"/>
      <c r="I156" s="40"/>
      <c r="J156" s="87">
        <f>310+539</f>
        <v>849</v>
      </c>
      <c r="K156" s="40">
        <v>539</v>
      </c>
      <c r="L156" s="87">
        <f>310+485</f>
        <v>795</v>
      </c>
      <c r="M156" s="40">
        <v>485</v>
      </c>
      <c r="N156" s="87">
        <f>436+443</f>
        <v>879</v>
      </c>
      <c r="O156" s="40">
        <v>443</v>
      </c>
      <c r="P156" s="87">
        <v>444</v>
      </c>
      <c r="Q156" s="40"/>
      <c r="R156" s="87">
        <v>423</v>
      </c>
      <c r="S156" s="40"/>
      <c r="T156" s="87">
        <f>8+432</f>
        <v>440</v>
      </c>
      <c r="U156" s="40">
        <v>8</v>
      </c>
    </row>
    <row r="157" spans="1:21" s="2" customFormat="1" ht="12.75">
      <c r="A157" s="57"/>
      <c r="B157" s="38" t="s">
        <v>69</v>
      </c>
      <c r="D157" s="79">
        <v>1114</v>
      </c>
      <c r="E157" s="80">
        <v>1114</v>
      </c>
      <c r="F157" s="70">
        <v>516</v>
      </c>
      <c r="G157" s="73">
        <v>516</v>
      </c>
      <c r="H157" s="23"/>
      <c r="I157" s="40"/>
      <c r="J157" s="87"/>
      <c r="K157" s="40"/>
      <c r="L157" s="87"/>
      <c r="M157" s="40"/>
      <c r="N157" s="87"/>
      <c r="O157" s="40"/>
      <c r="P157" s="87"/>
      <c r="Q157" s="40"/>
      <c r="R157" s="87"/>
      <c r="S157" s="40"/>
      <c r="T157" s="87"/>
      <c r="U157" s="40"/>
    </row>
    <row r="158" spans="1:21" s="2" customFormat="1" ht="12.75">
      <c r="A158" s="57"/>
      <c r="B158" s="37" t="s">
        <v>70</v>
      </c>
      <c r="D158" s="79">
        <v>8031</v>
      </c>
      <c r="E158" s="73"/>
      <c r="F158" s="70">
        <v>8326</v>
      </c>
      <c r="G158" s="73"/>
      <c r="H158" s="23">
        <v>8881</v>
      </c>
      <c r="I158" s="40"/>
      <c r="J158" s="87">
        <v>9296</v>
      </c>
      <c r="K158" s="40"/>
      <c r="L158" s="87">
        <v>9640</v>
      </c>
      <c r="M158" s="40"/>
      <c r="N158" s="87">
        <v>10270</v>
      </c>
      <c r="O158" s="40"/>
      <c r="P158" s="87">
        <v>10270</v>
      </c>
      <c r="Q158" s="40"/>
      <c r="R158" s="87">
        <v>11150</v>
      </c>
      <c r="S158" s="40"/>
      <c r="T158" s="87"/>
      <c r="U158" s="40"/>
    </row>
    <row r="159" spans="1:21" s="2" customFormat="1" ht="12.75">
      <c r="A159" s="57"/>
      <c r="B159" s="38" t="s">
        <v>64</v>
      </c>
      <c r="D159" s="79">
        <f>101+103</f>
        <v>204</v>
      </c>
      <c r="E159" s="73">
        <v>103</v>
      </c>
      <c r="F159" s="70">
        <v>44</v>
      </c>
      <c r="G159" s="73"/>
      <c r="H159" s="23"/>
      <c r="I159" s="40"/>
      <c r="J159" s="87"/>
      <c r="K159" s="40"/>
      <c r="L159" s="87"/>
      <c r="M159" s="40"/>
      <c r="N159" s="87"/>
      <c r="O159" s="40"/>
      <c r="P159" s="87"/>
      <c r="Q159" s="40"/>
      <c r="R159" s="87"/>
      <c r="S159" s="40"/>
      <c r="T159" s="87"/>
      <c r="U159" s="40"/>
    </row>
    <row r="160" spans="1:21" s="112" customFormat="1" ht="12.75">
      <c r="A160" s="62"/>
      <c r="B160" s="63" t="s">
        <v>65</v>
      </c>
      <c r="C160" s="65"/>
      <c r="D160" s="71"/>
      <c r="E160" s="72"/>
      <c r="F160" s="71"/>
      <c r="G160" s="72"/>
      <c r="H160" s="24"/>
      <c r="I160" s="61"/>
      <c r="J160" s="71">
        <v>881</v>
      </c>
      <c r="K160" s="61"/>
      <c r="L160" s="71">
        <v>310</v>
      </c>
      <c r="M160" s="61"/>
      <c r="N160" s="71">
        <v>305</v>
      </c>
      <c r="O160" s="61"/>
      <c r="P160" s="71">
        <v>344</v>
      </c>
      <c r="Q160" s="61"/>
      <c r="R160" s="71">
        <v>375</v>
      </c>
      <c r="S160" s="61"/>
      <c r="T160" s="71">
        <v>350</v>
      </c>
      <c r="U160" s="61"/>
    </row>
    <row r="161" spans="1:21" s="2" customFormat="1" ht="12.75">
      <c r="A161" s="91" t="s">
        <v>135</v>
      </c>
      <c r="B161" s="101"/>
      <c r="C161" s="32"/>
      <c r="D161" s="36">
        <f>SUM(D162:D172)</f>
        <v>3320</v>
      </c>
      <c r="E161" s="36">
        <f aca="true" t="shared" si="17" ref="E161:U161">SUM(E162:E172)</f>
        <v>305</v>
      </c>
      <c r="F161" s="36">
        <f t="shared" si="17"/>
        <v>1028</v>
      </c>
      <c r="G161" s="36">
        <f t="shared" si="17"/>
        <v>690</v>
      </c>
      <c r="H161" s="36">
        <f t="shared" si="17"/>
        <v>810</v>
      </c>
      <c r="I161" s="36">
        <f t="shared" si="17"/>
        <v>326</v>
      </c>
      <c r="J161" s="36">
        <f t="shared" si="17"/>
        <v>1958</v>
      </c>
      <c r="K161" s="36">
        <f t="shared" si="17"/>
        <v>1629</v>
      </c>
      <c r="L161" s="36">
        <f t="shared" si="17"/>
        <v>2302</v>
      </c>
      <c r="M161" s="36">
        <f t="shared" si="17"/>
        <v>542</v>
      </c>
      <c r="N161" s="36">
        <f t="shared" si="17"/>
        <v>4867</v>
      </c>
      <c r="O161" s="36">
        <f t="shared" si="17"/>
        <v>2043</v>
      </c>
      <c r="P161" s="36">
        <f t="shared" si="17"/>
        <v>4803</v>
      </c>
      <c r="Q161" s="36">
        <f t="shared" si="17"/>
        <v>1630</v>
      </c>
      <c r="R161" s="36">
        <f t="shared" si="17"/>
        <v>5267</v>
      </c>
      <c r="S161" s="36">
        <f t="shared" si="17"/>
        <v>1911</v>
      </c>
      <c r="T161" s="36">
        <f t="shared" si="17"/>
        <v>2447</v>
      </c>
      <c r="U161" s="36">
        <f t="shared" si="17"/>
        <v>1154</v>
      </c>
    </row>
    <row r="162" spans="1:21" s="2" customFormat="1" ht="12.75">
      <c r="A162" s="57"/>
      <c r="B162" s="38" t="s">
        <v>66</v>
      </c>
      <c r="D162" s="40"/>
      <c r="E162" s="51"/>
      <c r="F162" s="70">
        <v>52</v>
      </c>
      <c r="G162" s="73">
        <v>52</v>
      </c>
      <c r="H162" s="23"/>
      <c r="I162" s="56"/>
      <c r="J162" s="79"/>
      <c r="K162" s="40"/>
      <c r="L162" s="79"/>
      <c r="M162" s="40"/>
      <c r="N162" s="79">
        <v>669</v>
      </c>
      <c r="O162" s="40">
        <v>669</v>
      </c>
      <c r="P162" s="79">
        <v>194</v>
      </c>
      <c r="Q162" s="40">
        <v>194</v>
      </c>
      <c r="R162" s="79"/>
      <c r="S162" s="40"/>
      <c r="T162" s="79">
        <v>35</v>
      </c>
      <c r="U162" s="40">
        <v>35</v>
      </c>
    </row>
    <row r="163" spans="1:21" s="2" customFormat="1" ht="12.75">
      <c r="A163" s="57"/>
      <c r="B163" s="38" t="s">
        <v>71</v>
      </c>
      <c r="D163" s="40">
        <f>34+9+95+83+5</f>
        <v>226</v>
      </c>
      <c r="E163" s="73"/>
      <c r="F163" s="70">
        <f>65+10+91+59+5</f>
        <v>230</v>
      </c>
      <c r="G163" s="73"/>
      <c r="H163" s="23">
        <v>236</v>
      </c>
      <c r="I163" s="56"/>
      <c r="J163" s="79">
        <v>314</v>
      </c>
      <c r="K163" s="40"/>
      <c r="L163" s="79">
        <v>157</v>
      </c>
      <c r="M163" s="40"/>
      <c r="N163" s="79">
        <v>185</v>
      </c>
      <c r="O163" s="40"/>
      <c r="P163" s="79">
        <v>205</v>
      </c>
      <c r="Q163" s="40"/>
      <c r="R163" s="79">
        <v>225</v>
      </c>
      <c r="S163" s="40"/>
      <c r="T163" s="79">
        <v>175</v>
      </c>
      <c r="U163" s="40"/>
    </row>
    <row r="164" spans="1:21" s="2" customFormat="1" ht="12.75">
      <c r="A164" s="57"/>
      <c r="B164" s="38" t="s">
        <v>111</v>
      </c>
      <c r="D164" s="40">
        <v>134</v>
      </c>
      <c r="E164" s="73">
        <v>134</v>
      </c>
      <c r="F164" s="79"/>
      <c r="G164" s="80"/>
      <c r="H164" s="23"/>
      <c r="I164" s="81"/>
      <c r="J164" s="70">
        <v>57</v>
      </c>
      <c r="K164" s="40">
        <v>57</v>
      </c>
      <c r="L164" s="79">
        <v>125</v>
      </c>
      <c r="M164" s="87">
        <v>125</v>
      </c>
      <c r="N164" s="79">
        <v>146</v>
      </c>
      <c r="O164" s="87">
        <v>146</v>
      </c>
      <c r="P164" s="79">
        <v>44</v>
      </c>
      <c r="Q164" s="87">
        <v>44</v>
      </c>
      <c r="R164" s="79">
        <v>107</v>
      </c>
      <c r="S164" s="87">
        <v>107</v>
      </c>
      <c r="T164" s="79">
        <v>49</v>
      </c>
      <c r="U164" s="87">
        <v>49</v>
      </c>
    </row>
    <row r="165" spans="1:21" s="2" customFormat="1" ht="12.75">
      <c r="A165" s="57"/>
      <c r="B165" s="6" t="s">
        <v>67</v>
      </c>
      <c r="D165" s="40">
        <f>2789+95</f>
        <v>2884</v>
      </c>
      <c r="E165" s="73">
        <v>95</v>
      </c>
      <c r="F165" s="79">
        <f>108+627</f>
        <v>735</v>
      </c>
      <c r="G165" s="80">
        <v>627</v>
      </c>
      <c r="H165" s="23">
        <f>248+324</f>
        <v>572</v>
      </c>
      <c r="I165" s="81">
        <v>324</v>
      </c>
      <c r="J165" s="70">
        <f>15+332</f>
        <v>347</v>
      </c>
      <c r="K165" s="40">
        <v>332</v>
      </c>
      <c r="L165" s="79">
        <f>1032+126</f>
        <v>1158</v>
      </c>
      <c r="M165" s="40">
        <v>126</v>
      </c>
      <c r="N165" s="79">
        <f>1432+944</f>
        <v>2376</v>
      </c>
      <c r="O165" s="40">
        <v>944</v>
      </c>
      <c r="P165" s="79">
        <f>1522+1153</f>
        <v>2675</v>
      </c>
      <c r="Q165" s="40">
        <v>1153</v>
      </c>
      <c r="R165" s="79">
        <f>1150+1781</f>
        <v>2931</v>
      </c>
      <c r="S165" s="40">
        <v>1781</v>
      </c>
      <c r="T165" s="79">
        <f>600+55+807+70</f>
        <v>1532</v>
      </c>
      <c r="U165" s="40">
        <f>55+807+70</f>
        <v>932</v>
      </c>
    </row>
    <row r="166" spans="1:21" s="2" customFormat="1" ht="12.75">
      <c r="A166" s="57"/>
      <c r="B166" s="37" t="s">
        <v>17</v>
      </c>
      <c r="D166" s="40">
        <v>70</v>
      </c>
      <c r="E166" s="73">
        <v>70</v>
      </c>
      <c r="F166" s="70">
        <v>8</v>
      </c>
      <c r="G166" s="73">
        <v>8</v>
      </c>
      <c r="H166" s="40"/>
      <c r="I166" s="56"/>
      <c r="J166" s="70"/>
      <c r="K166" s="40"/>
      <c r="L166" s="70"/>
      <c r="M166" s="40"/>
      <c r="N166" s="70">
        <v>203</v>
      </c>
      <c r="O166" s="40">
        <v>203</v>
      </c>
      <c r="P166" s="70">
        <v>61</v>
      </c>
      <c r="Q166" s="40">
        <v>61</v>
      </c>
      <c r="R166" s="70"/>
      <c r="S166" s="40"/>
      <c r="T166" s="70"/>
      <c r="U166" s="40"/>
    </row>
    <row r="167" spans="1:21" s="2" customFormat="1" ht="12.75">
      <c r="A167" s="57"/>
      <c r="B167" s="38" t="s">
        <v>64</v>
      </c>
      <c r="D167" s="40"/>
      <c r="E167" s="73"/>
      <c r="F167" s="70"/>
      <c r="G167" s="73"/>
      <c r="H167" s="40"/>
      <c r="I167" s="56"/>
      <c r="J167" s="70"/>
      <c r="K167" s="40"/>
      <c r="L167" s="70">
        <v>19</v>
      </c>
      <c r="M167" s="40">
        <v>19</v>
      </c>
      <c r="N167" s="70">
        <v>19</v>
      </c>
      <c r="O167" s="40">
        <v>19</v>
      </c>
      <c r="P167" s="70">
        <f>22+150</f>
        <v>172</v>
      </c>
      <c r="Q167" s="40">
        <f>22+150</f>
        <v>172</v>
      </c>
      <c r="R167" s="70">
        <v>11</v>
      </c>
      <c r="S167" s="40">
        <v>11</v>
      </c>
      <c r="T167" s="70">
        <f>29+99</f>
        <v>128</v>
      </c>
      <c r="U167" s="40">
        <f>29+99</f>
        <v>128</v>
      </c>
    </row>
    <row r="168" spans="1:21" s="2" customFormat="1" ht="12.75">
      <c r="A168" s="57"/>
      <c r="B168" s="38" t="s">
        <v>113</v>
      </c>
      <c r="D168" s="40"/>
      <c r="E168" s="73"/>
      <c r="F168" s="70"/>
      <c r="G168" s="73"/>
      <c r="H168" s="23"/>
      <c r="I168" s="56"/>
      <c r="J168" s="70"/>
      <c r="K168" s="40"/>
      <c r="L168" s="70">
        <v>270</v>
      </c>
      <c r="M168" s="40">
        <v>270</v>
      </c>
      <c r="N168" s="70">
        <v>59</v>
      </c>
      <c r="O168" s="40">
        <v>59</v>
      </c>
      <c r="P168" s="70"/>
      <c r="Q168" s="40"/>
      <c r="R168" s="70"/>
      <c r="S168" s="40"/>
      <c r="T168" s="70"/>
      <c r="U168" s="40"/>
    </row>
    <row r="169" spans="1:21" s="2" customFormat="1" ht="12.75">
      <c r="A169" s="57"/>
      <c r="B169" s="38" t="s">
        <v>72</v>
      </c>
      <c r="D169" s="40">
        <v>6</v>
      </c>
      <c r="E169" s="73">
        <v>6</v>
      </c>
      <c r="F169" s="70">
        <v>3</v>
      </c>
      <c r="G169" s="73">
        <v>3</v>
      </c>
      <c r="H169" s="23">
        <v>2</v>
      </c>
      <c r="I169" s="56">
        <v>2</v>
      </c>
      <c r="J169" s="79">
        <v>1</v>
      </c>
      <c r="K169" s="40">
        <v>1</v>
      </c>
      <c r="L169" s="70">
        <f>516+2</f>
        <v>518</v>
      </c>
      <c r="M169" s="40">
        <v>2</v>
      </c>
      <c r="N169" s="70">
        <f>517+3</f>
        <v>520</v>
      </c>
      <c r="O169" s="40">
        <v>3</v>
      </c>
      <c r="P169" s="70">
        <f>516+6</f>
        <v>522</v>
      </c>
      <c r="Q169" s="40">
        <v>6</v>
      </c>
      <c r="R169" s="70">
        <f>515+12</f>
        <v>527</v>
      </c>
      <c r="S169" s="40">
        <v>12</v>
      </c>
      <c r="T169" s="70">
        <f>10+516</f>
        <v>526</v>
      </c>
      <c r="U169" s="40">
        <v>10</v>
      </c>
    </row>
    <row r="170" spans="1:21" s="2" customFormat="1" ht="12.75">
      <c r="A170" s="57"/>
      <c r="B170" s="10" t="s">
        <v>65</v>
      </c>
      <c r="D170" s="40"/>
      <c r="E170" s="73"/>
      <c r="F170" s="70"/>
      <c r="G170" s="73"/>
      <c r="H170" s="23"/>
      <c r="I170" s="56"/>
      <c r="J170" s="79"/>
      <c r="K170" s="40"/>
      <c r="L170" s="79">
        <v>55</v>
      </c>
      <c r="M170" s="40"/>
      <c r="N170" s="79">
        <v>90</v>
      </c>
      <c r="O170" s="40"/>
      <c r="P170" s="79">
        <v>181</v>
      </c>
      <c r="Q170" s="40"/>
      <c r="R170" s="79"/>
      <c r="S170" s="40"/>
      <c r="T170" s="79">
        <v>2</v>
      </c>
      <c r="U170" s="40"/>
    </row>
    <row r="171" spans="1:21" s="2" customFormat="1" ht="12.75">
      <c r="A171" s="57"/>
      <c r="B171" s="10" t="s">
        <v>95</v>
      </c>
      <c r="D171" s="40"/>
      <c r="E171" s="73"/>
      <c r="F171" s="70"/>
      <c r="G171" s="73"/>
      <c r="H171" s="23"/>
      <c r="I171" s="56"/>
      <c r="J171" s="79"/>
      <c r="K171" s="40"/>
      <c r="L171" s="79"/>
      <c r="M171" s="40"/>
      <c r="N171" s="79">
        <v>600</v>
      </c>
      <c r="O171" s="40"/>
      <c r="P171" s="79">
        <v>749</v>
      </c>
      <c r="Q171" s="40"/>
      <c r="R171" s="79">
        <v>1466</v>
      </c>
      <c r="S171" s="40"/>
      <c r="T171" s="79"/>
      <c r="U171" s="40"/>
    </row>
    <row r="172" spans="1:21" s="112" customFormat="1" ht="12.75">
      <c r="A172" s="62"/>
      <c r="B172" s="63" t="s">
        <v>73</v>
      </c>
      <c r="C172" s="65"/>
      <c r="D172" s="71"/>
      <c r="E172" s="72"/>
      <c r="F172" s="71"/>
      <c r="G172" s="72"/>
      <c r="H172" s="24"/>
      <c r="I172" s="61"/>
      <c r="J172" s="71">
        <v>1239</v>
      </c>
      <c r="K172" s="61">
        <v>1239</v>
      </c>
      <c r="L172" s="71"/>
      <c r="M172" s="61"/>
      <c r="N172" s="71"/>
      <c r="O172" s="61"/>
      <c r="P172" s="71"/>
      <c r="Q172" s="61"/>
      <c r="R172" s="71"/>
      <c r="S172" s="61"/>
      <c r="T172" s="71"/>
      <c r="U172" s="61"/>
    </row>
    <row r="173" spans="1:21" s="2" customFormat="1" ht="12.75">
      <c r="A173" s="91" t="s">
        <v>136</v>
      </c>
      <c r="B173" s="101"/>
      <c r="C173" s="32"/>
      <c r="D173" s="36">
        <f>SUM(D174:D181)</f>
        <v>1578</v>
      </c>
      <c r="E173" s="36">
        <f>SUM(E174:E181)</f>
        <v>1577</v>
      </c>
      <c r="F173" s="36">
        <f>SUM(F174:F181)</f>
        <v>3821</v>
      </c>
      <c r="G173" s="36">
        <f>SUM(G174:G181)</f>
        <v>3821</v>
      </c>
      <c r="H173" s="36">
        <f>SUM(H174:H181)</f>
        <v>2685</v>
      </c>
      <c r="I173" s="36">
        <f>SUM(I174:I181)</f>
        <v>2685</v>
      </c>
      <c r="J173" s="36">
        <f>SUM(J174:J181)</f>
        <v>3926</v>
      </c>
      <c r="K173" s="36">
        <f>SUM(K174:K181)</f>
        <v>3926</v>
      </c>
      <c r="L173" s="36">
        <f>SUM(L174:L181)</f>
        <v>2087</v>
      </c>
      <c r="M173" s="36">
        <f>SUM(M174:M181)</f>
        <v>2087</v>
      </c>
      <c r="N173" s="36">
        <f>SUM(N174:N181)</f>
        <v>2461</v>
      </c>
      <c r="O173" s="36">
        <f>SUM(O174:O181)</f>
        <v>2461</v>
      </c>
      <c r="P173" s="36">
        <f>SUM(P174:P181)</f>
        <v>130</v>
      </c>
      <c r="Q173" s="36">
        <f>SUM(Q174:Q181)</f>
        <v>86</v>
      </c>
      <c r="R173" s="36">
        <f>SUM(R174:R181)</f>
        <v>2896</v>
      </c>
      <c r="S173" s="36">
        <f>SUM(S174:S181)</f>
        <v>2540</v>
      </c>
      <c r="T173" s="36">
        <f>SUM(T174:T181)</f>
        <v>511</v>
      </c>
      <c r="U173" s="36">
        <f>SUM(U174:U181)</f>
        <v>463</v>
      </c>
    </row>
    <row r="174" spans="1:21" s="2" customFormat="1" ht="12.75">
      <c r="A174" s="57"/>
      <c r="B174" s="38" t="s">
        <v>64</v>
      </c>
      <c r="D174" s="23">
        <v>34</v>
      </c>
      <c r="E174" s="18">
        <v>34</v>
      </c>
      <c r="F174" s="35">
        <f>15+31</f>
        <v>46</v>
      </c>
      <c r="G174" s="50">
        <f>15+31</f>
        <v>46</v>
      </c>
      <c r="H174" s="23">
        <f>49+41</f>
        <v>90</v>
      </c>
      <c r="I174" s="18">
        <f>49+41</f>
        <v>90</v>
      </c>
      <c r="J174" s="33">
        <v>40</v>
      </c>
      <c r="K174" s="23">
        <v>40</v>
      </c>
      <c r="L174" s="33"/>
      <c r="M174" s="23"/>
      <c r="N174" s="33"/>
      <c r="O174" s="23"/>
      <c r="P174" s="33"/>
      <c r="Q174" s="23"/>
      <c r="R174" s="33"/>
      <c r="S174" s="23"/>
      <c r="T174" s="33"/>
      <c r="U174" s="23"/>
    </row>
    <row r="175" spans="1:21" s="2" customFormat="1" ht="12.75">
      <c r="A175" s="57"/>
      <c r="B175" s="38" t="s">
        <v>66</v>
      </c>
      <c r="D175" s="23"/>
      <c r="E175" s="18"/>
      <c r="F175" s="35">
        <f>1349+27</f>
        <v>1376</v>
      </c>
      <c r="G175" s="50">
        <f>1349+27</f>
        <v>1376</v>
      </c>
      <c r="H175" s="23">
        <v>225</v>
      </c>
      <c r="I175" s="18">
        <v>225</v>
      </c>
      <c r="J175" s="33">
        <v>2453</v>
      </c>
      <c r="K175" s="23">
        <v>2453</v>
      </c>
      <c r="L175" s="33">
        <v>2084</v>
      </c>
      <c r="M175" s="23">
        <v>2084</v>
      </c>
      <c r="N175" s="33">
        <v>2438</v>
      </c>
      <c r="O175" s="23">
        <v>2438</v>
      </c>
      <c r="P175" s="33"/>
      <c r="Q175" s="23"/>
      <c r="R175" s="33">
        <v>2283</v>
      </c>
      <c r="S175" s="23">
        <v>2283</v>
      </c>
      <c r="T175" s="33">
        <v>152</v>
      </c>
      <c r="U175" s="23">
        <v>152</v>
      </c>
    </row>
    <row r="176" spans="1:21" s="2" customFormat="1" ht="12.75">
      <c r="A176" s="57"/>
      <c r="B176" s="38" t="s">
        <v>69</v>
      </c>
      <c r="D176" s="69">
        <f>218+17</f>
        <v>235</v>
      </c>
      <c r="E176" s="69">
        <f>218+17</f>
        <v>235</v>
      </c>
      <c r="F176" s="70">
        <f>221+10</f>
        <v>231</v>
      </c>
      <c r="G176" s="70">
        <f>221+10</f>
        <v>231</v>
      </c>
      <c r="H176" s="40">
        <v>34</v>
      </c>
      <c r="I176" s="51">
        <v>34</v>
      </c>
      <c r="J176" s="69">
        <v>18</v>
      </c>
      <c r="K176" s="40">
        <v>18</v>
      </c>
      <c r="L176" s="69"/>
      <c r="M176" s="40"/>
      <c r="N176" s="69"/>
      <c r="O176" s="40"/>
      <c r="P176" s="69"/>
      <c r="Q176" s="40"/>
      <c r="R176" s="69"/>
      <c r="S176" s="40"/>
      <c r="T176" s="69"/>
      <c r="U176" s="40"/>
    </row>
    <row r="177" spans="1:21" s="2" customFormat="1" ht="12.75">
      <c r="A177" s="57"/>
      <c r="B177" s="37" t="s">
        <v>17</v>
      </c>
      <c r="D177" s="69">
        <f>572+620</f>
        <v>1192</v>
      </c>
      <c r="E177" s="69">
        <f>572+620</f>
        <v>1192</v>
      </c>
      <c r="F177" s="70">
        <f>864+1299</f>
        <v>2163</v>
      </c>
      <c r="G177" s="70">
        <f>864+1299</f>
        <v>2163</v>
      </c>
      <c r="H177" s="23">
        <f>593+1697</f>
        <v>2290</v>
      </c>
      <c r="I177" s="23">
        <f>593+1697</f>
        <v>2290</v>
      </c>
      <c r="J177" s="87">
        <v>1411</v>
      </c>
      <c r="K177" s="40">
        <v>1411</v>
      </c>
      <c r="L177" s="87"/>
      <c r="M177" s="40"/>
      <c r="N177" s="87"/>
      <c r="O177" s="40"/>
      <c r="P177" s="87"/>
      <c r="Q177" s="40"/>
      <c r="R177" s="87"/>
      <c r="S177" s="40"/>
      <c r="T177" s="69">
        <v>153</v>
      </c>
      <c r="U177" s="40">
        <v>153</v>
      </c>
    </row>
    <row r="178" spans="1:21" s="2" customFormat="1" ht="12.75">
      <c r="A178" s="9"/>
      <c r="B178" s="38" t="s">
        <v>21</v>
      </c>
      <c r="C178"/>
      <c r="D178" s="25"/>
      <c r="E178" s="48"/>
      <c r="F178" s="25"/>
      <c r="G178" s="48"/>
      <c r="H178" s="94"/>
      <c r="I178" s="90"/>
      <c r="J178" s="25"/>
      <c r="K178" s="20"/>
      <c r="L178" s="25"/>
      <c r="M178" s="20"/>
      <c r="N178" s="25"/>
      <c r="O178" s="20"/>
      <c r="P178" s="25">
        <v>44</v>
      </c>
      <c r="Q178" s="20"/>
      <c r="R178" s="25">
        <v>41</v>
      </c>
      <c r="S178" s="20"/>
      <c r="T178" s="25">
        <v>47</v>
      </c>
      <c r="U178" s="20"/>
    </row>
    <row r="179" spans="1:21" s="2" customFormat="1" ht="12.75">
      <c r="A179" s="57"/>
      <c r="B179" s="38" t="s">
        <v>65</v>
      </c>
      <c r="D179" s="69">
        <v>1</v>
      </c>
      <c r="E179" s="56"/>
      <c r="F179" s="70"/>
      <c r="G179" s="73"/>
      <c r="H179" s="40"/>
      <c r="I179" s="51"/>
      <c r="J179" s="69"/>
      <c r="K179" s="40"/>
      <c r="L179" s="69">
        <v>3</v>
      </c>
      <c r="M179" s="40">
        <v>3</v>
      </c>
      <c r="N179" s="69">
        <f>22+1</f>
        <v>23</v>
      </c>
      <c r="O179" s="40">
        <f>22+1</f>
        <v>23</v>
      </c>
      <c r="P179" s="69">
        <v>86</v>
      </c>
      <c r="Q179" s="40">
        <v>86</v>
      </c>
      <c r="R179" s="69">
        <f>314+107+1</f>
        <v>422</v>
      </c>
      <c r="S179" s="40">
        <v>107</v>
      </c>
      <c r="T179" s="69">
        <f>18+1</f>
        <v>19</v>
      </c>
      <c r="U179" s="40">
        <v>18</v>
      </c>
    </row>
    <row r="180" spans="1:21" s="112" customFormat="1" ht="12.75">
      <c r="A180" s="57"/>
      <c r="B180" s="38" t="s">
        <v>72</v>
      </c>
      <c r="C180" s="2"/>
      <c r="D180" s="69">
        <v>116</v>
      </c>
      <c r="E180" s="56">
        <v>116</v>
      </c>
      <c r="F180" s="70"/>
      <c r="G180" s="73"/>
      <c r="H180" s="23"/>
      <c r="I180" s="51"/>
      <c r="J180" s="69"/>
      <c r="K180" s="40"/>
      <c r="L180" s="69"/>
      <c r="M180" s="40"/>
      <c r="N180" s="69"/>
      <c r="O180" s="40"/>
      <c r="P180" s="69"/>
      <c r="Q180" s="40"/>
      <c r="R180" s="69">
        <v>140</v>
      </c>
      <c r="S180" s="40">
        <v>140</v>
      </c>
      <c r="T180" s="69">
        <v>140</v>
      </c>
      <c r="U180" s="40">
        <v>140</v>
      </c>
    </row>
    <row r="181" spans="1:21" s="2" customFormat="1" ht="12.75">
      <c r="A181" s="62"/>
      <c r="B181" s="63" t="s">
        <v>67</v>
      </c>
      <c r="C181" s="65"/>
      <c r="D181" s="71"/>
      <c r="E181" s="72"/>
      <c r="F181" s="71">
        <v>5</v>
      </c>
      <c r="G181" s="72">
        <v>5</v>
      </c>
      <c r="H181" s="24">
        <v>46</v>
      </c>
      <c r="I181" s="61">
        <v>46</v>
      </c>
      <c r="J181" s="71">
        <v>4</v>
      </c>
      <c r="K181" s="61">
        <v>4</v>
      </c>
      <c r="L181" s="71"/>
      <c r="M181" s="61"/>
      <c r="N181" s="71"/>
      <c r="O181" s="61"/>
      <c r="P181" s="71"/>
      <c r="Q181" s="61"/>
      <c r="R181" s="71">
        <v>10</v>
      </c>
      <c r="S181" s="61">
        <v>10</v>
      </c>
      <c r="T181" s="71"/>
      <c r="U181" s="61"/>
    </row>
    <row r="182" spans="1:21" s="2" customFormat="1" ht="12.75">
      <c r="A182" s="91" t="s">
        <v>137</v>
      </c>
      <c r="B182" s="101"/>
      <c r="C182" s="32"/>
      <c r="D182" s="36">
        <f>SUM(D183:D190)</f>
        <v>1898</v>
      </c>
      <c r="E182" s="36">
        <f aca="true" t="shared" si="18" ref="E182:Q182">SUM(E183:E190)</f>
        <v>13</v>
      </c>
      <c r="F182" s="36">
        <f t="shared" si="18"/>
        <v>2013</v>
      </c>
      <c r="G182" s="36">
        <f t="shared" si="18"/>
        <v>3</v>
      </c>
      <c r="H182" s="36">
        <f t="shared" si="18"/>
        <v>1898</v>
      </c>
      <c r="I182" s="36">
        <f t="shared" si="18"/>
        <v>5</v>
      </c>
      <c r="J182" s="36">
        <f t="shared" si="18"/>
        <v>1706</v>
      </c>
      <c r="K182" s="36">
        <f t="shared" si="18"/>
        <v>13</v>
      </c>
      <c r="L182" s="36">
        <f t="shared" si="18"/>
        <v>2358</v>
      </c>
      <c r="M182" s="36">
        <f t="shared" si="18"/>
        <v>497</v>
      </c>
      <c r="N182" s="36">
        <f t="shared" si="18"/>
        <v>1956</v>
      </c>
      <c r="O182" s="36">
        <f t="shared" si="18"/>
        <v>509</v>
      </c>
      <c r="P182" s="36">
        <f t="shared" si="18"/>
        <v>2125</v>
      </c>
      <c r="Q182" s="36">
        <f t="shared" si="18"/>
        <v>491</v>
      </c>
      <c r="R182" s="36">
        <f>SUM(R183:R190)</f>
        <v>2262</v>
      </c>
      <c r="S182" s="36">
        <f>SUM(S183:S190)</f>
        <v>519</v>
      </c>
      <c r="T182" s="36">
        <f>SUM(T183:T190)</f>
        <v>1704</v>
      </c>
      <c r="U182" s="36">
        <f>SUM(U183:U190)</f>
        <v>298</v>
      </c>
    </row>
    <row r="183" spans="1:21" s="2" customFormat="1" ht="12.75">
      <c r="A183" s="57"/>
      <c r="B183" s="38" t="s">
        <v>66</v>
      </c>
      <c r="D183" s="40">
        <v>3</v>
      </c>
      <c r="E183" s="51">
        <v>3</v>
      </c>
      <c r="F183" s="55">
        <v>3</v>
      </c>
      <c r="G183" s="55">
        <v>3</v>
      </c>
      <c r="H183" s="18">
        <v>5</v>
      </c>
      <c r="I183" s="56">
        <v>5</v>
      </c>
      <c r="J183" s="55">
        <v>5</v>
      </c>
      <c r="K183" s="81">
        <v>5</v>
      </c>
      <c r="L183" s="79">
        <v>5</v>
      </c>
      <c r="M183" s="81">
        <v>5</v>
      </c>
      <c r="N183" s="80">
        <v>5</v>
      </c>
      <c r="O183" s="81">
        <v>5</v>
      </c>
      <c r="P183" s="80">
        <v>5</v>
      </c>
      <c r="Q183" s="81">
        <v>5</v>
      </c>
      <c r="R183" s="79">
        <v>5</v>
      </c>
      <c r="S183" s="81">
        <v>5</v>
      </c>
      <c r="T183" s="80">
        <v>5</v>
      </c>
      <c r="U183" s="81">
        <v>5</v>
      </c>
    </row>
    <row r="184" spans="1:21" s="2" customFormat="1" ht="12.75">
      <c r="A184" s="57"/>
      <c r="B184" s="38" t="s">
        <v>111</v>
      </c>
      <c r="D184" s="70">
        <v>10</v>
      </c>
      <c r="E184" s="73">
        <v>10</v>
      </c>
      <c r="F184" s="70"/>
      <c r="G184" s="73"/>
      <c r="H184" s="23"/>
      <c r="I184" s="40"/>
      <c r="J184" s="69"/>
      <c r="K184" s="40"/>
      <c r="L184" s="87">
        <v>417</v>
      </c>
      <c r="M184" s="87">
        <v>417</v>
      </c>
      <c r="N184" s="87">
        <v>423</v>
      </c>
      <c r="O184" s="87">
        <v>423</v>
      </c>
      <c r="P184" s="87">
        <v>432</v>
      </c>
      <c r="Q184" s="87">
        <v>432</v>
      </c>
      <c r="R184" s="87">
        <v>448</v>
      </c>
      <c r="S184" s="87">
        <v>448</v>
      </c>
      <c r="T184" s="87">
        <v>224</v>
      </c>
      <c r="U184" s="87">
        <v>224</v>
      </c>
    </row>
    <row r="185" spans="1:21" s="2" customFormat="1" ht="12.75">
      <c r="A185" s="57"/>
      <c r="B185" s="38" t="s">
        <v>72</v>
      </c>
      <c r="D185" s="70"/>
      <c r="E185" s="73"/>
      <c r="F185" s="70"/>
      <c r="G185" s="73"/>
      <c r="H185" s="23"/>
      <c r="I185" s="40"/>
      <c r="J185" s="69"/>
      <c r="K185" s="40"/>
      <c r="L185" s="87"/>
      <c r="M185" s="87"/>
      <c r="N185" s="87"/>
      <c r="O185" s="87"/>
      <c r="P185" s="87">
        <v>11</v>
      </c>
      <c r="Q185" s="87">
        <v>11</v>
      </c>
      <c r="R185" s="87">
        <v>3</v>
      </c>
      <c r="S185" s="87">
        <v>3</v>
      </c>
      <c r="T185" s="87">
        <v>2</v>
      </c>
      <c r="U185" s="87">
        <v>2</v>
      </c>
    </row>
    <row r="186" spans="1:21" s="2" customFormat="1" ht="12.75">
      <c r="A186" s="57"/>
      <c r="B186" s="6" t="s">
        <v>67</v>
      </c>
      <c r="D186" s="70"/>
      <c r="E186" s="73"/>
      <c r="F186" s="70"/>
      <c r="G186" s="73"/>
      <c r="H186" s="23"/>
      <c r="I186" s="40"/>
      <c r="J186" s="69">
        <v>8</v>
      </c>
      <c r="K186" s="40">
        <v>8</v>
      </c>
      <c r="L186" s="87">
        <v>66</v>
      </c>
      <c r="M186" s="87">
        <v>66</v>
      </c>
      <c r="N186" s="87">
        <v>71</v>
      </c>
      <c r="O186" s="87">
        <v>71</v>
      </c>
      <c r="P186" s="87">
        <v>28</v>
      </c>
      <c r="Q186" s="87">
        <v>28</v>
      </c>
      <c r="R186" s="87">
        <f>23+35</f>
        <v>58</v>
      </c>
      <c r="S186" s="87">
        <f>23+35</f>
        <v>58</v>
      </c>
      <c r="T186" s="87"/>
      <c r="U186" s="87"/>
    </row>
    <row r="187" spans="1:21" s="2" customFormat="1" ht="12.75">
      <c r="A187" s="57"/>
      <c r="B187" s="38" t="s">
        <v>75</v>
      </c>
      <c r="D187" s="70">
        <v>868</v>
      </c>
      <c r="E187" s="73"/>
      <c r="F187" s="70">
        <v>853</v>
      </c>
      <c r="G187" s="73"/>
      <c r="H187" s="23">
        <v>803</v>
      </c>
      <c r="I187" s="40"/>
      <c r="J187" s="69">
        <v>880</v>
      </c>
      <c r="K187" s="40"/>
      <c r="L187" s="87">
        <v>1100</v>
      </c>
      <c r="M187" s="87"/>
      <c r="N187" s="87">
        <v>884</v>
      </c>
      <c r="O187" s="87"/>
      <c r="P187" s="87">
        <v>989</v>
      </c>
      <c r="Q187" s="87"/>
      <c r="R187" s="87">
        <v>962</v>
      </c>
      <c r="S187" s="87"/>
      <c r="T187" s="87">
        <v>723</v>
      </c>
      <c r="U187" s="87"/>
    </row>
    <row r="188" spans="1:21" s="2" customFormat="1" ht="12.75">
      <c r="A188" s="57"/>
      <c r="B188" s="37" t="s">
        <v>74</v>
      </c>
      <c r="D188" s="70">
        <v>236</v>
      </c>
      <c r="E188" s="73"/>
      <c r="F188" s="70">
        <v>1045</v>
      </c>
      <c r="G188" s="73"/>
      <c r="H188" s="23">
        <v>991</v>
      </c>
      <c r="I188" s="40"/>
      <c r="J188" s="87">
        <v>742</v>
      </c>
      <c r="K188" s="40"/>
      <c r="L188" s="87">
        <v>689</v>
      </c>
      <c r="M188" s="87"/>
      <c r="N188" s="87">
        <v>501</v>
      </c>
      <c r="O188" s="87"/>
      <c r="P188" s="87">
        <v>571</v>
      </c>
      <c r="Q188" s="87"/>
      <c r="R188" s="87">
        <v>721</v>
      </c>
      <c r="S188" s="87"/>
      <c r="T188" s="87">
        <v>562</v>
      </c>
      <c r="U188" s="87"/>
    </row>
    <row r="189" spans="1:21" s="2" customFormat="1" ht="12.75">
      <c r="A189" s="57"/>
      <c r="B189" s="37" t="s">
        <v>17</v>
      </c>
      <c r="D189" s="70"/>
      <c r="E189" s="73"/>
      <c r="F189" s="70"/>
      <c r="G189" s="73"/>
      <c r="H189" s="23"/>
      <c r="I189" s="40"/>
      <c r="J189" s="87"/>
      <c r="K189" s="40"/>
      <c r="L189" s="87">
        <v>9</v>
      </c>
      <c r="M189" s="87">
        <v>9</v>
      </c>
      <c r="N189" s="87">
        <v>10</v>
      </c>
      <c r="O189" s="87">
        <v>10</v>
      </c>
      <c r="P189" s="87">
        <v>15</v>
      </c>
      <c r="Q189" s="87">
        <v>15</v>
      </c>
      <c r="R189" s="87">
        <v>5</v>
      </c>
      <c r="S189" s="87">
        <v>5</v>
      </c>
      <c r="T189" s="87">
        <v>67</v>
      </c>
      <c r="U189" s="87">
        <v>67</v>
      </c>
    </row>
    <row r="190" spans="1:21" s="2" customFormat="1" ht="12.75">
      <c r="A190" s="62"/>
      <c r="B190" s="16" t="s">
        <v>65</v>
      </c>
      <c r="C190" s="65"/>
      <c r="D190" s="74">
        <v>781</v>
      </c>
      <c r="E190" s="75"/>
      <c r="F190" s="74">
        <v>112</v>
      </c>
      <c r="G190" s="75"/>
      <c r="H190" s="24">
        <v>99</v>
      </c>
      <c r="I190" s="41"/>
      <c r="J190" s="104">
        <v>71</v>
      </c>
      <c r="K190" s="41"/>
      <c r="L190" s="104">
        <v>72</v>
      </c>
      <c r="M190" s="104"/>
      <c r="N190" s="104">
        <v>62</v>
      </c>
      <c r="O190" s="104"/>
      <c r="P190" s="104">
        <v>74</v>
      </c>
      <c r="Q190" s="104"/>
      <c r="R190" s="104">
        <v>60</v>
      </c>
      <c r="S190" s="104"/>
      <c r="T190" s="104">
        <v>121</v>
      </c>
      <c r="U190" s="104"/>
    </row>
    <row r="191" spans="1:21" s="2" customFormat="1" ht="12.75">
      <c r="A191" s="91" t="s">
        <v>138</v>
      </c>
      <c r="B191" s="101"/>
      <c r="C191" s="32"/>
      <c r="D191" s="36">
        <f>SUM(D192:D199)</f>
        <v>2471</v>
      </c>
      <c r="E191" s="36">
        <f aca="true" t="shared" si="19" ref="E191:Q191">SUM(E192:E199)</f>
        <v>296</v>
      </c>
      <c r="F191" s="36">
        <f t="shared" si="19"/>
        <v>2142</v>
      </c>
      <c r="G191" s="36">
        <f t="shared" si="19"/>
        <v>444</v>
      </c>
      <c r="H191" s="36">
        <f t="shared" si="19"/>
        <v>2693</v>
      </c>
      <c r="I191" s="36">
        <f t="shared" si="19"/>
        <v>1963</v>
      </c>
      <c r="J191" s="36">
        <f t="shared" si="19"/>
        <v>872</v>
      </c>
      <c r="K191" s="36">
        <f t="shared" si="19"/>
        <v>145</v>
      </c>
      <c r="L191" s="36">
        <f t="shared" si="19"/>
        <v>756</v>
      </c>
      <c r="M191" s="36">
        <f t="shared" si="19"/>
        <v>12</v>
      </c>
      <c r="N191" s="36">
        <f t="shared" si="19"/>
        <v>772</v>
      </c>
      <c r="O191" s="36">
        <f t="shared" si="19"/>
        <v>1</v>
      </c>
      <c r="P191" s="36">
        <f t="shared" si="19"/>
        <v>1292</v>
      </c>
      <c r="Q191" s="36">
        <f t="shared" si="19"/>
        <v>601</v>
      </c>
      <c r="R191" s="36">
        <f>SUM(R192:R199)</f>
        <v>1059</v>
      </c>
      <c r="S191" s="36">
        <f>SUM(S192:S199)</f>
        <v>500</v>
      </c>
      <c r="T191" s="36">
        <f>SUM(T192:T199)</f>
        <v>3183</v>
      </c>
      <c r="U191" s="36">
        <f>SUM(U192:U199)</f>
        <v>1964</v>
      </c>
    </row>
    <row r="192" spans="1:21" s="2" customFormat="1" ht="12.75">
      <c r="A192" s="57"/>
      <c r="B192" s="37" t="s">
        <v>17</v>
      </c>
      <c r="D192" s="39"/>
      <c r="E192" s="55"/>
      <c r="F192" s="39"/>
      <c r="G192" s="55"/>
      <c r="H192" s="23">
        <v>31</v>
      </c>
      <c r="I192" s="51">
        <v>31</v>
      </c>
      <c r="J192" s="39">
        <v>31</v>
      </c>
      <c r="K192" s="51">
        <v>31</v>
      </c>
      <c r="L192" s="39"/>
      <c r="M192" s="51"/>
      <c r="N192" s="39"/>
      <c r="O192" s="51"/>
      <c r="P192" s="39"/>
      <c r="Q192" s="51"/>
      <c r="R192" s="39"/>
      <c r="S192" s="51"/>
      <c r="T192" s="39">
        <v>65</v>
      </c>
      <c r="U192" s="51">
        <v>65</v>
      </c>
    </row>
    <row r="193" spans="1:21" s="2" customFormat="1" ht="12.75">
      <c r="A193" s="57"/>
      <c r="B193" s="38" t="s">
        <v>64</v>
      </c>
      <c r="D193" s="39">
        <f>15+2</f>
        <v>17</v>
      </c>
      <c r="E193" s="55">
        <v>15</v>
      </c>
      <c r="F193" s="39">
        <f>50+11</f>
        <v>61</v>
      </c>
      <c r="G193" s="55">
        <v>50</v>
      </c>
      <c r="H193" s="40">
        <f>37+6</f>
        <v>43</v>
      </c>
      <c r="I193" s="51">
        <v>37</v>
      </c>
      <c r="J193" s="39">
        <f>8+10</f>
        <v>18</v>
      </c>
      <c r="K193" s="51">
        <v>8</v>
      </c>
      <c r="L193" s="39">
        <f>11+10</f>
        <v>21</v>
      </c>
      <c r="M193" s="51">
        <v>11</v>
      </c>
      <c r="N193" s="39">
        <v>12</v>
      </c>
      <c r="O193" s="51"/>
      <c r="P193" s="39">
        <v>10</v>
      </c>
      <c r="Q193" s="51"/>
      <c r="R193" s="39">
        <v>11</v>
      </c>
      <c r="S193" s="51"/>
      <c r="T193" s="39">
        <v>1446</v>
      </c>
      <c r="U193" s="51">
        <v>1446</v>
      </c>
    </row>
    <row r="194" spans="1:21" s="2" customFormat="1" ht="12.75">
      <c r="A194" s="57"/>
      <c r="B194" s="37" t="s">
        <v>67</v>
      </c>
      <c r="D194" s="39">
        <v>281</v>
      </c>
      <c r="E194" s="55">
        <v>281</v>
      </c>
      <c r="F194" s="39">
        <v>121</v>
      </c>
      <c r="G194" s="55">
        <v>121</v>
      </c>
      <c r="H194" s="40">
        <v>247</v>
      </c>
      <c r="I194" s="51">
        <v>247</v>
      </c>
      <c r="J194" s="39">
        <v>106</v>
      </c>
      <c r="K194" s="51">
        <v>106</v>
      </c>
      <c r="L194" s="39"/>
      <c r="M194" s="51"/>
      <c r="N194" s="39">
        <v>136</v>
      </c>
      <c r="O194" s="51"/>
      <c r="P194" s="39">
        <v>220</v>
      </c>
      <c r="Q194" s="51">
        <v>220</v>
      </c>
      <c r="R194" s="39">
        <v>500</v>
      </c>
      <c r="S194" s="51">
        <v>500</v>
      </c>
      <c r="T194" s="39">
        <v>250</v>
      </c>
      <c r="U194" s="51">
        <v>250</v>
      </c>
    </row>
    <row r="195" spans="1:21" s="2" customFormat="1" ht="12.75">
      <c r="A195" s="57"/>
      <c r="B195" s="38" t="s">
        <v>66</v>
      </c>
      <c r="D195" s="39"/>
      <c r="E195" s="55"/>
      <c r="F195" s="39">
        <v>232</v>
      </c>
      <c r="G195" s="55">
        <v>232</v>
      </c>
      <c r="H195" s="40">
        <v>1575</v>
      </c>
      <c r="I195" s="51">
        <v>1575</v>
      </c>
      <c r="J195" s="39"/>
      <c r="K195" s="51"/>
      <c r="L195" s="39"/>
      <c r="M195" s="51"/>
      <c r="N195" s="39"/>
      <c r="O195" s="51"/>
      <c r="P195" s="39"/>
      <c r="Q195" s="51"/>
      <c r="R195" s="39"/>
      <c r="S195" s="51"/>
      <c r="T195" s="39">
        <v>46</v>
      </c>
      <c r="U195" s="51">
        <v>46</v>
      </c>
    </row>
    <row r="196" spans="1:21" s="2" customFormat="1" ht="12.75">
      <c r="A196" s="57"/>
      <c r="B196" s="38" t="s">
        <v>111</v>
      </c>
      <c r="D196" s="39"/>
      <c r="E196" s="55"/>
      <c r="F196" s="39">
        <v>41</v>
      </c>
      <c r="G196" s="55">
        <v>41</v>
      </c>
      <c r="H196" s="40">
        <f>21+52</f>
        <v>73</v>
      </c>
      <c r="I196" s="40">
        <f>21+52</f>
        <v>73</v>
      </c>
      <c r="J196" s="39"/>
      <c r="K196" s="51"/>
      <c r="L196" s="39"/>
      <c r="M196" s="51"/>
      <c r="N196" s="39"/>
      <c r="O196" s="51"/>
      <c r="P196" s="39"/>
      <c r="Q196" s="51"/>
      <c r="R196" s="39"/>
      <c r="S196" s="51"/>
      <c r="T196" s="39">
        <f>131+19</f>
        <v>150</v>
      </c>
      <c r="U196" s="51">
        <f>131+19</f>
        <v>150</v>
      </c>
    </row>
    <row r="197" spans="1:21" s="2" customFormat="1" ht="12.75">
      <c r="A197" s="57"/>
      <c r="B197" s="10" t="s">
        <v>65</v>
      </c>
      <c r="D197" s="39"/>
      <c r="E197" s="55"/>
      <c r="F197" s="39"/>
      <c r="G197" s="55"/>
      <c r="H197" s="23"/>
      <c r="I197" s="18"/>
      <c r="J197" s="39"/>
      <c r="K197" s="51"/>
      <c r="L197" s="39">
        <v>1</v>
      </c>
      <c r="M197" s="51">
        <v>1</v>
      </c>
      <c r="N197" s="39">
        <v>1</v>
      </c>
      <c r="O197" s="51">
        <v>1</v>
      </c>
      <c r="P197" s="39">
        <v>103</v>
      </c>
      <c r="Q197" s="51">
        <v>103</v>
      </c>
      <c r="R197" s="39"/>
      <c r="S197" s="51"/>
      <c r="T197" s="39"/>
      <c r="U197" s="51"/>
    </row>
    <row r="198" spans="1:21" s="2" customFormat="1" ht="12.75">
      <c r="A198" s="57"/>
      <c r="B198" s="10" t="s">
        <v>109</v>
      </c>
      <c r="D198" s="39"/>
      <c r="E198" s="55"/>
      <c r="F198" s="39"/>
      <c r="G198" s="55"/>
      <c r="H198" s="23"/>
      <c r="I198" s="18"/>
      <c r="J198" s="39"/>
      <c r="K198" s="51"/>
      <c r="L198" s="39"/>
      <c r="M198" s="51"/>
      <c r="N198" s="39"/>
      <c r="O198" s="51"/>
      <c r="P198" s="39">
        <v>278</v>
      </c>
      <c r="Q198" s="51">
        <v>278</v>
      </c>
      <c r="R198" s="39"/>
      <c r="S198" s="51"/>
      <c r="T198" s="39">
        <v>7</v>
      </c>
      <c r="U198" s="51">
        <v>7</v>
      </c>
    </row>
    <row r="199" spans="1:21" s="2" customFormat="1" ht="12.75">
      <c r="A199" s="62"/>
      <c r="B199" s="16" t="s">
        <v>76</v>
      </c>
      <c r="C199" s="65"/>
      <c r="D199" s="74">
        <v>2173</v>
      </c>
      <c r="E199" s="75"/>
      <c r="F199" s="74">
        <v>1687</v>
      </c>
      <c r="G199" s="75"/>
      <c r="H199" s="24">
        <v>724</v>
      </c>
      <c r="I199" s="41"/>
      <c r="J199" s="104">
        <f>7+710</f>
        <v>717</v>
      </c>
      <c r="K199" s="41"/>
      <c r="L199" s="104">
        <v>734</v>
      </c>
      <c r="M199" s="104"/>
      <c r="N199" s="104">
        <v>623</v>
      </c>
      <c r="O199" s="104"/>
      <c r="P199" s="104">
        <v>681</v>
      </c>
      <c r="Q199" s="104"/>
      <c r="R199" s="104">
        <v>548</v>
      </c>
      <c r="S199" s="104"/>
      <c r="T199" s="104">
        <v>1219</v>
      </c>
      <c r="U199" s="104"/>
    </row>
    <row r="200" spans="1:21" s="2" customFormat="1" ht="12.75">
      <c r="A200" s="91" t="s">
        <v>85</v>
      </c>
      <c r="B200" s="101"/>
      <c r="C200" s="32"/>
      <c r="D200" s="36">
        <f>SUM(D201:D209)</f>
        <v>1405</v>
      </c>
      <c r="E200" s="36">
        <f aca="true" t="shared" si="20" ref="E200:Q200">SUM(E201:E209)</f>
        <v>0</v>
      </c>
      <c r="F200" s="36">
        <f t="shared" si="20"/>
        <v>3027</v>
      </c>
      <c r="G200" s="36">
        <f t="shared" si="20"/>
        <v>0</v>
      </c>
      <c r="H200" s="36">
        <f t="shared" si="20"/>
        <v>3809</v>
      </c>
      <c r="I200" s="36">
        <f t="shared" si="20"/>
        <v>580</v>
      </c>
      <c r="J200" s="36">
        <f t="shared" si="20"/>
        <v>3939</v>
      </c>
      <c r="K200" s="36">
        <f t="shared" si="20"/>
        <v>0</v>
      </c>
      <c r="L200" s="36">
        <f t="shared" si="20"/>
        <v>5042</v>
      </c>
      <c r="M200" s="36">
        <f t="shared" si="20"/>
        <v>137</v>
      </c>
      <c r="N200" s="36">
        <f t="shared" si="20"/>
        <v>5137</v>
      </c>
      <c r="O200" s="36">
        <f t="shared" si="20"/>
        <v>1274</v>
      </c>
      <c r="P200" s="36">
        <f t="shared" si="20"/>
        <v>4063</v>
      </c>
      <c r="Q200" s="36">
        <f t="shared" si="20"/>
        <v>952</v>
      </c>
      <c r="R200" s="36">
        <f>SUM(R201:R209)</f>
        <v>4265</v>
      </c>
      <c r="S200" s="36">
        <f>SUM(S201:S209)</f>
        <v>40</v>
      </c>
      <c r="T200" s="36">
        <f>SUM(T201:T209)</f>
        <v>3841</v>
      </c>
      <c r="U200" s="36">
        <f>SUM(U201:U209)</f>
        <v>139</v>
      </c>
    </row>
    <row r="201" spans="1:21" s="2" customFormat="1" ht="12.75">
      <c r="A201" s="57"/>
      <c r="B201" s="10" t="s">
        <v>65</v>
      </c>
      <c r="D201" s="39"/>
      <c r="E201" s="52"/>
      <c r="F201" s="39">
        <v>50</v>
      </c>
      <c r="G201" s="52"/>
      <c r="H201" s="23">
        <v>2</v>
      </c>
      <c r="I201" s="69"/>
      <c r="J201" s="40">
        <v>32</v>
      </c>
      <c r="K201" s="69"/>
      <c r="L201" s="40">
        <v>10</v>
      </c>
      <c r="M201" s="69"/>
      <c r="N201" s="40">
        <v>2</v>
      </c>
      <c r="O201" s="69"/>
      <c r="P201" s="40"/>
      <c r="Q201" s="69"/>
      <c r="R201" s="40"/>
      <c r="S201" s="69"/>
      <c r="T201" s="40"/>
      <c r="U201" s="69"/>
    </row>
    <row r="202" spans="1:21" s="2" customFormat="1" ht="12.75">
      <c r="A202" s="57"/>
      <c r="B202" s="38" t="s">
        <v>64</v>
      </c>
      <c r="D202" s="39"/>
      <c r="E202" s="52"/>
      <c r="F202" s="39"/>
      <c r="G202" s="52"/>
      <c r="H202" s="23"/>
      <c r="I202" s="69"/>
      <c r="J202" s="40">
        <v>1</v>
      </c>
      <c r="K202" s="69"/>
      <c r="L202" s="40">
        <v>1</v>
      </c>
      <c r="M202" s="69"/>
      <c r="N202" s="40">
        <v>1</v>
      </c>
      <c r="O202" s="69"/>
      <c r="P202" s="40">
        <v>1</v>
      </c>
      <c r="Q202" s="69"/>
      <c r="R202" s="40">
        <v>1</v>
      </c>
      <c r="S202" s="69"/>
      <c r="T202" s="40">
        <v>1</v>
      </c>
      <c r="U202" s="69"/>
    </row>
    <row r="203" spans="1:21" s="2" customFormat="1" ht="12.75">
      <c r="A203" s="57"/>
      <c r="B203" s="38" t="s">
        <v>109</v>
      </c>
      <c r="D203" s="39"/>
      <c r="E203" s="52"/>
      <c r="F203" s="39"/>
      <c r="G203" s="52"/>
      <c r="H203" s="23"/>
      <c r="I203" s="69"/>
      <c r="J203" s="40"/>
      <c r="K203" s="69"/>
      <c r="L203" s="40"/>
      <c r="M203" s="69"/>
      <c r="N203" s="40"/>
      <c r="O203" s="69"/>
      <c r="P203" s="40"/>
      <c r="Q203" s="69"/>
      <c r="R203" s="40">
        <v>7</v>
      </c>
      <c r="S203" s="69"/>
      <c r="T203" s="40">
        <v>31</v>
      </c>
      <c r="U203" s="69"/>
    </row>
    <row r="204" spans="1:21" s="2" customFormat="1" ht="12.75">
      <c r="A204" s="57"/>
      <c r="B204" s="38" t="s">
        <v>114</v>
      </c>
      <c r="D204" s="39"/>
      <c r="E204" s="52"/>
      <c r="F204" s="39"/>
      <c r="G204" s="39"/>
      <c r="H204" s="18">
        <v>580</v>
      </c>
      <c r="I204" s="40">
        <v>580</v>
      </c>
      <c r="J204" s="40">
        <f>3435-3434-1</f>
        <v>0</v>
      </c>
      <c r="K204" s="40">
        <f>3435-3434-1</f>
        <v>0</v>
      </c>
      <c r="L204" s="40">
        <v>137</v>
      </c>
      <c r="M204" s="40">
        <v>137</v>
      </c>
      <c r="N204" s="40">
        <f>401+10</f>
        <v>411</v>
      </c>
      <c r="O204" s="40">
        <f>88+313</f>
        <v>401</v>
      </c>
      <c r="P204" s="40">
        <v>172</v>
      </c>
      <c r="Q204" s="40">
        <v>172</v>
      </c>
      <c r="R204" s="40"/>
      <c r="S204" s="40"/>
      <c r="T204" s="40"/>
      <c r="U204" s="40"/>
    </row>
    <row r="205" spans="1:21" s="2" customFormat="1" ht="12.75">
      <c r="A205" s="57"/>
      <c r="B205" s="38" t="s">
        <v>115</v>
      </c>
      <c r="D205" s="39"/>
      <c r="E205" s="52"/>
      <c r="F205" s="39"/>
      <c r="G205" s="39"/>
      <c r="H205" s="11"/>
      <c r="I205" s="40"/>
      <c r="J205" s="40">
        <f>34206-34206</f>
        <v>0</v>
      </c>
      <c r="K205" s="40">
        <f>34206-34206</f>
        <v>0</v>
      </c>
      <c r="L205" s="40"/>
      <c r="M205" s="40"/>
      <c r="N205" s="40"/>
      <c r="O205" s="40"/>
      <c r="P205" s="40"/>
      <c r="Q205" s="40"/>
      <c r="R205" s="40"/>
      <c r="S205" s="40"/>
      <c r="T205" s="40"/>
      <c r="U205" s="40"/>
    </row>
    <row r="206" spans="1:21" s="2" customFormat="1" ht="12.75">
      <c r="A206" s="57"/>
      <c r="B206" s="38" t="s">
        <v>72</v>
      </c>
      <c r="D206" s="39"/>
      <c r="E206" s="52"/>
      <c r="F206" s="39"/>
      <c r="G206" s="39"/>
      <c r="H206" s="11">
        <v>10</v>
      </c>
      <c r="I206" s="40"/>
      <c r="J206" s="40">
        <v>11</v>
      </c>
      <c r="K206" s="40"/>
      <c r="L206" s="40">
        <v>11</v>
      </c>
      <c r="M206" s="40"/>
      <c r="N206" s="40">
        <v>11</v>
      </c>
      <c r="O206" s="40"/>
      <c r="P206" s="40">
        <v>11</v>
      </c>
      <c r="Q206" s="40"/>
      <c r="R206" s="40">
        <v>11</v>
      </c>
      <c r="S206" s="40"/>
      <c r="T206" s="40">
        <v>12</v>
      </c>
      <c r="U206" s="40"/>
    </row>
    <row r="207" spans="1:22" s="2" customFormat="1" ht="12.75">
      <c r="A207" s="57"/>
      <c r="B207" s="6" t="s">
        <v>67</v>
      </c>
      <c r="D207" s="39"/>
      <c r="E207" s="52"/>
      <c r="F207" s="39"/>
      <c r="G207" s="39"/>
      <c r="H207" s="11"/>
      <c r="I207" s="40"/>
      <c r="J207" s="40"/>
      <c r="K207" s="40"/>
      <c r="L207" s="40">
        <v>1033</v>
      </c>
      <c r="M207" s="40"/>
      <c r="N207" s="40">
        <f>873+160</f>
        <v>1033</v>
      </c>
      <c r="O207" s="40">
        <v>873</v>
      </c>
      <c r="P207" s="40">
        <v>780</v>
      </c>
      <c r="Q207" s="40">
        <v>780</v>
      </c>
      <c r="R207" s="40">
        <v>40</v>
      </c>
      <c r="S207" s="40">
        <v>40</v>
      </c>
      <c r="T207" s="40">
        <v>139</v>
      </c>
      <c r="U207" s="40">
        <v>139</v>
      </c>
      <c r="V207" s="115"/>
    </row>
    <row r="208" spans="1:21" s="2" customFormat="1" ht="12.75">
      <c r="A208" s="57"/>
      <c r="B208" s="6" t="s">
        <v>119</v>
      </c>
      <c r="D208" s="39"/>
      <c r="E208" s="52"/>
      <c r="F208" s="39"/>
      <c r="G208" s="39"/>
      <c r="H208" s="11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>
        <v>108</v>
      </c>
      <c r="U208" s="40"/>
    </row>
    <row r="209" spans="1:21" s="2" customFormat="1" ht="12.75">
      <c r="A209" s="62"/>
      <c r="B209" s="16" t="s">
        <v>77</v>
      </c>
      <c r="C209" s="65"/>
      <c r="D209" s="74">
        <v>1405</v>
      </c>
      <c r="E209" s="75"/>
      <c r="F209" s="74">
        <v>2977</v>
      </c>
      <c r="G209" s="75"/>
      <c r="H209" s="24">
        <v>3217</v>
      </c>
      <c r="I209" s="41"/>
      <c r="J209" s="104">
        <v>3895</v>
      </c>
      <c r="K209" s="41"/>
      <c r="L209" s="104">
        <v>3850</v>
      </c>
      <c r="M209" s="104"/>
      <c r="N209" s="104">
        <v>3679</v>
      </c>
      <c r="O209" s="104"/>
      <c r="P209" s="104">
        <v>3099</v>
      </c>
      <c r="Q209" s="104"/>
      <c r="R209" s="104">
        <v>4206</v>
      </c>
      <c r="S209" s="104"/>
      <c r="T209" s="104">
        <v>3550</v>
      </c>
      <c r="U209" s="104"/>
    </row>
    <row r="210" spans="1:21" s="2" customFormat="1" ht="12.75">
      <c r="A210" s="91" t="s">
        <v>139</v>
      </c>
      <c r="B210" s="101"/>
      <c r="C210" s="32"/>
      <c r="D210" s="36">
        <f>SUM(D211:D214)</f>
        <v>7646</v>
      </c>
      <c r="E210" s="36">
        <f aca="true" t="shared" si="21" ref="E210:S210">SUM(E211:E214)</f>
        <v>6</v>
      </c>
      <c r="F210" s="36">
        <f t="shared" si="21"/>
        <v>7136</v>
      </c>
      <c r="G210" s="36">
        <f t="shared" si="21"/>
        <v>6</v>
      </c>
      <c r="H210" s="36">
        <f t="shared" si="21"/>
        <v>6769</v>
      </c>
      <c r="I210" s="36">
        <f t="shared" si="21"/>
        <v>6</v>
      </c>
      <c r="J210" s="36">
        <f t="shared" si="21"/>
        <v>6664</v>
      </c>
      <c r="K210" s="36">
        <f t="shared" si="21"/>
        <v>6</v>
      </c>
      <c r="L210" s="36">
        <f t="shared" si="21"/>
        <v>11607</v>
      </c>
      <c r="M210" s="36">
        <f t="shared" si="21"/>
        <v>10950</v>
      </c>
      <c r="N210" s="36">
        <f t="shared" si="21"/>
        <v>10074</v>
      </c>
      <c r="O210" s="36">
        <f t="shared" si="21"/>
        <v>9380</v>
      </c>
      <c r="P210" s="36">
        <f t="shared" si="21"/>
        <v>13108</v>
      </c>
      <c r="Q210" s="36">
        <f t="shared" si="21"/>
        <v>12339</v>
      </c>
      <c r="R210" s="36">
        <f t="shared" si="21"/>
        <v>15856</v>
      </c>
      <c r="S210" s="36">
        <f t="shared" si="21"/>
        <v>14782</v>
      </c>
      <c r="T210" s="36">
        <f>SUM(T211:T214)</f>
        <v>5233</v>
      </c>
      <c r="U210" s="36">
        <f>SUM(U211:U214)</f>
        <v>4729</v>
      </c>
    </row>
    <row r="211" spans="1:21" s="2" customFormat="1" ht="12.75">
      <c r="A211" s="57"/>
      <c r="B211" s="38" t="s">
        <v>111</v>
      </c>
      <c r="D211" s="39"/>
      <c r="E211" s="52"/>
      <c r="F211" s="39"/>
      <c r="G211" s="39"/>
      <c r="H211" s="11"/>
      <c r="I211" s="40"/>
      <c r="J211" s="40"/>
      <c r="K211" s="40"/>
      <c r="L211" s="40">
        <v>4764</v>
      </c>
      <c r="M211" s="40">
        <v>4764</v>
      </c>
      <c r="N211" s="40">
        <v>3024</v>
      </c>
      <c r="O211" s="40">
        <v>3024</v>
      </c>
      <c r="P211" s="40">
        <v>5322</v>
      </c>
      <c r="Q211" s="40">
        <v>5322</v>
      </c>
      <c r="R211" s="40">
        <v>4892</v>
      </c>
      <c r="S211" s="40">
        <v>4892</v>
      </c>
      <c r="T211" s="40">
        <v>3073</v>
      </c>
      <c r="U211" s="40">
        <v>3073</v>
      </c>
    </row>
    <row r="212" spans="1:21" s="2" customFormat="1" ht="12.75">
      <c r="A212" s="57"/>
      <c r="B212" s="38" t="s">
        <v>90</v>
      </c>
      <c r="D212" s="39">
        <v>609</v>
      </c>
      <c r="E212" s="55"/>
      <c r="F212" s="39">
        <v>664</v>
      </c>
      <c r="G212" s="55"/>
      <c r="H212" s="23">
        <v>629</v>
      </c>
      <c r="I212" s="56"/>
      <c r="J212" s="39">
        <v>647</v>
      </c>
      <c r="K212" s="56"/>
      <c r="L212" s="39">
        <v>652</v>
      </c>
      <c r="M212" s="56"/>
      <c r="N212" s="39">
        <v>689</v>
      </c>
      <c r="O212" s="56"/>
      <c r="P212" s="39">
        <v>764</v>
      </c>
      <c r="Q212" s="56"/>
      <c r="R212" s="39">
        <v>1069</v>
      </c>
      <c r="S212" s="56"/>
      <c r="T212" s="39">
        <v>504</v>
      </c>
      <c r="U212" s="56"/>
    </row>
    <row r="213" spans="1:21" s="2" customFormat="1" ht="12.75">
      <c r="A213" s="57"/>
      <c r="B213" s="38" t="s">
        <v>57</v>
      </c>
      <c r="D213" s="39">
        <f>7031+6</f>
        <v>7037</v>
      </c>
      <c r="E213" s="55">
        <v>6</v>
      </c>
      <c r="F213" s="39">
        <f>6466+6</f>
        <v>6472</v>
      </c>
      <c r="G213" s="55">
        <v>6</v>
      </c>
      <c r="H213" s="23">
        <f>6134+6</f>
        <v>6140</v>
      </c>
      <c r="I213" s="56">
        <v>6</v>
      </c>
      <c r="J213" s="39">
        <f>6011+6</f>
        <v>6017</v>
      </c>
      <c r="K213" s="56">
        <v>6</v>
      </c>
      <c r="L213" s="39">
        <f>5+6</f>
        <v>11</v>
      </c>
      <c r="M213" s="56">
        <v>6</v>
      </c>
      <c r="N213" s="39">
        <f>5+6</f>
        <v>11</v>
      </c>
      <c r="O213" s="56">
        <v>6</v>
      </c>
      <c r="P213" s="39">
        <f>5+6</f>
        <v>11</v>
      </c>
      <c r="Q213" s="56">
        <v>6</v>
      </c>
      <c r="R213" s="39">
        <f>5+5</f>
        <v>10</v>
      </c>
      <c r="S213" s="56">
        <v>5</v>
      </c>
      <c r="T213" s="39">
        <v>5</v>
      </c>
      <c r="U213" s="56">
        <v>5</v>
      </c>
    </row>
    <row r="214" spans="1:21" s="2" customFormat="1" ht="12.75">
      <c r="A214" s="62"/>
      <c r="B214" s="16" t="s">
        <v>116</v>
      </c>
      <c r="C214" s="65"/>
      <c r="D214" s="74"/>
      <c r="E214" s="75"/>
      <c r="F214" s="74"/>
      <c r="G214" s="75"/>
      <c r="H214" s="24"/>
      <c r="I214" s="41"/>
      <c r="J214" s="104"/>
      <c r="K214" s="41"/>
      <c r="L214" s="104">
        <v>6180</v>
      </c>
      <c r="M214" s="104">
        <v>6180</v>
      </c>
      <c r="N214" s="104">
        <v>6350</v>
      </c>
      <c r="O214" s="104">
        <v>6350</v>
      </c>
      <c r="P214" s="104">
        <v>7011</v>
      </c>
      <c r="Q214" s="104">
        <v>7011</v>
      </c>
      <c r="R214" s="104">
        <v>9885</v>
      </c>
      <c r="S214" s="104">
        <v>9885</v>
      </c>
      <c r="T214" s="104">
        <v>1651</v>
      </c>
      <c r="U214" s="104">
        <v>1651</v>
      </c>
    </row>
    <row r="215" spans="1:21" s="2" customFormat="1" ht="12.75">
      <c r="A215" s="91" t="s">
        <v>101</v>
      </c>
      <c r="B215" s="101"/>
      <c r="C215" s="32"/>
      <c r="D215" s="36">
        <f>SUM(D216:D223)</f>
        <v>0</v>
      </c>
      <c r="E215" s="36">
        <f aca="true" t="shared" si="22" ref="E215:U215">SUM(E216:E223)</f>
        <v>0</v>
      </c>
      <c r="F215" s="36">
        <f t="shared" si="22"/>
        <v>0</v>
      </c>
      <c r="G215" s="36">
        <f t="shared" si="22"/>
        <v>0</v>
      </c>
      <c r="H215" s="36">
        <f t="shared" si="22"/>
        <v>0</v>
      </c>
      <c r="I215" s="36">
        <f t="shared" si="22"/>
        <v>0</v>
      </c>
      <c r="J215" s="36">
        <f t="shared" si="22"/>
        <v>0</v>
      </c>
      <c r="K215" s="36">
        <f t="shared" si="22"/>
        <v>0</v>
      </c>
      <c r="L215" s="36">
        <f t="shared" si="22"/>
        <v>151</v>
      </c>
      <c r="M215" s="36">
        <f t="shared" si="22"/>
        <v>151</v>
      </c>
      <c r="N215" s="36">
        <f t="shared" si="22"/>
        <v>478</v>
      </c>
      <c r="O215" s="36">
        <f t="shared" si="22"/>
        <v>478</v>
      </c>
      <c r="P215" s="36">
        <f t="shared" si="22"/>
        <v>346</v>
      </c>
      <c r="Q215" s="36">
        <f t="shared" si="22"/>
        <v>307</v>
      </c>
      <c r="R215" s="36">
        <f t="shared" si="22"/>
        <v>644</v>
      </c>
      <c r="S215" s="36">
        <f t="shared" si="22"/>
        <v>625</v>
      </c>
      <c r="T215" s="36">
        <f t="shared" si="22"/>
        <v>617</v>
      </c>
      <c r="U215" s="36">
        <f t="shared" si="22"/>
        <v>555</v>
      </c>
    </row>
    <row r="216" spans="1:21" s="2" customFormat="1" ht="12.75">
      <c r="A216" s="57"/>
      <c r="B216" s="38" t="s">
        <v>111</v>
      </c>
      <c r="D216" s="39"/>
      <c r="E216" s="52"/>
      <c r="F216" s="39"/>
      <c r="G216" s="39"/>
      <c r="H216" s="11"/>
      <c r="I216" s="40"/>
      <c r="J216" s="40"/>
      <c r="K216" s="40"/>
      <c r="L216" s="40"/>
      <c r="M216" s="40"/>
      <c r="N216" s="40">
        <v>259</v>
      </c>
      <c r="O216" s="40">
        <v>259</v>
      </c>
      <c r="P216" s="40"/>
      <c r="Q216" s="40"/>
      <c r="R216" s="40">
        <v>6</v>
      </c>
      <c r="S216" s="40">
        <v>6</v>
      </c>
      <c r="T216" s="40">
        <v>42</v>
      </c>
      <c r="U216" s="40"/>
    </row>
    <row r="217" spans="1:21" s="2" customFormat="1" ht="12.75">
      <c r="A217" s="57"/>
      <c r="B217" s="37" t="s">
        <v>17</v>
      </c>
      <c r="D217" s="39"/>
      <c r="E217" s="52"/>
      <c r="F217" s="39"/>
      <c r="G217" s="39"/>
      <c r="H217" s="11"/>
      <c r="I217" s="40"/>
      <c r="J217" s="40"/>
      <c r="K217" s="40"/>
      <c r="L217" s="40">
        <v>16</v>
      </c>
      <c r="M217" s="40">
        <v>16</v>
      </c>
      <c r="N217" s="40">
        <v>32</v>
      </c>
      <c r="O217" s="40">
        <v>32</v>
      </c>
      <c r="P217" s="40">
        <v>12</v>
      </c>
      <c r="Q217" s="40">
        <v>12</v>
      </c>
      <c r="R217" s="40">
        <v>19</v>
      </c>
      <c r="S217" s="40">
        <v>19</v>
      </c>
      <c r="T217" s="40">
        <v>20</v>
      </c>
      <c r="U217" s="40">
        <v>20</v>
      </c>
    </row>
    <row r="218" spans="1:21" s="2" customFormat="1" ht="12.75">
      <c r="A218" s="57"/>
      <c r="B218" s="38" t="s">
        <v>72</v>
      </c>
      <c r="D218" s="39"/>
      <c r="E218" s="52"/>
      <c r="F218" s="39"/>
      <c r="G218" s="39"/>
      <c r="H218" s="11"/>
      <c r="I218" s="40"/>
      <c r="J218" s="40"/>
      <c r="K218" s="40"/>
      <c r="L218" s="40"/>
      <c r="M218" s="40"/>
      <c r="N218" s="40">
        <v>14</v>
      </c>
      <c r="O218" s="40">
        <v>14</v>
      </c>
      <c r="P218" s="40"/>
      <c r="Q218" s="40"/>
      <c r="R218" s="40"/>
      <c r="S218" s="40"/>
      <c r="T218" s="40">
        <v>9</v>
      </c>
      <c r="U218" s="40">
        <v>9</v>
      </c>
    </row>
    <row r="219" spans="1:21" s="2" customFormat="1" ht="12.75">
      <c r="A219" s="57"/>
      <c r="B219" s="38" t="s">
        <v>18</v>
      </c>
      <c r="D219" s="39"/>
      <c r="E219" s="52"/>
      <c r="F219" s="39"/>
      <c r="G219" s="39"/>
      <c r="H219" s="11"/>
      <c r="I219" s="40"/>
      <c r="J219" s="40"/>
      <c r="K219" s="40"/>
      <c r="L219" s="40"/>
      <c r="M219" s="40"/>
      <c r="N219" s="40">
        <v>79</v>
      </c>
      <c r="O219" s="40">
        <v>79</v>
      </c>
      <c r="P219" s="40">
        <v>204</v>
      </c>
      <c r="Q219" s="40">
        <v>204</v>
      </c>
      <c r="R219" s="40">
        <v>300</v>
      </c>
      <c r="S219" s="40">
        <v>300</v>
      </c>
      <c r="T219" s="40">
        <v>145</v>
      </c>
      <c r="U219" s="40">
        <v>145</v>
      </c>
    </row>
    <row r="220" spans="1:21" s="2" customFormat="1" ht="12.75">
      <c r="A220" s="57"/>
      <c r="B220" s="38" t="s">
        <v>109</v>
      </c>
      <c r="D220" s="39"/>
      <c r="E220" s="52"/>
      <c r="F220" s="39"/>
      <c r="G220" s="39"/>
      <c r="H220" s="11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</row>
    <row r="221" spans="1:22" s="2" customFormat="1" ht="12.75">
      <c r="A221" s="57"/>
      <c r="B221" s="10" t="s">
        <v>65</v>
      </c>
      <c r="D221" s="39"/>
      <c r="E221" s="52"/>
      <c r="F221" s="39"/>
      <c r="G221" s="39"/>
      <c r="H221" s="11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>
        <v>10</v>
      </c>
      <c r="U221" s="40">
        <v>10</v>
      </c>
      <c r="V221" s="65"/>
    </row>
    <row r="222" spans="1:21" s="2" customFormat="1" ht="12.75">
      <c r="A222" s="57"/>
      <c r="B222" s="6" t="s">
        <v>67</v>
      </c>
      <c r="D222" s="39"/>
      <c r="E222" s="52"/>
      <c r="F222" s="39"/>
      <c r="G222" s="39"/>
      <c r="H222" s="11"/>
      <c r="I222" s="40"/>
      <c r="J222" s="40"/>
      <c r="K222" s="40"/>
      <c r="L222" s="40">
        <v>135</v>
      </c>
      <c r="M222" s="40">
        <v>135</v>
      </c>
      <c r="N222" s="40">
        <v>68</v>
      </c>
      <c r="O222" s="40">
        <v>68</v>
      </c>
      <c r="P222" s="40">
        <f>39+91</f>
        <v>130</v>
      </c>
      <c r="Q222" s="40">
        <v>91</v>
      </c>
      <c r="R222" s="40">
        <f>19+300</f>
        <v>319</v>
      </c>
      <c r="S222" s="40">
        <v>300</v>
      </c>
      <c r="T222" s="40">
        <f>15+271+100</f>
        <v>386</v>
      </c>
      <c r="U222" s="40">
        <f>271+100</f>
        <v>371</v>
      </c>
    </row>
    <row r="223" spans="1:21" s="2" customFormat="1" ht="12.75">
      <c r="A223" s="62"/>
      <c r="B223" s="63" t="s">
        <v>113</v>
      </c>
      <c r="C223" s="65"/>
      <c r="D223" s="71"/>
      <c r="E223" s="120"/>
      <c r="F223" s="71"/>
      <c r="G223" s="71"/>
      <c r="H223" s="121"/>
      <c r="I223" s="41"/>
      <c r="J223" s="41"/>
      <c r="K223" s="41"/>
      <c r="L223" s="41"/>
      <c r="M223" s="41"/>
      <c r="N223" s="41">
        <v>26</v>
      </c>
      <c r="O223" s="41">
        <v>26</v>
      </c>
      <c r="P223" s="41"/>
      <c r="Q223" s="41"/>
      <c r="R223" s="41"/>
      <c r="S223" s="41"/>
      <c r="T223" s="41">
        <v>5</v>
      </c>
      <c r="U223" s="41"/>
    </row>
    <row r="224" spans="1:21" s="2" customFormat="1" ht="12.75">
      <c r="A224" s="91" t="s">
        <v>102</v>
      </c>
      <c r="B224" s="101"/>
      <c r="C224" s="32"/>
      <c r="D224" s="36">
        <f>SUM(D225:D228)</f>
        <v>811</v>
      </c>
      <c r="E224" s="36">
        <f aca="true" t="shared" si="23" ref="E224:Q224">SUM(E225:E228)</f>
        <v>0</v>
      </c>
      <c r="F224" s="36">
        <f t="shared" si="23"/>
        <v>796</v>
      </c>
      <c r="G224" s="36">
        <f t="shared" si="23"/>
        <v>0</v>
      </c>
      <c r="H224" s="36">
        <f t="shared" si="23"/>
        <v>648</v>
      </c>
      <c r="I224" s="36">
        <f t="shared" si="23"/>
        <v>0</v>
      </c>
      <c r="J224" s="36">
        <f t="shared" si="23"/>
        <v>583</v>
      </c>
      <c r="K224" s="36">
        <f t="shared" si="23"/>
        <v>0</v>
      </c>
      <c r="L224" s="36">
        <f t="shared" si="23"/>
        <v>544</v>
      </c>
      <c r="M224" s="36">
        <f t="shared" si="23"/>
        <v>0</v>
      </c>
      <c r="N224" s="36">
        <f t="shared" si="23"/>
        <v>549</v>
      </c>
      <c r="O224" s="36">
        <f t="shared" si="23"/>
        <v>0</v>
      </c>
      <c r="P224" s="36">
        <f t="shared" si="23"/>
        <v>572</v>
      </c>
      <c r="Q224" s="36">
        <f t="shared" si="23"/>
        <v>0</v>
      </c>
      <c r="R224" s="36">
        <f>SUM(R225:R228)</f>
        <v>504</v>
      </c>
      <c r="S224" s="36">
        <f>SUM(S225:S228)</f>
        <v>0</v>
      </c>
      <c r="T224" s="36">
        <f>SUM(T225:T228)</f>
        <v>427</v>
      </c>
      <c r="U224" s="36">
        <f>SUM(U225:U228)</f>
        <v>0</v>
      </c>
    </row>
    <row r="225" spans="1:21" s="2" customFormat="1" ht="12.75">
      <c r="A225" s="9"/>
      <c r="B225" s="38" t="s">
        <v>35</v>
      </c>
      <c r="C225"/>
      <c r="D225" s="40">
        <v>77</v>
      </c>
      <c r="E225" s="51"/>
      <c r="F225" s="39">
        <v>207</v>
      </c>
      <c r="G225" s="55"/>
      <c r="H225" s="23">
        <v>176</v>
      </c>
      <c r="I225" s="56"/>
      <c r="J225" s="40">
        <v>148</v>
      </c>
      <c r="K225" s="56"/>
      <c r="L225" s="40">
        <v>120</v>
      </c>
      <c r="M225" s="56"/>
      <c r="N225" s="40">
        <v>91</v>
      </c>
      <c r="O225" s="56"/>
      <c r="P225" s="40">
        <v>83</v>
      </c>
      <c r="Q225" s="56"/>
      <c r="R225" s="40">
        <v>58</v>
      </c>
      <c r="S225" s="56"/>
      <c r="T225" s="40"/>
      <c r="U225" s="56"/>
    </row>
    <row r="226" spans="1:21" s="2" customFormat="1" ht="12.75">
      <c r="A226" s="9"/>
      <c r="B226" s="6" t="s">
        <v>78</v>
      </c>
      <c r="C226"/>
      <c r="D226" s="25">
        <f>15+629</f>
        <v>644</v>
      </c>
      <c r="E226" s="48"/>
      <c r="F226" s="25">
        <f>8+521</f>
        <v>529</v>
      </c>
      <c r="G226" s="48"/>
      <c r="H226" s="23">
        <f>12+443</f>
        <v>455</v>
      </c>
      <c r="I226" s="20"/>
      <c r="J226" s="25">
        <v>435</v>
      </c>
      <c r="K226" s="23"/>
      <c r="L226" s="25">
        <v>424</v>
      </c>
      <c r="M226" s="23"/>
      <c r="N226" s="25">
        <v>454</v>
      </c>
      <c r="O226" s="23"/>
      <c r="P226" s="25">
        <v>489</v>
      </c>
      <c r="Q226" s="23"/>
      <c r="R226" s="25">
        <v>446</v>
      </c>
      <c r="S226" s="23"/>
      <c r="T226" s="25">
        <v>427</v>
      </c>
      <c r="U226" s="23"/>
    </row>
    <row r="227" spans="1:21" s="2" customFormat="1" ht="12.75">
      <c r="A227" s="9"/>
      <c r="B227" s="10" t="s">
        <v>18</v>
      </c>
      <c r="C227"/>
      <c r="D227" s="23">
        <v>90</v>
      </c>
      <c r="E227" s="18"/>
      <c r="F227" s="25">
        <v>60</v>
      </c>
      <c r="G227" s="48"/>
      <c r="H227" s="23">
        <v>17</v>
      </c>
      <c r="I227" s="20"/>
      <c r="J227" s="25"/>
      <c r="K227" s="20"/>
      <c r="L227" s="25"/>
      <c r="M227" s="20"/>
      <c r="N227" s="25"/>
      <c r="O227" s="20"/>
      <c r="P227" s="25"/>
      <c r="Q227" s="20"/>
      <c r="R227" s="25"/>
      <c r="S227" s="20"/>
      <c r="T227" s="25"/>
      <c r="U227" s="20"/>
    </row>
    <row r="228" spans="1:21" s="2" customFormat="1" ht="12.75">
      <c r="A228" s="62"/>
      <c r="B228" s="63" t="s">
        <v>67</v>
      </c>
      <c r="C228" s="65"/>
      <c r="D228" s="71"/>
      <c r="E228" s="120"/>
      <c r="F228" s="71"/>
      <c r="G228" s="71"/>
      <c r="H228" s="121"/>
      <c r="I228" s="41"/>
      <c r="J228" s="41"/>
      <c r="K228" s="41"/>
      <c r="L228" s="41"/>
      <c r="M228" s="41"/>
      <c r="N228" s="41">
        <v>4</v>
      </c>
      <c r="O228" s="41"/>
      <c r="P228" s="41"/>
      <c r="Q228" s="41"/>
      <c r="R228" s="41"/>
      <c r="S228" s="41"/>
      <c r="T228" s="41"/>
      <c r="U228" s="41"/>
    </row>
    <row r="229" spans="1:21" s="2" customFormat="1" ht="12.75">
      <c r="A229" s="93" t="s">
        <v>13</v>
      </c>
      <c r="B229" s="111"/>
      <c r="C229" s="127">
        <f>+C232+C236+C239+C251+C246+C230+C244+C249</f>
        <v>0</v>
      </c>
      <c r="D229" s="128">
        <f>+D232+D236+D239+D251+D246+D230+D244+D249</f>
        <v>0</v>
      </c>
      <c r="E229" s="128">
        <f aca="true" t="shared" si="24" ref="E229:U229">+E232+E236+E239+E251+E246+E230+E244+E249</f>
        <v>0</v>
      </c>
      <c r="F229" s="128">
        <f t="shared" si="24"/>
        <v>0</v>
      </c>
      <c r="G229" s="128">
        <f t="shared" si="24"/>
        <v>0</v>
      </c>
      <c r="H229" s="128">
        <f t="shared" si="24"/>
        <v>451</v>
      </c>
      <c r="I229" s="128">
        <f t="shared" si="24"/>
        <v>451</v>
      </c>
      <c r="J229" s="128">
        <f t="shared" si="24"/>
        <v>4</v>
      </c>
      <c r="K229" s="128">
        <f t="shared" si="24"/>
        <v>4</v>
      </c>
      <c r="L229" s="128">
        <f t="shared" si="24"/>
        <v>31</v>
      </c>
      <c r="M229" s="128">
        <f t="shared" si="24"/>
        <v>31</v>
      </c>
      <c r="N229" s="128">
        <f t="shared" si="24"/>
        <v>18</v>
      </c>
      <c r="O229" s="128">
        <f t="shared" si="24"/>
        <v>17</v>
      </c>
      <c r="P229" s="128">
        <f t="shared" si="24"/>
        <v>22</v>
      </c>
      <c r="Q229" s="128">
        <f t="shared" si="24"/>
        <v>22</v>
      </c>
      <c r="R229" s="128">
        <f t="shared" si="24"/>
        <v>98</v>
      </c>
      <c r="S229" s="128">
        <f t="shared" si="24"/>
        <v>98</v>
      </c>
      <c r="T229" s="128">
        <f t="shared" si="24"/>
        <v>295</v>
      </c>
      <c r="U229" s="128">
        <f t="shared" si="24"/>
        <v>295</v>
      </c>
    </row>
    <row r="230" spans="1:21" s="2" customFormat="1" ht="12.75">
      <c r="A230" s="91" t="s">
        <v>120</v>
      </c>
      <c r="B230" s="101"/>
      <c r="C230" s="32"/>
      <c r="D230" s="36">
        <f aca="true" t="shared" si="25" ref="D230:S230">+D231</f>
        <v>0</v>
      </c>
      <c r="E230" s="36">
        <f t="shared" si="25"/>
        <v>0</v>
      </c>
      <c r="F230" s="36">
        <f t="shared" si="25"/>
        <v>0</v>
      </c>
      <c r="G230" s="36">
        <f t="shared" si="25"/>
        <v>0</v>
      </c>
      <c r="H230" s="36">
        <f t="shared" si="25"/>
        <v>0</v>
      </c>
      <c r="I230" s="36">
        <f t="shared" si="25"/>
        <v>0</v>
      </c>
      <c r="J230" s="36">
        <f t="shared" si="25"/>
        <v>0</v>
      </c>
      <c r="K230" s="36">
        <f t="shared" si="25"/>
        <v>0</v>
      </c>
      <c r="L230" s="36">
        <f t="shared" si="25"/>
        <v>0</v>
      </c>
      <c r="M230" s="36">
        <f t="shared" si="25"/>
        <v>0</v>
      </c>
      <c r="N230" s="36">
        <f t="shared" si="25"/>
        <v>0</v>
      </c>
      <c r="O230" s="36">
        <f t="shared" si="25"/>
        <v>0</v>
      </c>
      <c r="P230" s="36">
        <f t="shared" si="25"/>
        <v>0</v>
      </c>
      <c r="Q230" s="36">
        <f t="shared" si="25"/>
        <v>0</v>
      </c>
      <c r="R230" s="36">
        <f t="shared" si="25"/>
        <v>0</v>
      </c>
      <c r="S230" s="36">
        <f t="shared" si="25"/>
        <v>0</v>
      </c>
      <c r="T230" s="36">
        <f>+T231</f>
        <v>30</v>
      </c>
      <c r="U230" s="36">
        <f>+U231</f>
        <v>30</v>
      </c>
    </row>
    <row r="231" spans="1:21" s="2" customFormat="1" ht="12.75">
      <c r="A231" s="62"/>
      <c r="B231" s="63" t="s">
        <v>67</v>
      </c>
      <c r="C231" s="65"/>
      <c r="D231" s="71"/>
      <c r="E231" s="120"/>
      <c r="F231" s="71"/>
      <c r="G231" s="71"/>
      <c r="H231" s="12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>
        <v>30</v>
      </c>
      <c r="U231" s="41">
        <v>30</v>
      </c>
    </row>
    <row r="232" spans="1:21" s="2" customFormat="1" ht="12.75">
      <c r="A232" s="91" t="s">
        <v>2</v>
      </c>
      <c r="B232" s="101"/>
      <c r="C232" s="32"/>
      <c r="D232" s="36">
        <f>SUM(D233:D235)</f>
        <v>0</v>
      </c>
      <c r="E232" s="36">
        <f aca="true" t="shared" si="26" ref="E232:Q232">SUM(E233:E235)</f>
        <v>0</v>
      </c>
      <c r="F232" s="36">
        <f t="shared" si="26"/>
        <v>0</v>
      </c>
      <c r="G232" s="36">
        <f t="shared" si="26"/>
        <v>0</v>
      </c>
      <c r="H232" s="36">
        <f t="shared" si="26"/>
        <v>0</v>
      </c>
      <c r="I232" s="36">
        <f t="shared" si="26"/>
        <v>0</v>
      </c>
      <c r="J232" s="36">
        <f t="shared" si="26"/>
        <v>4</v>
      </c>
      <c r="K232" s="36">
        <f t="shared" si="26"/>
        <v>4</v>
      </c>
      <c r="L232" s="36">
        <f t="shared" si="26"/>
        <v>0</v>
      </c>
      <c r="M232" s="36">
        <f t="shared" si="26"/>
        <v>0</v>
      </c>
      <c r="N232" s="36">
        <f t="shared" si="26"/>
        <v>4</v>
      </c>
      <c r="O232" s="36">
        <f t="shared" si="26"/>
        <v>4</v>
      </c>
      <c r="P232" s="36">
        <f t="shared" si="26"/>
        <v>2</v>
      </c>
      <c r="Q232" s="36">
        <f t="shared" si="26"/>
        <v>2</v>
      </c>
      <c r="R232" s="36">
        <f>SUM(R233:R235)</f>
        <v>4</v>
      </c>
      <c r="S232" s="36">
        <f>SUM(S233:S235)</f>
        <v>4</v>
      </c>
      <c r="T232" s="36">
        <f>SUM(T233:T235)</f>
        <v>100</v>
      </c>
      <c r="U232" s="36">
        <f>SUM(U233:U235)</f>
        <v>100</v>
      </c>
    </row>
    <row r="233" spans="1:21" ht="12.75">
      <c r="A233" s="14"/>
      <c r="B233" s="38" t="s">
        <v>111</v>
      </c>
      <c r="D233" s="27"/>
      <c r="E233" s="59"/>
      <c r="F233" s="27"/>
      <c r="G233" s="59"/>
      <c r="H233" s="27"/>
      <c r="I233" s="18"/>
      <c r="J233" s="27">
        <v>3</v>
      </c>
      <c r="K233" s="18">
        <v>3</v>
      </c>
      <c r="L233" s="27"/>
      <c r="M233" s="18"/>
      <c r="N233" s="27"/>
      <c r="O233" s="18"/>
      <c r="P233" s="27">
        <v>2</v>
      </c>
      <c r="Q233" s="18">
        <v>2</v>
      </c>
      <c r="R233" s="27">
        <v>2</v>
      </c>
      <c r="S233" s="18">
        <v>2</v>
      </c>
      <c r="T233" s="27"/>
      <c r="U233" s="18"/>
    </row>
    <row r="234" spans="1:21" ht="12.75">
      <c r="A234" s="14"/>
      <c r="B234" s="6" t="s">
        <v>67</v>
      </c>
      <c r="D234" s="27"/>
      <c r="E234" s="113"/>
      <c r="F234" s="27"/>
      <c r="G234" s="113"/>
      <c r="H234" s="27"/>
      <c r="I234" s="18"/>
      <c r="J234" s="27"/>
      <c r="K234" s="18"/>
      <c r="L234" s="27"/>
      <c r="M234" s="18"/>
      <c r="N234" s="27">
        <v>1</v>
      </c>
      <c r="O234" s="18">
        <v>1</v>
      </c>
      <c r="P234" s="27"/>
      <c r="Q234" s="18"/>
      <c r="R234" s="27">
        <v>1</v>
      </c>
      <c r="S234" s="18">
        <v>1</v>
      </c>
      <c r="T234" s="27">
        <v>100</v>
      </c>
      <c r="U234" s="18">
        <v>100</v>
      </c>
    </row>
    <row r="235" spans="1:21" s="2" customFormat="1" ht="12.75">
      <c r="A235" s="62"/>
      <c r="B235" s="63" t="s">
        <v>117</v>
      </c>
      <c r="C235" s="65"/>
      <c r="D235" s="71"/>
      <c r="E235" s="120"/>
      <c r="F235" s="71"/>
      <c r="G235" s="71"/>
      <c r="H235" s="121"/>
      <c r="I235" s="41"/>
      <c r="J235" s="41">
        <v>1</v>
      </c>
      <c r="K235" s="41">
        <v>1</v>
      </c>
      <c r="L235" s="41"/>
      <c r="M235" s="41"/>
      <c r="N235" s="41">
        <v>3</v>
      </c>
      <c r="O235" s="41">
        <v>3</v>
      </c>
      <c r="P235" s="41"/>
      <c r="Q235" s="41"/>
      <c r="R235" s="41">
        <v>1</v>
      </c>
      <c r="S235" s="41">
        <v>1</v>
      </c>
      <c r="T235" s="41"/>
      <c r="U235" s="41"/>
    </row>
    <row r="236" spans="1:21" s="2" customFormat="1" ht="12.75">
      <c r="A236" s="91" t="s">
        <v>3</v>
      </c>
      <c r="B236" s="101"/>
      <c r="C236" s="32"/>
      <c r="D236" s="36">
        <f>SUM(D237:D238)</f>
        <v>0</v>
      </c>
      <c r="E236" s="36">
        <f aca="true" t="shared" si="27" ref="E236:Q236">SUM(E237:E238)</f>
        <v>0</v>
      </c>
      <c r="F236" s="36">
        <f t="shared" si="27"/>
        <v>0</v>
      </c>
      <c r="G236" s="36">
        <f t="shared" si="27"/>
        <v>0</v>
      </c>
      <c r="H236" s="36">
        <f t="shared" si="27"/>
        <v>15</v>
      </c>
      <c r="I236" s="36">
        <f t="shared" si="27"/>
        <v>15</v>
      </c>
      <c r="J236" s="36">
        <f t="shared" si="27"/>
        <v>0</v>
      </c>
      <c r="K236" s="36">
        <f t="shared" si="27"/>
        <v>0</v>
      </c>
      <c r="L236" s="36">
        <f t="shared" si="27"/>
        <v>26</v>
      </c>
      <c r="M236" s="36">
        <f t="shared" si="27"/>
        <v>26</v>
      </c>
      <c r="N236" s="36">
        <f t="shared" si="27"/>
        <v>10</v>
      </c>
      <c r="O236" s="36">
        <f t="shared" si="27"/>
        <v>10</v>
      </c>
      <c r="P236" s="36">
        <f t="shared" si="27"/>
        <v>0</v>
      </c>
      <c r="Q236" s="36">
        <f t="shared" si="27"/>
        <v>0</v>
      </c>
      <c r="R236" s="36">
        <f>SUM(R237:R238)</f>
        <v>90</v>
      </c>
      <c r="S236" s="36">
        <f>SUM(S237:S238)</f>
        <v>90</v>
      </c>
      <c r="T236" s="36">
        <f>SUM(T237:T238)</f>
        <v>80</v>
      </c>
      <c r="U236" s="36">
        <f>SUM(U237:U238)</f>
        <v>80</v>
      </c>
    </row>
    <row r="237" spans="1:21" s="19" customFormat="1" ht="12.75">
      <c r="A237" s="107"/>
      <c r="B237" s="6" t="s">
        <v>67</v>
      </c>
      <c r="D237" s="108"/>
      <c r="E237" s="108"/>
      <c r="F237" s="108"/>
      <c r="G237" s="108"/>
      <c r="H237" s="108"/>
      <c r="I237" s="108"/>
      <c r="J237" s="108"/>
      <c r="K237" s="108"/>
      <c r="L237" s="25">
        <v>26</v>
      </c>
      <c r="M237" s="25">
        <v>26</v>
      </c>
      <c r="N237" s="25">
        <v>10</v>
      </c>
      <c r="O237" s="25">
        <v>10</v>
      </c>
      <c r="P237" s="25"/>
      <c r="Q237" s="25"/>
      <c r="R237" s="25">
        <v>90</v>
      </c>
      <c r="S237" s="25">
        <v>90</v>
      </c>
      <c r="T237" s="25">
        <v>80</v>
      </c>
      <c r="U237" s="25">
        <v>80</v>
      </c>
    </row>
    <row r="238" spans="1:21" s="2" customFormat="1" ht="12.75">
      <c r="A238" s="62"/>
      <c r="B238" s="63" t="s">
        <v>111</v>
      </c>
      <c r="C238" s="65"/>
      <c r="D238" s="71"/>
      <c r="E238" s="120"/>
      <c r="F238" s="71"/>
      <c r="G238" s="71"/>
      <c r="H238" s="121">
        <v>15</v>
      </c>
      <c r="I238" s="41">
        <v>15</v>
      </c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</row>
    <row r="239" spans="1:21" s="2" customFormat="1" ht="12.75">
      <c r="A239" s="91" t="s">
        <v>4</v>
      </c>
      <c r="B239" s="101"/>
      <c r="C239" s="32"/>
      <c r="D239" s="36">
        <f>SUM(D240:D243)</f>
        <v>0</v>
      </c>
      <c r="E239" s="36">
        <f aca="true" t="shared" si="28" ref="E239:U239">SUM(E240:E243)</f>
        <v>0</v>
      </c>
      <c r="F239" s="36">
        <f t="shared" si="28"/>
        <v>0</v>
      </c>
      <c r="G239" s="36">
        <f t="shared" si="28"/>
        <v>0</v>
      </c>
      <c r="H239" s="36">
        <f t="shared" si="28"/>
        <v>436</v>
      </c>
      <c r="I239" s="36">
        <f t="shared" si="28"/>
        <v>436</v>
      </c>
      <c r="J239" s="36">
        <f t="shared" si="28"/>
        <v>0</v>
      </c>
      <c r="K239" s="36">
        <f t="shared" si="28"/>
        <v>0</v>
      </c>
      <c r="L239" s="36">
        <f t="shared" si="28"/>
        <v>0</v>
      </c>
      <c r="M239" s="36">
        <f t="shared" si="28"/>
        <v>0</v>
      </c>
      <c r="N239" s="36">
        <f t="shared" si="28"/>
        <v>3</v>
      </c>
      <c r="O239" s="36">
        <f t="shared" si="28"/>
        <v>3</v>
      </c>
      <c r="P239" s="36">
        <f t="shared" si="28"/>
        <v>5</v>
      </c>
      <c r="Q239" s="36">
        <f t="shared" si="28"/>
        <v>5</v>
      </c>
      <c r="R239" s="36">
        <f t="shared" si="28"/>
        <v>2</v>
      </c>
      <c r="S239" s="36">
        <f t="shared" si="28"/>
        <v>2</v>
      </c>
      <c r="T239" s="36">
        <f t="shared" si="28"/>
        <v>4</v>
      </c>
      <c r="U239" s="36">
        <f t="shared" si="28"/>
        <v>4</v>
      </c>
    </row>
    <row r="240" spans="1:21" s="19" customFormat="1" ht="12.75">
      <c r="A240" s="107"/>
      <c r="B240" s="37" t="s">
        <v>67</v>
      </c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25"/>
      <c r="O240" s="25"/>
      <c r="P240" s="25"/>
      <c r="Q240" s="25"/>
      <c r="R240" s="25"/>
      <c r="S240" s="25"/>
      <c r="T240" s="25">
        <v>2</v>
      </c>
      <c r="U240" s="25">
        <v>2</v>
      </c>
    </row>
    <row r="241" spans="1:21" s="19" customFormat="1" ht="12.75">
      <c r="A241" s="107"/>
      <c r="B241" s="38" t="s">
        <v>111</v>
      </c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25"/>
      <c r="O241" s="25"/>
      <c r="P241" s="25"/>
      <c r="Q241" s="25"/>
      <c r="R241" s="25"/>
      <c r="S241" s="25"/>
      <c r="T241" s="25"/>
      <c r="U241" s="25"/>
    </row>
    <row r="242" spans="1:21" s="19" customFormat="1" ht="12.75">
      <c r="A242" s="107"/>
      <c r="B242" s="37" t="s">
        <v>117</v>
      </c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25">
        <v>3</v>
      </c>
      <c r="O242" s="25">
        <v>3</v>
      </c>
      <c r="P242" s="25">
        <v>5</v>
      </c>
      <c r="Q242" s="25">
        <v>5</v>
      </c>
      <c r="R242" s="25">
        <v>2</v>
      </c>
      <c r="S242" s="25">
        <v>2</v>
      </c>
      <c r="T242" s="25">
        <v>2</v>
      </c>
      <c r="U242" s="25">
        <v>2</v>
      </c>
    </row>
    <row r="243" spans="1:21" s="2" customFormat="1" ht="12.75">
      <c r="A243" s="62"/>
      <c r="B243" s="63" t="s">
        <v>17</v>
      </c>
      <c r="C243" s="65"/>
      <c r="D243" s="71"/>
      <c r="E243" s="120"/>
      <c r="F243" s="71"/>
      <c r="G243" s="71"/>
      <c r="H243" s="121">
        <v>436</v>
      </c>
      <c r="I243" s="41">
        <v>436</v>
      </c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</row>
    <row r="244" spans="1:21" s="2" customFormat="1" ht="12.75">
      <c r="A244" s="91" t="s">
        <v>121</v>
      </c>
      <c r="B244" s="101"/>
      <c r="C244" s="32"/>
      <c r="D244" s="36">
        <f aca="true" t="shared" si="29" ref="D244:S244">+D245</f>
        <v>0</v>
      </c>
      <c r="E244" s="36">
        <f t="shared" si="29"/>
        <v>0</v>
      </c>
      <c r="F244" s="36">
        <f t="shared" si="29"/>
        <v>0</v>
      </c>
      <c r="G244" s="36">
        <f t="shared" si="29"/>
        <v>0</v>
      </c>
      <c r="H244" s="36">
        <f t="shared" si="29"/>
        <v>0</v>
      </c>
      <c r="I244" s="36">
        <f t="shared" si="29"/>
        <v>0</v>
      </c>
      <c r="J244" s="36">
        <f t="shared" si="29"/>
        <v>0</v>
      </c>
      <c r="K244" s="36">
        <f t="shared" si="29"/>
        <v>0</v>
      </c>
      <c r="L244" s="36">
        <f t="shared" si="29"/>
        <v>0</v>
      </c>
      <c r="M244" s="36">
        <f t="shared" si="29"/>
        <v>0</v>
      </c>
      <c r="N244" s="36">
        <f t="shared" si="29"/>
        <v>0</v>
      </c>
      <c r="O244" s="36">
        <f t="shared" si="29"/>
        <v>0</v>
      </c>
      <c r="P244" s="36">
        <f t="shared" si="29"/>
        <v>0</v>
      </c>
      <c r="Q244" s="36">
        <f t="shared" si="29"/>
        <v>0</v>
      </c>
      <c r="R244" s="36">
        <f t="shared" si="29"/>
        <v>0</v>
      </c>
      <c r="S244" s="36">
        <f t="shared" si="29"/>
        <v>0</v>
      </c>
      <c r="T244" s="36">
        <f>+T245</f>
        <v>12</v>
      </c>
      <c r="U244" s="36">
        <f>+U245</f>
        <v>12</v>
      </c>
    </row>
    <row r="245" spans="1:21" s="2" customFormat="1" ht="12.75">
      <c r="A245" s="62"/>
      <c r="B245" s="63" t="s">
        <v>67</v>
      </c>
      <c r="C245" s="65"/>
      <c r="D245" s="71"/>
      <c r="E245" s="120"/>
      <c r="F245" s="71"/>
      <c r="G245" s="71"/>
      <c r="H245" s="12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>
        <v>12</v>
      </c>
      <c r="U245" s="41">
        <v>12</v>
      </c>
    </row>
    <row r="246" spans="1:21" s="2" customFormat="1" ht="12.75">
      <c r="A246" s="91" t="s">
        <v>110</v>
      </c>
      <c r="B246" s="101"/>
      <c r="C246" s="32"/>
      <c r="D246" s="36">
        <f aca="true" t="shared" si="30" ref="D246:K246">+D248</f>
        <v>0</v>
      </c>
      <c r="E246" s="36">
        <f t="shared" si="30"/>
        <v>0</v>
      </c>
      <c r="F246" s="36">
        <f t="shared" si="30"/>
        <v>0</v>
      </c>
      <c r="G246" s="36">
        <f t="shared" si="30"/>
        <v>0</v>
      </c>
      <c r="H246" s="36">
        <f t="shared" si="30"/>
        <v>0</v>
      </c>
      <c r="I246" s="36">
        <f t="shared" si="30"/>
        <v>0</v>
      </c>
      <c r="J246" s="36">
        <f t="shared" si="30"/>
        <v>0</v>
      </c>
      <c r="K246" s="36">
        <f t="shared" si="30"/>
        <v>0</v>
      </c>
      <c r="L246" s="36">
        <f>SUM(L247:L248)</f>
        <v>0</v>
      </c>
      <c r="M246" s="36">
        <f aca="true" t="shared" si="31" ref="M246:U246">SUM(M247:M248)</f>
        <v>0</v>
      </c>
      <c r="N246" s="36">
        <f t="shared" si="31"/>
        <v>0</v>
      </c>
      <c r="O246" s="36">
        <f t="shared" si="31"/>
        <v>0</v>
      </c>
      <c r="P246" s="36">
        <f t="shared" si="31"/>
        <v>0</v>
      </c>
      <c r="Q246" s="36">
        <f t="shared" si="31"/>
        <v>0</v>
      </c>
      <c r="R246" s="36">
        <f t="shared" si="31"/>
        <v>2</v>
      </c>
      <c r="S246" s="36">
        <f t="shared" si="31"/>
        <v>2</v>
      </c>
      <c r="T246" s="36">
        <f t="shared" si="31"/>
        <v>45</v>
      </c>
      <c r="U246" s="36">
        <f t="shared" si="31"/>
        <v>45</v>
      </c>
    </row>
    <row r="247" spans="1:21" s="19" customFormat="1" ht="12.75">
      <c r="A247" s="107"/>
      <c r="B247" s="37" t="s">
        <v>117</v>
      </c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25"/>
      <c r="O247" s="25"/>
      <c r="P247" s="25"/>
      <c r="Q247" s="25"/>
      <c r="R247" s="25">
        <v>2</v>
      </c>
      <c r="S247" s="25">
        <v>2</v>
      </c>
      <c r="T247" s="25"/>
      <c r="U247" s="25"/>
    </row>
    <row r="248" spans="1:21" s="2" customFormat="1" ht="12.75">
      <c r="A248" s="62"/>
      <c r="B248" s="63" t="s">
        <v>67</v>
      </c>
      <c r="C248" s="65"/>
      <c r="D248" s="71"/>
      <c r="E248" s="120"/>
      <c r="F248" s="71"/>
      <c r="G248" s="71"/>
      <c r="H248" s="12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>
        <v>45</v>
      </c>
      <c r="U248" s="41">
        <v>45</v>
      </c>
    </row>
    <row r="249" spans="1:21" s="2" customFormat="1" ht="12.75">
      <c r="A249" s="91" t="s">
        <v>122</v>
      </c>
      <c r="B249" s="101"/>
      <c r="C249" s="32">
        <f aca="true" t="shared" si="32" ref="C249:S249">+C250</f>
        <v>0</v>
      </c>
      <c r="D249" s="36">
        <f t="shared" si="32"/>
        <v>0</v>
      </c>
      <c r="E249" s="36">
        <f t="shared" si="32"/>
        <v>0</v>
      </c>
      <c r="F249" s="36">
        <f t="shared" si="32"/>
        <v>0</v>
      </c>
      <c r="G249" s="36">
        <f t="shared" si="32"/>
        <v>0</v>
      </c>
      <c r="H249" s="36">
        <f t="shared" si="32"/>
        <v>0</v>
      </c>
      <c r="I249" s="36">
        <f t="shared" si="32"/>
        <v>0</v>
      </c>
      <c r="J249" s="36">
        <f t="shared" si="32"/>
        <v>0</v>
      </c>
      <c r="K249" s="36">
        <f t="shared" si="32"/>
        <v>0</v>
      </c>
      <c r="L249" s="36">
        <f t="shared" si="32"/>
        <v>0</v>
      </c>
      <c r="M249" s="36">
        <f t="shared" si="32"/>
        <v>0</v>
      </c>
      <c r="N249" s="36">
        <f t="shared" si="32"/>
        <v>0</v>
      </c>
      <c r="O249" s="36">
        <f t="shared" si="32"/>
        <v>0</v>
      </c>
      <c r="P249" s="36">
        <f t="shared" si="32"/>
        <v>0</v>
      </c>
      <c r="Q249" s="36">
        <f t="shared" si="32"/>
        <v>0</v>
      </c>
      <c r="R249" s="36">
        <f t="shared" si="32"/>
        <v>0</v>
      </c>
      <c r="S249" s="36">
        <f t="shared" si="32"/>
        <v>0</v>
      </c>
      <c r="T249" s="36">
        <f>+T250</f>
        <v>18</v>
      </c>
      <c r="U249" s="36">
        <f>+U250</f>
        <v>18</v>
      </c>
    </row>
    <row r="250" spans="1:21" s="2" customFormat="1" ht="12.75">
      <c r="A250" s="62"/>
      <c r="B250" s="63" t="s">
        <v>67</v>
      </c>
      <c r="C250" s="65"/>
      <c r="D250" s="71"/>
      <c r="E250" s="120"/>
      <c r="F250" s="71"/>
      <c r="G250" s="71"/>
      <c r="H250" s="12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>
        <v>18</v>
      </c>
      <c r="U250" s="41">
        <v>18</v>
      </c>
    </row>
    <row r="251" spans="1:21" s="2" customFormat="1" ht="12.75">
      <c r="A251" s="91" t="s">
        <v>5</v>
      </c>
      <c r="B251" s="101"/>
      <c r="C251" s="32"/>
      <c r="D251" s="36">
        <f>SUM(D252:D253)</f>
        <v>0</v>
      </c>
      <c r="E251" s="36">
        <f aca="true" t="shared" si="33" ref="E251:S251">SUM(E252:E253)</f>
        <v>0</v>
      </c>
      <c r="F251" s="36">
        <f t="shared" si="33"/>
        <v>0</v>
      </c>
      <c r="G251" s="36">
        <f t="shared" si="33"/>
        <v>0</v>
      </c>
      <c r="H251" s="36">
        <f t="shared" si="33"/>
        <v>0</v>
      </c>
      <c r="I251" s="36">
        <f t="shared" si="33"/>
        <v>0</v>
      </c>
      <c r="J251" s="36">
        <f t="shared" si="33"/>
        <v>0</v>
      </c>
      <c r="K251" s="36">
        <f t="shared" si="33"/>
        <v>0</v>
      </c>
      <c r="L251" s="36">
        <f t="shared" si="33"/>
        <v>5</v>
      </c>
      <c r="M251" s="36">
        <f t="shared" si="33"/>
        <v>5</v>
      </c>
      <c r="N251" s="36">
        <f t="shared" si="33"/>
        <v>1</v>
      </c>
      <c r="O251" s="36">
        <f t="shared" si="33"/>
        <v>0</v>
      </c>
      <c r="P251" s="36">
        <f t="shared" si="33"/>
        <v>15</v>
      </c>
      <c r="Q251" s="36">
        <f t="shared" si="33"/>
        <v>15</v>
      </c>
      <c r="R251" s="36">
        <f t="shared" si="33"/>
        <v>0</v>
      </c>
      <c r="S251" s="36">
        <f t="shared" si="33"/>
        <v>0</v>
      </c>
      <c r="T251" s="36">
        <f>SUM(T252:T253)</f>
        <v>6</v>
      </c>
      <c r="U251" s="36">
        <f>SUM(U252:U253)</f>
        <v>6</v>
      </c>
    </row>
    <row r="252" spans="1:21" s="19" customFormat="1" ht="12.75">
      <c r="A252" s="107"/>
      <c r="B252" s="37" t="s">
        <v>36</v>
      </c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25">
        <v>1</v>
      </c>
      <c r="O252" s="25"/>
      <c r="P252" s="25">
        <v>15</v>
      </c>
      <c r="Q252" s="25">
        <v>15</v>
      </c>
      <c r="R252" s="25"/>
      <c r="S252" s="25"/>
      <c r="T252" s="25"/>
      <c r="U252" s="25"/>
    </row>
    <row r="253" spans="1:21" ht="12.75">
      <c r="A253" s="14"/>
      <c r="B253" s="6" t="s">
        <v>67</v>
      </c>
      <c r="D253" s="27"/>
      <c r="E253" s="27"/>
      <c r="F253" s="27"/>
      <c r="G253" s="27"/>
      <c r="H253" s="27"/>
      <c r="I253" s="27"/>
      <c r="J253" s="27"/>
      <c r="K253" s="27"/>
      <c r="L253" s="27">
        <v>5</v>
      </c>
      <c r="M253" s="27">
        <v>5</v>
      </c>
      <c r="N253" s="27"/>
      <c r="O253" s="27"/>
      <c r="P253" s="27"/>
      <c r="Q253" s="27"/>
      <c r="R253" s="27"/>
      <c r="S253" s="27"/>
      <c r="T253" s="27">
        <v>6</v>
      </c>
      <c r="U253" s="27">
        <v>6</v>
      </c>
    </row>
    <row r="254" spans="1:21" ht="15.75">
      <c r="A254" s="130" t="s">
        <v>7</v>
      </c>
      <c r="B254" s="131"/>
      <c r="C254" s="67"/>
      <c r="D254" s="96">
        <f>+D229+D76+D25+D10+D8</f>
        <v>419005</v>
      </c>
      <c r="E254" s="96">
        <f>+E229+E76+E25+E10+E8</f>
        <v>8299</v>
      </c>
      <c r="F254" s="96">
        <f>+F229+F76+F25+F10+F8</f>
        <v>416607</v>
      </c>
      <c r="G254" s="96">
        <f>+G229+G76+G25+G10+G8</f>
        <v>7949</v>
      </c>
      <c r="H254" s="96">
        <f>+H229+H76+H25+H10+H8</f>
        <v>433668</v>
      </c>
      <c r="I254" s="96">
        <f>+I229+I76+I25+I10+I8</f>
        <v>15332</v>
      </c>
      <c r="J254" s="96">
        <f>+J229+J76+J25+J10+J8</f>
        <v>451474</v>
      </c>
      <c r="K254" s="96">
        <f>+K229+K76+K25+K10+K8</f>
        <v>15717</v>
      </c>
      <c r="L254" s="96">
        <f>+L229+L76+L25+L10+L8</f>
        <v>477312</v>
      </c>
      <c r="M254" s="96">
        <f>+M229+M76+M25+M10+M8</f>
        <v>27015</v>
      </c>
      <c r="N254" s="96">
        <f>+N229+N76+N25+N10+N8</f>
        <v>500424</v>
      </c>
      <c r="O254" s="96">
        <f>+O229+O76+O25+O10+O8</f>
        <v>28230</v>
      </c>
      <c r="P254" s="96">
        <f>+P229+P76+P25+P10+P8</f>
        <v>506836</v>
      </c>
      <c r="Q254" s="96">
        <f>+Q229+Q76+Q25+Q10+Q8</f>
        <v>30762</v>
      </c>
      <c r="R254" s="96">
        <f>+R229+R76+R25+R10+R8</f>
        <v>524452</v>
      </c>
      <c r="S254" s="96">
        <f>+S229+S76+S25+S10+S8</f>
        <v>36637</v>
      </c>
      <c r="T254" s="96">
        <f>+T229+T76+T25+T10+T8</f>
        <v>495987</v>
      </c>
      <c r="U254" s="96">
        <f>+U229+U76+U25+U10+U8</f>
        <v>19205</v>
      </c>
    </row>
    <row r="255" spans="2:21" s="2" customFormat="1" ht="20.25" customHeight="1">
      <c r="B255" s="77"/>
      <c r="C255" s="68"/>
      <c r="D255" s="78"/>
      <c r="E255" s="78"/>
      <c r="F255" s="78"/>
      <c r="G255" s="78"/>
      <c r="H255" s="78"/>
      <c r="I255" s="78"/>
      <c r="J255" s="78"/>
      <c r="K255" s="78"/>
      <c r="L255" s="78"/>
      <c r="N255" s="78"/>
      <c r="O255" s="78"/>
      <c r="P255" s="78"/>
      <c r="Q255" s="78"/>
      <c r="R255" s="78"/>
      <c r="S255" s="78"/>
      <c r="T255" s="78"/>
      <c r="U255" s="78"/>
    </row>
    <row r="256" spans="1:21" ht="12.75">
      <c r="A256" s="105" t="s">
        <v>84</v>
      </c>
      <c r="O256" s="110"/>
      <c r="Q256" s="110"/>
      <c r="S256" s="110"/>
      <c r="U256" s="110"/>
    </row>
    <row r="257" spans="12:21" ht="12.75">
      <c r="L257" s="4"/>
      <c r="M257" s="4"/>
      <c r="O257" s="4"/>
      <c r="Q257" s="4"/>
      <c r="S257" s="4"/>
      <c r="U257" s="4"/>
    </row>
    <row r="409" ht="12.75">
      <c r="E409" s="4">
        <f>133000</f>
        <v>133000</v>
      </c>
    </row>
    <row r="411" ht="12.75">
      <c r="E411" s="4">
        <v>1936.27</v>
      </c>
    </row>
    <row r="412" ht="12.75">
      <c r="E412" s="4">
        <f>+E409/E411</f>
        <v>68.6887675789017</v>
      </c>
    </row>
    <row r="442" ht="12.75">
      <c r="D442" s="4" t="s">
        <v>8</v>
      </c>
    </row>
  </sheetData>
  <mergeCells count="1">
    <mergeCell ref="T6:U6"/>
  </mergeCells>
  <printOptions/>
  <pageMargins left="0.51" right="0.21" top="0.42" bottom="0.36" header="0.26" footer="0.19"/>
  <pageSetup horizontalDpi="600" verticalDpi="600" orientation="landscape" paperSize="9" scale="60" r:id="rId1"/>
  <rowBreaks count="1" manualBreakCount="1">
    <brk id="76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U441"/>
  <sheetViews>
    <sheetView workbookViewId="0" topLeftCell="A166">
      <selection activeCell="E187" sqref="E187"/>
    </sheetView>
  </sheetViews>
  <sheetFormatPr defaultColWidth="9.140625" defaultRowHeight="12.75"/>
  <cols>
    <col min="1" max="1" width="2.7109375" style="3" customWidth="1"/>
    <col min="2" max="2" width="50.57421875" style="3" bestFit="1" customWidth="1"/>
    <col min="3" max="3" width="0.5625" style="0" customWidth="1"/>
    <col min="4" max="7" width="9.57421875" style="4" customWidth="1"/>
    <col min="8" max="8" width="9.57421875" style="1" customWidth="1"/>
    <col min="9" max="12" width="9.57421875" style="4" customWidth="1"/>
  </cols>
  <sheetData>
    <row r="1" spans="1:12" s="2" customFormat="1" ht="24" customHeight="1">
      <c r="A1" s="82" t="s">
        <v>140</v>
      </c>
      <c r="B1" s="3"/>
      <c r="C1"/>
      <c r="D1" s="4"/>
      <c r="F1" s="4"/>
      <c r="G1" s="4"/>
      <c r="H1" s="1"/>
      <c r="I1" s="4"/>
      <c r="J1" s="4"/>
      <c r="K1" s="4"/>
      <c r="L1" s="4"/>
    </row>
    <row r="2" spans="1:12" s="2" customFormat="1" ht="6.75" customHeight="1">
      <c r="A2" s="5"/>
      <c r="B2" s="5"/>
      <c r="C2"/>
      <c r="D2" s="85"/>
      <c r="E2" s="66"/>
      <c r="F2" s="85"/>
      <c r="G2" s="85"/>
      <c r="H2" s="11"/>
      <c r="I2" s="106"/>
      <c r="J2" s="106"/>
      <c r="K2" s="106"/>
      <c r="L2" s="106"/>
    </row>
    <row r="3" spans="1:12" s="2" customFormat="1" ht="12.75">
      <c r="A3" s="86" t="s">
        <v>11</v>
      </c>
      <c r="B3" s="5"/>
      <c r="C3"/>
      <c r="D3" s="4"/>
      <c r="E3" s="4"/>
      <c r="F3" s="4"/>
      <c r="G3" s="4"/>
      <c r="H3" s="1"/>
      <c r="I3" s="106"/>
      <c r="J3" s="106"/>
      <c r="K3" s="106"/>
      <c r="L3" s="106"/>
    </row>
    <row r="4" spans="1:12" s="2" customFormat="1" ht="8.25" customHeight="1">
      <c r="A4" s="7"/>
      <c r="B4" s="7"/>
      <c r="C4"/>
      <c r="D4" s="4"/>
      <c r="E4" s="4"/>
      <c r="F4" s="4"/>
      <c r="G4" s="4"/>
      <c r="H4" s="1"/>
      <c r="I4" s="4"/>
      <c r="J4" s="4"/>
      <c r="K4" s="4"/>
      <c r="L4" s="4"/>
    </row>
    <row r="5" spans="1:12" s="2" customFormat="1" ht="12.75">
      <c r="A5" s="8"/>
      <c r="B5" s="12"/>
      <c r="C5"/>
      <c r="D5" s="43">
        <v>1998</v>
      </c>
      <c r="E5" s="43">
        <v>1999</v>
      </c>
      <c r="F5" s="43">
        <v>2000</v>
      </c>
      <c r="G5" s="43">
        <v>2001</v>
      </c>
      <c r="H5" s="43">
        <v>2002</v>
      </c>
      <c r="I5" s="43">
        <v>2003</v>
      </c>
      <c r="J5" s="43">
        <v>2004</v>
      </c>
      <c r="K5" s="124">
        <v>2005</v>
      </c>
      <c r="L5" s="124">
        <v>2006</v>
      </c>
    </row>
    <row r="6" spans="1:12" s="2" customFormat="1" ht="15.75">
      <c r="A6" s="8"/>
      <c r="B6" s="114" t="s">
        <v>6</v>
      </c>
      <c r="C6"/>
      <c r="D6" s="45" t="s">
        <v>10</v>
      </c>
      <c r="E6" s="45" t="s">
        <v>10</v>
      </c>
      <c r="F6" s="45" t="s">
        <v>10</v>
      </c>
      <c r="G6" s="100" t="s">
        <v>10</v>
      </c>
      <c r="H6" s="100" t="s">
        <v>10</v>
      </c>
      <c r="I6" s="100" t="s">
        <v>10</v>
      </c>
      <c r="J6" s="100" t="s">
        <v>10</v>
      </c>
      <c r="K6" s="103" t="s">
        <v>10</v>
      </c>
      <c r="L6" s="103" t="s">
        <v>10</v>
      </c>
    </row>
    <row r="7" spans="1:12" s="2" customFormat="1" ht="12.75">
      <c r="A7" s="117"/>
      <c r="B7" s="117"/>
      <c r="C7" s="22"/>
      <c r="D7" s="53" t="s">
        <v>9</v>
      </c>
      <c r="E7" s="53" t="s">
        <v>9</v>
      </c>
      <c r="F7" s="53" t="s">
        <v>9</v>
      </c>
      <c r="G7" s="53" t="s">
        <v>9</v>
      </c>
      <c r="H7" s="53" t="s">
        <v>9</v>
      </c>
      <c r="I7" s="53" t="s">
        <v>9</v>
      </c>
      <c r="J7" s="53" t="s">
        <v>9</v>
      </c>
      <c r="K7" s="53" t="s">
        <v>9</v>
      </c>
      <c r="L7" s="53" t="s">
        <v>9</v>
      </c>
    </row>
    <row r="8" spans="1:12" s="2" customFormat="1" ht="12.75">
      <c r="A8" s="91" t="s">
        <v>0</v>
      </c>
      <c r="B8" s="92"/>
      <c r="C8" s="31"/>
      <c r="D8" s="36">
        <f>+'Entrate tot e finalizzati'!D8-'Entrate tot e finalizzati'!E8</f>
        <v>0</v>
      </c>
      <c r="E8" s="36">
        <f>+'Entrate tot e finalizzati'!F8-'Entrate tot e finalizzati'!G8</f>
        <v>0</v>
      </c>
      <c r="F8" s="36">
        <f>+'Entrate tot e finalizzati'!H8-'Entrate tot e finalizzati'!I8</f>
        <v>0</v>
      </c>
      <c r="G8" s="36">
        <f>+'Entrate tot e finalizzati'!J8-'Entrate tot e finalizzati'!K8</f>
        <v>552</v>
      </c>
      <c r="H8" s="36">
        <f>+'Entrate tot e finalizzati'!L8-'Entrate tot e finalizzati'!M8</f>
        <v>0</v>
      </c>
      <c r="I8" s="36">
        <f>+'Entrate tot e finalizzati'!N8-'Entrate tot e finalizzati'!O8</f>
        <v>0</v>
      </c>
      <c r="J8" s="36">
        <f>+'Entrate tot e finalizzati'!P8-'Entrate tot e finalizzati'!Q8</f>
        <v>0</v>
      </c>
      <c r="K8" s="36">
        <f>+'Entrate tot e finalizzati'!R8-'Entrate tot e finalizzati'!S8</f>
        <v>0</v>
      </c>
      <c r="L8" s="36">
        <f>+'Entrate tot e finalizzati'!T8-'Entrate tot e finalizzati'!U8</f>
        <v>0</v>
      </c>
    </row>
    <row r="9" spans="1:12" s="2" customFormat="1" ht="12.75">
      <c r="A9" s="17"/>
      <c r="B9" s="95" t="s">
        <v>14</v>
      </c>
      <c r="C9" s="119"/>
      <c r="D9" s="24">
        <f>+'Entrate tot e finalizzati'!D9-'Entrate tot e finalizzati'!E9</f>
        <v>0</v>
      </c>
      <c r="E9" s="24">
        <f>+'Entrate tot e finalizzati'!F9-'Entrate tot e finalizzati'!G9</f>
        <v>0</v>
      </c>
      <c r="F9" s="24">
        <f>+'Entrate tot e finalizzati'!H9-'Entrate tot e finalizzati'!I9</f>
        <v>0</v>
      </c>
      <c r="G9" s="24">
        <f>+'Entrate tot e finalizzati'!J9-'Entrate tot e finalizzati'!K9</f>
        <v>552</v>
      </c>
      <c r="H9" s="24">
        <f>+'Entrate tot e finalizzati'!L9-'Entrate tot e finalizzati'!M9</f>
        <v>0</v>
      </c>
      <c r="I9" s="24">
        <f>+'Entrate tot e finalizzati'!N9-'Entrate tot e finalizzati'!O9</f>
        <v>0</v>
      </c>
      <c r="J9" s="24">
        <f>+'Entrate tot e finalizzati'!P9-'Entrate tot e finalizzati'!Q9</f>
        <v>0</v>
      </c>
      <c r="K9" s="24">
        <f>+'Entrate tot e finalizzati'!R9-'Entrate tot e finalizzati'!S9</f>
        <v>0</v>
      </c>
      <c r="L9" s="24">
        <f>+'Entrate tot e finalizzati'!T9-'Entrate tot e finalizzati'!U9</f>
        <v>0</v>
      </c>
    </row>
    <row r="10" spans="1:21" s="2" customFormat="1" ht="12.75">
      <c r="A10" s="93" t="s">
        <v>124</v>
      </c>
      <c r="B10" s="111"/>
      <c r="C10" s="127"/>
      <c r="D10" s="128">
        <f>+'Entrate tot e finalizzati'!D10-'Entrate tot e finalizzati'!E10</f>
        <v>2271</v>
      </c>
      <c r="E10" s="128">
        <f>+'Entrate tot e finalizzati'!F10-'Entrate tot e finalizzati'!G10</f>
        <v>6115</v>
      </c>
      <c r="F10" s="128">
        <f>+'Entrate tot e finalizzati'!H10-'Entrate tot e finalizzati'!I10</f>
        <v>7092</v>
      </c>
      <c r="G10" s="128">
        <f>+'Entrate tot e finalizzati'!J10-'Entrate tot e finalizzati'!K10</f>
        <v>21250</v>
      </c>
      <c r="H10" s="128">
        <f>+'Entrate tot e finalizzati'!L10-'Entrate tot e finalizzati'!M10</f>
        <v>15354</v>
      </c>
      <c r="I10" s="128">
        <f>+'Entrate tot e finalizzati'!N10-'Entrate tot e finalizzati'!O10</f>
        <v>10949</v>
      </c>
      <c r="J10" s="128">
        <f>+'Entrate tot e finalizzati'!P10-'Entrate tot e finalizzati'!Q10</f>
        <v>8738</v>
      </c>
      <c r="K10" s="128">
        <f>+'Entrate tot e finalizzati'!R10-'Entrate tot e finalizzati'!S10</f>
        <v>9819</v>
      </c>
      <c r="L10" s="128">
        <f>+'Entrate tot e finalizzati'!T10-'Entrate tot e finalizzati'!U10</f>
        <v>11083</v>
      </c>
      <c r="M10" s="128"/>
      <c r="N10" s="128"/>
      <c r="O10" s="128"/>
      <c r="P10" s="128"/>
      <c r="Q10" s="128"/>
      <c r="R10" s="128"/>
      <c r="S10" s="128"/>
      <c r="T10" s="128"/>
      <c r="U10" s="128"/>
    </row>
    <row r="11" spans="1:21" s="2" customFormat="1" ht="12.75">
      <c r="A11" s="91" t="s">
        <v>125</v>
      </c>
      <c r="B11" s="92"/>
      <c r="C11" s="32"/>
      <c r="D11" s="36">
        <f>+'Entrate tot e finalizzati'!D11-'Entrate tot e finalizzati'!E11</f>
        <v>73</v>
      </c>
      <c r="E11" s="36">
        <f>+'Entrate tot e finalizzati'!F11-'Entrate tot e finalizzati'!G11</f>
        <v>65</v>
      </c>
      <c r="F11" s="36">
        <f>+'Entrate tot e finalizzati'!H11-'Entrate tot e finalizzati'!I11</f>
        <v>1033</v>
      </c>
      <c r="G11" s="36">
        <f>+'Entrate tot e finalizzati'!J11-'Entrate tot e finalizzati'!K11</f>
        <v>1169</v>
      </c>
      <c r="H11" s="36">
        <f>+'Entrate tot e finalizzati'!L11-'Entrate tot e finalizzati'!M11</f>
        <v>66</v>
      </c>
      <c r="I11" s="36">
        <f>+'Entrate tot e finalizzati'!N11-'Entrate tot e finalizzati'!O11</f>
        <v>38</v>
      </c>
      <c r="J11" s="36">
        <f>+'Entrate tot e finalizzati'!P11-'Entrate tot e finalizzati'!Q11</f>
        <v>13</v>
      </c>
      <c r="K11" s="36">
        <f>+'Entrate tot e finalizzati'!R11-'Entrate tot e finalizzati'!S11</f>
        <v>6</v>
      </c>
      <c r="L11" s="36">
        <f>+'Entrate tot e finalizzati'!T11-'Entrate tot e finalizzati'!U11</f>
        <v>8</v>
      </c>
      <c r="M11" s="36"/>
      <c r="N11" s="36"/>
      <c r="O11" s="36"/>
      <c r="P11" s="36"/>
      <c r="Q11" s="36"/>
      <c r="R11" s="36"/>
      <c r="S11" s="36"/>
      <c r="T11" s="36"/>
      <c r="U11" s="36"/>
    </row>
    <row r="12" spans="1:21" s="2" customFormat="1" ht="12.75">
      <c r="A12" s="97"/>
      <c r="B12" s="38" t="s">
        <v>66</v>
      </c>
      <c r="C12" s="60"/>
      <c r="D12" s="25">
        <f>+'Entrate tot e finalizzati'!D12-'Entrate tot e finalizzati'!E12</f>
        <v>0</v>
      </c>
      <c r="E12" s="48">
        <f>+'Entrate tot e finalizzati'!F12-'Entrate tot e finalizzati'!G12</f>
        <v>0</v>
      </c>
      <c r="F12" s="25">
        <f>+'Entrate tot e finalizzati'!H12-'Entrate tot e finalizzati'!I12</f>
        <v>0</v>
      </c>
      <c r="G12" s="48">
        <f>+'Entrate tot e finalizzati'!J12-'Entrate tot e finalizzati'!K12</f>
        <v>0</v>
      </c>
      <c r="H12" s="23">
        <f>+'Entrate tot e finalizzati'!L12-'Entrate tot e finalizzati'!M12</f>
        <v>0</v>
      </c>
      <c r="I12" s="56">
        <f>+'Entrate tot e finalizzati'!N12-'Entrate tot e finalizzati'!O12</f>
        <v>0</v>
      </c>
      <c r="J12" s="40">
        <f>+'Entrate tot e finalizzati'!P12-'Entrate tot e finalizzati'!Q12</f>
        <v>0</v>
      </c>
      <c r="K12" s="56">
        <f>+'Entrate tot e finalizzati'!R12-'Entrate tot e finalizzati'!S12</f>
        <v>0</v>
      </c>
      <c r="L12" s="40">
        <f>+'Entrate tot e finalizzati'!T12-'Entrate tot e finalizzati'!U12</f>
        <v>0</v>
      </c>
      <c r="M12" s="56"/>
      <c r="N12" s="40"/>
      <c r="O12" s="56"/>
      <c r="P12" s="40"/>
      <c r="Q12" s="81"/>
      <c r="R12" s="40"/>
      <c r="S12" s="81"/>
      <c r="T12" s="40"/>
      <c r="U12" s="81"/>
    </row>
    <row r="13" spans="1:12" s="2" customFormat="1" ht="12.75">
      <c r="A13" s="58"/>
      <c r="B13" s="38" t="s">
        <v>16</v>
      </c>
      <c r="D13" s="39">
        <f>+'Entrate tot e finalizzati'!D13-'Entrate tot e finalizzati'!E13</f>
        <v>0</v>
      </c>
      <c r="E13" s="40">
        <f>+'Entrate tot e finalizzati'!F13-'Entrate tot e finalizzati'!G13</f>
        <v>0</v>
      </c>
      <c r="F13" s="39">
        <f>+'Entrate tot e finalizzati'!H13-'Entrate tot e finalizzati'!I13</f>
        <v>1033</v>
      </c>
      <c r="G13" s="39">
        <f>+'Entrate tot e finalizzati'!J13-'Entrate tot e finalizzati'!K13</f>
        <v>1085</v>
      </c>
      <c r="H13" s="40">
        <f>+'Entrate tot e finalizzati'!L13-'Entrate tot e finalizzati'!M13</f>
        <v>0</v>
      </c>
      <c r="I13" s="40">
        <f>+'Entrate tot e finalizzati'!N13-'Entrate tot e finalizzati'!O13</f>
        <v>0</v>
      </c>
      <c r="J13" s="40">
        <f>+'Entrate tot e finalizzati'!P13-'Entrate tot e finalizzati'!Q13</f>
        <v>0</v>
      </c>
      <c r="K13" s="40">
        <f>+'Entrate tot e finalizzati'!R13-'Entrate tot e finalizzati'!S13</f>
        <v>0</v>
      </c>
      <c r="L13" s="40">
        <f>+'Entrate tot e finalizzati'!T13-'Entrate tot e finalizzati'!U13</f>
        <v>0</v>
      </c>
    </row>
    <row r="14" spans="1:12" s="2" customFormat="1" ht="12.75">
      <c r="A14" s="97"/>
      <c r="B14" s="37" t="s">
        <v>97</v>
      </c>
      <c r="D14" s="39">
        <f>+'Entrate tot e finalizzati'!D14-'Entrate tot e finalizzati'!E14</f>
        <v>0</v>
      </c>
      <c r="E14" s="40">
        <f>+'Entrate tot e finalizzati'!F14-'Entrate tot e finalizzati'!G14</f>
        <v>0</v>
      </c>
      <c r="F14" s="39">
        <f>+'Entrate tot e finalizzati'!H14-'Entrate tot e finalizzati'!I14</f>
        <v>0</v>
      </c>
      <c r="G14" s="39">
        <f>+'Entrate tot e finalizzati'!J14-'Entrate tot e finalizzati'!K14</f>
        <v>0</v>
      </c>
      <c r="H14" s="40">
        <f>+'Entrate tot e finalizzati'!L14-'Entrate tot e finalizzati'!M14</f>
        <v>0</v>
      </c>
      <c r="I14" s="40">
        <f>+'Entrate tot e finalizzati'!N14-'Entrate tot e finalizzati'!O14</f>
        <v>0</v>
      </c>
      <c r="J14" s="40">
        <f>+'Entrate tot e finalizzati'!P14-'Entrate tot e finalizzati'!Q14</f>
        <v>0</v>
      </c>
      <c r="K14" s="40">
        <f>+'Entrate tot e finalizzati'!R14-'Entrate tot e finalizzati'!S14</f>
        <v>0</v>
      </c>
      <c r="L14" s="40">
        <f>+'Entrate tot e finalizzati'!T14-'Entrate tot e finalizzati'!U14</f>
        <v>0</v>
      </c>
    </row>
    <row r="15" spans="1:12" s="60" customFormat="1" ht="12.75">
      <c r="A15" s="97"/>
      <c r="B15" s="37" t="s">
        <v>67</v>
      </c>
      <c r="D15" s="39">
        <f>+'Entrate tot e finalizzati'!D15-'Entrate tot e finalizzati'!E15</f>
        <v>0</v>
      </c>
      <c r="E15" s="39">
        <f>+'Entrate tot e finalizzati'!F15-'Entrate tot e finalizzati'!G15</f>
        <v>0</v>
      </c>
      <c r="F15" s="39">
        <f>+'Entrate tot e finalizzati'!H15-'Entrate tot e finalizzati'!I15</f>
        <v>0</v>
      </c>
      <c r="G15" s="39">
        <f>+'Entrate tot e finalizzati'!J15-'Entrate tot e finalizzati'!K15</f>
        <v>0</v>
      </c>
      <c r="H15" s="40">
        <f>+'Entrate tot e finalizzati'!L15-'Entrate tot e finalizzati'!M15</f>
        <v>0</v>
      </c>
      <c r="I15" s="40">
        <f>+'Entrate tot e finalizzati'!N15-'Entrate tot e finalizzati'!O15</f>
        <v>0</v>
      </c>
      <c r="J15" s="40">
        <f>+'Entrate tot e finalizzati'!P15-'Entrate tot e finalizzati'!Q15</f>
        <v>0</v>
      </c>
      <c r="K15" s="40">
        <f>+'Entrate tot e finalizzati'!R15-'Entrate tot e finalizzati'!S15</f>
        <v>0</v>
      </c>
      <c r="L15" s="40">
        <f>+'Entrate tot e finalizzati'!T15-'Entrate tot e finalizzati'!U15</f>
        <v>0</v>
      </c>
    </row>
    <row r="16" spans="1:12" s="60" customFormat="1" ht="12.75">
      <c r="A16" s="58"/>
      <c r="B16" s="38" t="s">
        <v>18</v>
      </c>
      <c r="D16" s="39">
        <f>+'Entrate tot e finalizzati'!D16-'Entrate tot e finalizzati'!E16</f>
        <v>73</v>
      </c>
      <c r="E16" s="39">
        <f>+'Entrate tot e finalizzati'!F16-'Entrate tot e finalizzati'!G16</f>
        <v>65</v>
      </c>
      <c r="F16" s="39">
        <f>+'Entrate tot e finalizzati'!H16-'Entrate tot e finalizzati'!I16</f>
        <v>0</v>
      </c>
      <c r="G16" s="39">
        <f>+'Entrate tot e finalizzati'!J16-'Entrate tot e finalizzati'!K16</f>
        <v>0</v>
      </c>
      <c r="H16" s="40">
        <f>+'Entrate tot e finalizzati'!L16-'Entrate tot e finalizzati'!M16</f>
        <v>0</v>
      </c>
      <c r="I16" s="40">
        <f>+'Entrate tot e finalizzati'!N16-'Entrate tot e finalizzati'!O16</f>
        <v>0</v>
      </c>
      <c r="J16" s="40">
        <f>+'Entrate tot e finalizzati'!P16-'Entrate tot e finalizzati'!Q16</f>
        <v>0</v>
      </c>
      <c r="K16" s="40">
        <f>+'Entrate tot e finalizzati'!R16-'Entrate tot e finalizzati'!S16</f>
        <v>0</v>
      </c>
      <c r="L16" s="40">
        <f>+'Entrate tot e finalizzati'!T16-'Entrate tot e finalizzati'!U16</f>
        <v>0</v>
      </c>
    </row>
    <row r="17" spans="1:12" s="2" customFormat="1" ht="12.75">
      <c r="A17" s="13"/>
      <c r="B17" s="10" t="s">
        <v>19</v>
      </c>
      <c r="D17" s="39">
        <f>+'Entrate tot e finalizzati'!D17-'Entrate tot e finalizzati'!E17</f>
        <v>0</v>
      </c>
      <c r="E17" s="39">
        <f>+'Entrate tot e finalizzati'!F17-'Entrate tot e finalizzati'!G17</f>
        <v>0</v>
      </c>
      <c r="F17" s="39">
        <f>+'Entrate tot e finalizzati'!H17-'Entrate tot e finalizzati'!I17</f>
        <v>0</v>
      </c>
      <c r="G17" s="39">
        <f>+'Entrate tot e finalizzati'!J17-'Entrate tot e finalizzati'!K17</f>
        <v>84</v>
      </c>
      <c r="H17" s="40">
        <f>+'Entrate tot e finalizzati'!L17-'Entrate tot e finalizzati'!M17</f>
        <v>66</v>
      </c>
      <c r="I17" s="40">
        <f>+'Entrate tot e finalizzati'!N17-'Entrate tot e finalizzati'!O17</f>
        <v>38</v>
      </c>
      <c r="J17" s="40">
        <f>+'Entrate tot e finalizzati'!P17-'Entrate tot e finalizzati'!Q17</f>
        <v>13</v>
      </c>
      <c r="K17" s="40">
        <f>+'Entrate tot e finalizzati'!R17-'Entrate tot e finalizzati'!S17</f>
        <v>6</v>
      </c>
      <c r="L17" s="40">
        <f>+'Entrate tot e finalizzati'!T17-'Entrate tot e finalizzati'!U17</f>
        <v>8</v>
      </c>
    </row>
    <row r="18" spans="1:12" s="42" customFormat="1" ht="12.75">
      <c r="A18" s="13"/>
      <c r="B18" s="10" t="s">
        <v>111</v>
      </c>
      <c r="C18"/>
      <c r="D18" s="25">
        <f>+'Entrate tot e finalizzati'!D18-'Entrate tot e finalizzati'!E18</f>
        <v>0</v>
      </c>
      <c r="E18" s="25">
        <f>+'Entrate tot e finalizzati'!F18-'Entrate tot e finalizzati'!G18</f>
        <v>0</v>
      </c>
      <c r="F18" s="25">
        <f>+'Entrate tot e finalizzati'!H18-'Entrate tot e finalizzati'!I18</f>
        <v>0</v>
      </c>
      <c r="G18" s="25">
        <f>+'Entrate tot e finalizzati'!J18-'Entrate tot e finalizzati'!K18</f>
        <v>0</v>
      </c>
      <c r="H18" s="23">
        <f>+'Entrate tot e finalizzati'!L18-'Entrate tot e finalizzati'!M18</f>
        <v>0</v>
      </c>
      <c r="I18" s="23">
        <f>+'Entrate tot e finalizzati'!N18-'Entrate tot e finalizzati'!O18</f>
        <v>0</v>
      </c>
      <c r="J18" s="23">
        <f>+'Entrate tot e finalizzati'!P18-'Entrate tot e finalizzati'!Q18</f>
        <v>0</v>
      </c>
      <c r="K18" s="23">
        <f>+'Entrate tot e finalizzati'!R18-'Entrate tot e finalizzati'!S18</f>
        <v>0</v>
      </c>
      <c r="L18" s="23">
        <f>+'Entrate tot e finalizzati'!T18-'Entrate tot e finalizzati'!U18</f>
        <v>0</v>
      </c>
    </row>
    <row r="19" spans="1:12" s="2" customFormat="1" ht="12.75">
      <c r="A19" s="28" t="s">
        <v>87</v>
      </c>
      <c r="B19" s="29"/>
      <c r="C19" s="32"/>
      <c r="D19" s="30">
        <f>+'Entrate tot e finalizzati'!D19-'Entrate tot e finalizzati'!E19</f>
        <v>16</v>
      </c>
      <c r="E19" s="30">
        <f>+'Entrate tot e finalizzati'!F19-'Entrate tot e finalizzati'!G19</f>
        <v>38</v>
      </c>
      <c r="F19" s="30">
        <f>+'Entrate tot e finalizzati'!H19-'Entrate tot e finalizzati'!I19</f>
        <v>33</v>
      </c>
      <c r="G19" s="30">
        <f>+'Entrate tot e finalizzati'!J19-'Entrate tot e finalizzati'!K19</f>
        <v>60</v>
      </c>
      <c r="H19" s="30">
        <f>+'Entrate tot e finalizzati'!L19-'Entrate tot e finalizzati'!M19</f>
        <v>63</v>
      </c>
      <c r="I19" s="30">
        <f>+'Entrate tot e finalizzati'!N19-'Entrate tot e finalizzati'!O19</f>
        <v>36</v>
      </c>
      <c r="J19" s="30">
        <f>+'Entrate tot e finalizzati'!P19-'Entrate tot e finalizzati'!Q19</f>
        <v>36</v>
      </c>
      <c r="K19" s="30">
        <f>+'Entrate tot e finalizzati'!R19-'Entrate tot e finalizzati'!S19</f>
        <v>37</v>
      </c>
      <c r="L19" s="30">
        <f>+'Entrate tot e finalizzati'!T19-'Entrate tot e finalizzati'!U19</f>
        <v>38</v>
      </c>
    </row>
    <row r="20" spans="1:12" s="42" customFormat="1" ht="12.75">
      <c r="A20" s="97"/>
      <c r="B20" s="37" t="s">
        <v>21</v>
      </c>
      <c r="C20"/>
      <c r="D20" s="25">
        <f>+'Entrate tot e finalizzati'!D20-'Entrate tot e finalizzati'!E20</f>
        <v>1</v>
      </c>
      <c r="E20" s="25">
        <f>+'Entrate tot e finalizzati'!F20-'Entrate tot e finalizzati'!G20</f>
        <v>0</v>
      </c>
      <c r="F20" s="25">
        <f>+'Entrate tot e finalizzati'!H20-'Entrate tot e finalizzati'!I20</f>
        <v>0</v>
      </c>
      <c r="G20" s="25">
        <f>+'Entrate tot e finalizzati'!J20-'Entrate tot e finalizzati'!K20</f>
        <v>0</v>
      </c>
      <c r="H20" s="25">
        <f>+'Entrate tot e finalizzati'!L20-'Entrate tot e finalizzati'!M20</f>
        <v>0</v>
      </c>
      <c r="I20" s="25">
        <f>+'Entrate tot e finalizzati'!N20-'Entrate tot e finalizzati'!O20</f>
        <v>0</v>
      </c>
      <c r="J20" s="25">
        <f>+'Entrate tot e finalizzati'!P20-'Entrate tot e finalizzati'!Q20</f>
        <v>0</v>
      </c>
      <c r="K20" s="25">
        <f>+'Entrate tot e finalizzati'!R20-'Entrate tot e finalizzati'!S20</f>
        <v>0</v>
      </c>
      <c r="L20" s="25">
        <f>+'Entrate tot e finalizzati'!T20-'Entrate tot e finalizzati'!U20</f>
        <v>0</v>
      </c>
    </row>
    <row r="21" spans="1:12" s="42" customFormat="1" ht="12.75">
      <c r="A21" s="97"/>
      <c r="B21" s="6" t="s">
        <v>67</v>
      </c>
      <c r="C21"/>
      <c r="D21" s="25">
        <f>+'Entrate tot e finalizzati'!D21-'Entrate tot e finalizzati'!E21</f>
        <v>0</v>
      </c>
      <c r="E21" s="25">
        <f>+'Entrate tot e finalizzati'!F21-'Entrate tot e finalizzati'!G21</f>
        <v>0</v>
      </c>
      <c r="F21" s="25">
        <f>+'Entrate tot e finalizzati'!H21-'Entrate tot e finalizzati'!I21</f>
        <v>0</v>
      </c>
      <c r="G21" s="25">
        <f>+'Entrate tot e finalizzati'!J21-'Entrate tot e finalizzati'!K21</f>
        <v>0</v>
      </c>
      <c r="H21" s="25">
        <f>+'Entrate tot e finalizzati'!L21-'Entrate tot e finalizzati'!M21</f>
        <v>0</v>
      </c>
      <c r="I21" s="25">
        <f>+'Entrate tot e finalizzati'!N21-'Entrate tot e finalizzati'!O21</f>
        <v>0</v>
      </c>
      <c r="J21" s="25">
        <f>+'Entrate tot e finalizzati'!P21-'Entrate tot e finalizzati'!Q21</f>
        <v>0</v>
      </c>
      <c r="K21" s="25">
        <f>+'Entrate tot e finalizzati'!R21-'Entrate tot e finalizzati'!S21</f>
        <v>0</v>
      </c>
      <c r="L21" s="25">
        <f>+'Entrate tot e finalizzati'!T21-'Entrate tot e finalizzati'!U21</f>
        <v>0</v>
      </c>
    </row>
    <row r="22" spans="1:12" s="42" customFormat="1" ht="12.75">
      <c r="A22" s="13"/>
      <c r="B22" s="10" t="s">
        <v>20</v>
      </c>
      <c r="C22"/>
      <c r="D22" s="25">
        <f>+'Entrate tot e finalizzati'!D22-'Entrate tot e finalizzati'!E22</f>
        <v>15</v>
      </c>
      <c r="E22" s="25">
        <f>+'Entrate tot e finalizzati'!F22-'Entrate tot e finalizzati'!G22</f>
        <v>38</v>
      </c>
      <c r="F22" s="25">
        <f>+'Entrate tot e finalizzati'!H22-'Entrate tot e finalizzati'!I22</f>
        <v>33</v>
      </c>
      <c r="G22" s="25">
        <f>+'Entrate tot e finalizzati'!J22-'Entrate tot e finalizzati'!K22</f>
        <v>60</v>
      </c>
      <c r="H22" s="23">
        <f>+'Entrate tot e finalizzati'!L22-'Entrate tot e finalizzati'!M22</f>
        <v>63</v>
      </c>
      <c r="I22" s="23">
        <f>+'Entrate tot e finalizzati'!N22-'Entrate tot e finalizzati'!O22</f>
        <v>36</v>
      </c>
      <c r="J22" s="23">
        <f>+'Entrate tot e finalizzati'!P22-'Entrate tot e finalizzati'!Q22</f>
        <v>36</v>
      </c>
      <c r="K22" s="23">
        <f>+'Entrate tot e finalizzati'!R22-'Entrate tot e finalizzati'!S22</f>
        <v>37</v>
      </c>
      <c r="L22" s="23">
        <f>+'Entrate tot e finalizzati'!T22-'Entrate tot e finalizzati'!U22</f>
        <v>38</v>
      </c>
    </row>
    <row r="23" spans="1:12" s="2" customFormat="1" ht="12.75">
      <c r="A23" s="28" t="s">
        <v>98</v>
      </c>
      <c r="B23" s="29"/>
      <c r="C23" s="32"/>
      <c r="D23" s="30">
        <f>+'Entrate tot e finalizzati'!D23-'Entrate tot e finalizzati'!E23</f>
        <v>2182</v>
      </c>
      <c r="E23" s="30">
        <f>+'Entrate tot e finalizzati'!F23-'Entrate tot e finalizzati'!G23</f>
        <v>6012</v>
      </c>
      <c r="F23" s="30">
        <f>+'Entrate tot e finalizzati'!H23-'Entrate tot e finalizzati'!I23</f>
        <v>6026</v>
      </c>
      <c r="G23" s="30">
        <f>+'Entrate tot e finalizzati'!J23-'Entrate tot e finalizzati'!K23</f>
        <v>20021</v>
      </c>
      <c r="H23" s="30">
        <f>+'Entrate tot e finalizzati'!L23-'Entrate tot e finalizzati'!M23</f>
        <v>15225</v>
      </c>
      <c r="I23" s="30">
        <f>+'Entrate tot e finalizzati'!N23-'Entrate tot e finalizzati'!O23</f>
        <v>10875</v>
      </c>
      <c r="J23" s="30">
        <f>+'Entrate tot e finalizzati'!P23-'Entrate tot e finalizzati'!Q23</f>
        <v>8689</v>
      </c>
      <c r="K23" s="30">
        <f>+'Entrate tot e finalizzati'!R23-'Entrate tot e finalizzati'!S23</f>
        <v>9776</v>
      </c>
      <c r="L23" s="30">
        <f>+'Entrate tot e finalizzati'!T23-'Entrate tot e finalizzati'!U23</f>
        <v>11037</v>
      </c>
    </row>
    <row r="24" spans="1:12" s="42" customFormat="1" ht="12.75">
      <c r="A24" s="57"/>
      <c r="B24" s="38" t="s">
        <v>15</v>
      </c>
      <c r="C24" s="22"/>
      <c r="D24" s="26">
        <f>+'Entrate tot e finalizzati'!D24-'Entrate tot e finalizzati'!E24</f>
        <v>2182</v>
      </c>
      <c r="E24" s="26">
        <f>+'Entrate tot e finalizzati'!F24-'Entrate tot e finalizzati'!G24</f>
        <v>6012</v>
      </c>
      <c r="F24" s="26">
        <f>+'Entrate tot e finalizzati'!H24-'Entrate tot e finalizzati'!I24</f>
        <v>6026</v>
      </c>
      <c r="G24" s="26">
        <f>+'Entrate tot e finalizzati'!J24-'Entrate tot e finalizzati'!K24</f>
        <v>20021</v>
      </c>
      <c r="H24" s="26">
        <f>+'Entrate tot e finalizzati'!L24-'Entrate tot e finalizzati'!M24</f>
        <v>15225</v>
      </c>
      <c r="I24" s="26">
        <f>+'Entrate tot e finalizzati'!N24-'Entrate tot e finalizzati'!O24</f>
        <v>10875</v>
      </c>
      <c r="J24" s="26">
        <f>+'Entrate tot e finalizzati'!P24-'Entrate tot e finalizzati'!Q24</f>
        <v>8689</v>
      </c>
      <c r="K24" s="26">
        <f>+'Entrate tot e finalizzati'!R24-'Entrate tot e finalizzati'!S24</f>
        <v>9776</v>
      </c>
      <c r="L24" s="26">
        <f>+'Entrate tot e finalizzati'!T24-'Entrate tot e finalizzati'!U24</f>
        <v>11037</v>
      </c>
    </row>
    <row r="25" spans="1:21" s="2" customFormat="1" ht="12.75">
      <c r="A25" s="93" t="s">
        <v>126</v>
      </c>
      <c r="B25" s="111"/>
      <c r="C25" s="127"/>
      <c r="D25" s="128">
        <f>+'Entrate tot e finalizzati'!D25-'Entrate tot e finalizzati'!E25</f>
        <v>131728</v>
      </c>
      <c r="E25" s="128">
        <f>+'Entrate tot e finalizzati'!F25-'Entrate tot e finalizzati'!G25</f>
        <v>126129</v>
      </c>
      <c r="F25" s="128">
        <f>+'Entrate tot e finalizzati'!H25-'Entrate tot e finalizzati'!I25</f>
        <v>123288</v>
      </c>
      <c r="G25" s="128">
        <f>+'Entrate tot e finalizzati'!J25-'Entrate tot e finalizzati'!K25</f>
        <v>131460</v>
      </c>
      <c r="H25" s="128">
        <f>+'Entrate tot e finalizzati'!L25-'Entrate tot e finalizzati'!M25</f>
        <v>136343</v>
      </c>
      <c r="I25" s="128">
        <f>+'Entrate tot e finalizzati'!N25-'Entrate tot e finalizzati'!O25</f>
        <v>152654</v>
      </c>
      <c r="J25" s="128">
        <f>+'Entrate tot e finalizzati'!P25-'Entrate tot e finalizzati'!Q25</f>
        <v>140670</v>
      </c>
      <c r="K25" s="128">
        <f>+'Entrate tot e finalizzati'!R25-'Entrate tot e finalizzati'!S25</f>
        <v>143778</v>
      </c>
      <c r="L25" s="128">
        <f>+'Entrate tot e finalizzati'!T25-'Entrate tot e finalizzati'!U25</f>
        <v>132866</v>
      </c>
      <c r="M25" s="128"/>
      <c r="N25" s="128"/>
      <c r="O25" s="128"/>
      <c r="P25" s="128"/>
      <c r="Q25" s="128"/>
      <c r="R25" s="128"/>
      <c r="S25" s="128"/>
      <c r="T25" s="128"/>
      <c r="U25" s="128"/>
    </row>
    <row r="26" spans="1:21" s="2" customFormat="1" ht="12.75">
      <c r="A26" s="91" t="s">
        <v>86</v>
      </c>
      <c r="B26" s="92"/>
      <c r="C26" s="32"/>
      <c r="D26" s="36">
        <f>+'Entrate tot e finalizzati'!D26-'Entrate tot e finalizzati'!E26</f>
        <v>303</v>
      </c>
      <c r="E26" s="36">
        <f>+'Entrate tot e finalizzati'!F26-'Entrate tot e finalizzati'!G26</f>
        <v>39</v>
      </c>
      <c r="F26" s="36">
        <f>+'Entrate tot e finalizzati'!H26-'Entrate tot e finalizzati'!I26</f>
        <v>13</v>
      </c>
      <c r="G26" s="36">
        <f>+'Entrate tot e finalizzati'!J26-'Entrate tot e finalizzati'!K26</f>
        <v>21</v>
      </c>
      <c r="H26" s="36">
        <f>+'Entrate tot e finalizzati'!L26-'Entrate tot e finalizzati'!M26</f>
        <v>0</v>
      </c>
      <c r="I26" s="36">
        <f>+'Entrate tot e finalizzati'!N26-'Entrate tot e finalizzati'!O26</f>
        <v>0</v>
      </c>
      <c r="J26" s="36">
        <f>+'Entrate tot e finalizzati'!P26-'Entrate tot e finalizzati'!Q26</f>
        <v>0</v>
      </c>
      <c r="K26" s="36">
        <f>+'Entrate tot e finalizzati'!R26-'Entrate tot e finalizzati'!S26</f>
        <v>0</v>
      </c>
      <c r="L26" s="36">
        <f>+'Entrate tot e finalizzati'!T26-'Entrate tot e finalizzati'!U26</f>
        <v>10</v>
      </c>
      <c r="M26" s="36"/>
      <c r="N26" s="36"/>
      <c r="O26" s="36"/>
      <c r="P26" s="36"/>
      <c r="Q26" s="36"/>
      <c r="R26" s="36"/>
      <c r="S26" s="36"/>
      <c r="T26" s="36"/>
      <c r="U26" s="36"/>
    </row>
    <row r="27" spans="1:12" s="42" customFormat="1" ht="12.75">
      <c r="A27" s="13"/>
      <c r="B27" s="10" t="s">
        <v>24</v>
      </c>
      <c r="C27"/>
      <c r="D27" s="25">
        <f>+'Entrate tot e finalizzati'!D27-'Entrate tot e finalizzati'!E27</f>
        <v>303</v>
      </c>
      <c r="E27" s="25">
        <f>+'Entrate tot e finalizzati'!F27-'Entrate tot e finalizzati'!G27</f>
        <v>39</v>
      </c>
      <c r="F27" s="25">
        <f>+'Entrate tot e finalizzati'!H27-'Entrate tot e finalizzati'!I27</f>
        <v>13</v>
      </c>
      <c r="G27" s="25">
        <f>+'Entrate tot e finalizzati'!J27-'Entrate tot e finalizzati'!K27</f>
        <v>21</v>
      </c>
      <c r="H27" s="23">
        <f>+'Entrate tot e finalizzati'!L27-'Entrate tot e finalizzati'!M27</f>
        <v>0</v>
      </c>
      <c r="I27" s="23">
        <f>+'Entrate tot e finalizzati'!N27-'Entrate tot e finalizzati'!O27</f>
        <v>0</v>
      </c>
      <c r="J27" s="23">
        <f>+'Entrate tot e finalizzati'!P27-'Entrate tot e finalizzati'!Q27</f>
        <v>0</v>
      </c>
      <c r="K27" s="23">
        <f>+'Entrate tot e finalizzati'!R27-'Entrate tot e finalizzati'!S27</f>
        <v>0</v>
      </c>
      <c r="L27" s="23">
        <f>+'Entrate tot e finalizzati'!T27-'Entrate tot e finalizzati'!U27</f>
        <v>10</v>
      </c>
    </row>
    <row r="28" spans="1:12" s="2" customFormat="1" ht="12.75">
      <c r="A28" s="28" t="s">
        <v>127</v>
      </c>
      <c r="B28" s="29"/>
      <c r="C28" s="32"/>
      <c r="D28" s="30">
        <f>+'Entrate tot e finalizzati'!D28-'Entrate tot e finalizzati'!E28</f>
        <v>1053</v>
      </c>
      <c r="E28" s="30">
        <f>+'Entrate tot e finalizzati'!F28-'Entrate tot e finalizzati'!G28</f>
        <v>1136</v>
      </c>
      <c r="F28" s="30">
        <f>+'Entrate tot e finalizzati'!H28-'Entrate tot e finalizzati'!I28</f>
        <v>1297</v>
      </c>
      <c r="G28" s="30">
        <f>+'Entrate tot e finalizzati'!J28-'Entrate tot e finalizzati'!K28</f>
        <v>875</v>
      </c>
      <c r="H28" s="30">
        <f>+'Entrate tot e finalizzati'!L28-'Entrate tot e finalizzati'!M28</f>
        <v>697</v>
      </c>
      <c r="I28" s="30">
        <f>+'Entrate tot e finalizzati'!N28-'Entrate tot e finalizzati'!O28</f>
        <v>90</v>
      </c>
      <c r="J28" s="30">
        <f>+'Entrate tot e finalizzati'!P28-'Entrate tot e finalizzati'!Q28</f>
        <v>101</v>
      </c>
      <c r="K28" s="30">
        <f>+'Entrate tot e finalizzati'!R28-'Entrate tot e finalizzati'!S28</f>
        <v>76</v>
      </c>
      <c r="L28" s="30">
        <f>+'Entrate tot e finalizzati'!T28-'Entrate tot e finalizzati'!U28</f>
        <v>88</v>
      </c>
    </row>
    <row r="29" spans="1:12" s="60" customFormat="1" ht="12.75">
      <c r="A29" s="57"/>
      <c r="B29" s="38" t="s">
        <v>59</v>
      </c>
      <c r="D29" s="39">
        <f>+'Entrate tot e finalizzati'!D29-'Entrate tot e finalizzati'!E29</f>
        <v>0</v>
      </c>
      <c r="E29" s="39">
        <f>+'Entrate tot e finalizzati'!F29-'Entrate tot e finalizzati'!G29</f>
        <v>0</v>
      </c>
      <c r="F29" s="39">
        <f>+'Entrate tot e finalizzati'!H29-'Entrate tot e finalizzati'!I29</f>
        <v>0</v>
      </c>
      <c r="G29" s="39">
        <f>+'Entrate tot e finalizzati'!J29-'Entrate tot e finalizzati'!K29</f>
        <v>0</v>
      </c>
      <c r="H29" s="39">
        <f>+'Entrate tot e finalizzati'!L29-'Entrate tot e finalizzati'!M29</f>
        <v>51</v>
      </c>
      <c r="I29" s="39">
        <f>+'Entrate tot e finalizzati'!N29-'Entrate tot e finalizzati'!O29</f>
        <v>54</v>
      </c>
      <c r="J29" s="39">
        <f>+'Entrate tot e finalizzati'!P29-'Entrate tot e finalizzati'!Q29</f>
        <v>76</v>
      </c>
      <c r="K29" s="39">
        <f>+'Entrate tot e finalizzati'!R29-'Entrate tot e finalizzati'!S29</f>
        <v>56</v>
      </c>
      <c r="L29" s="39">
        <f>+'Entrate tot e finalizzati'!T29-'Entrate tot e finalizzati'!U29</f>
        <v>59</v>
      </c>
    </row>
    <row r="30" spans="1:12" s="42" customFormat="1" ht="12.75">
      <c r="A30" s="57"/>
      <c r="B30" s="38" t="s">
        <v>24</v>
      </c>
      <c r="C30"/>
      <c r="D30" s="25">
        <f>+'Entrate tot e finalizzati'!D30-'Entrate tot e finalizzati'!E30</f>
        <v>212</v>
      </c>
      <c r="E30" s="25">
        <f>+'Entrate tot e finalizzati'!F30-'Entrate tot e finalizzati'!G30</f>
        <v>722</v>
      </c>
      <c r="F30" s="25">
        <f>+'Entrate tot e finalizzati'!H30-'Entrate tot e finalizzati'!I30</f>
        <v>771</v>
      </c>
      <c r="G30" s="25">
        <f>+'Entrate tot e finalizzati'!J30-'Entrate tot e finalizzati'!K30</f>
        <v>575</v>
      </c>
      <c r="H30" s="23">
        <f>+'Entrate tot e finalizzati'!L30-'Entrate tot e finalizzati'!M30</f>
        <v>646</v>
      </c>
      <c r="I30" s="23">
        <f>+'Entrate tot e finalizzati'!N30-'Entrate tot e finalizzati'!O30</f>
        <v>36</v>
      </c>
      <c r="J30" s="23">
        <f>+'Entrate tot e finalizzati'!P30-'Entrate tot e finalizzati'!Q30</f>
        <v>25</v>
      </c>
      <c r="K30" s="23">
        <f>+'Entrate tot e finalizzati'!R30-'Entrate tot e finalizzati'!S30</f>
        <v>20</v>
      </c>
      <c r="L30" s="23">
        <f>+'Entrate tot e finalizzati'!T30-'Entrate tot e finalizzati'!U30</f>
        <v>29</v>
      </c>
    </row>
    <row r="31" spans="1:12" s="42" customFormat="1" ht="12.75">
      <c r="A31" s="13"/>
      <c r="B31" s="10" t="s">
        <v>16</v>
      </c>
      <c r="C31"/>
      <c r="D31" s="25">
        <f>+'Entrate tot e finalizzati'!D31-'Entrate tot e finalizzati'!E31</f>
        <v>841</v>
      </c>
      <c r="E31" s="25">
        <f>+'Entrate tot e finalizzati'!F31-'Entrate tot e finalizzati'!G31</f>
        <v>414</v>
      </c>
      <c r="F31" s="25">
        <f>+'Entrate tot e finalizzati'!H31-'Entrate tot e finalizzati'!I31</f>
        <v>526</v>
      </c>
      <c r="G31" s="25">
        <f>+'Entrate tot e finalizzati'!J31-'Entrate tot e finalizzati'!K31</f>
        <v>300</v>
      </c>
      <c r="H31" s="23">
        <f>+'Entrate tot e finalizzati'!L31-'Entrate tot e finalizzati'!M31</f>
        <v>0</v>
      </c>
      <c r="I31" s="23">
        <f>+'Entrate tot e finalizzati'!N31-'Entrate tot e finalizzati'!O31</f>
        <v>0</v>
      </c>
      <c r="J31" s="23">
        <f>+'Entrate tot e finalizzati'!P31-'Entrate tot e finalizzati'!Q31</f>
        <v>0</v>
      </c>
      <c r="K31" s="23">
        <f>+'Entrate tot e finalizzati'!R31-'Entrate tot e finalizzati'!S31</f>
        <v>0</v>
      </c>
      <c r="L31" s="23">
        <f>+'Entrate tot e finalizzati'!T31-'Entrate tot e finalizzati'!U31</f>
        <v>0</v>
      </c>
    </row>
    <row r="32" spans="1:12" s="2" customFormat="1" ht="12.75">
      <c r="A32" s="28" t="s">
        <v>128</v>
      </c>
      <c r="B32" s="29"/>
      <c r="C32" s="32"/>
      <c r="D32" s="30">
        <f>+'Entrate tot e finalizzati'!D32-'Entrate tot e finalizzati'!E32</f>
        <v>3460</v>
      </c>
      <c r="E32" s="30">
        <f>+'Entrate tot e finalizzati'!F32-'Entrate tot e finalizzati'!G32</f>
        <v>6386</v>
      </c>
      <c r="F32" s="30">
        <f>+'Entrate tot e finalizzati'!H32-'Entrate tot e finalizzati'!I32</f>
        <v>6046</v>
      </c>
      <c r="G32" s="30">
        <f>+'Entrate tot e finalizzati'!J32-'Entrate tot e finalizzati'!K32</f>
        <v>6072</v>
      </c>
      <c r="H32" s="30">
        <f>+'Entrate tot e finalizzati'!L32-'Entrate tot e finalizzati'!M32</f>
        <v>3931</v>
      </c>
      <c r="I32" s="30">
        <f>+'Entrate tot e finalizzati'!N32-'Entrate tot e finalizzati'!O32</f>
        <v>7952</v>
      </c>
      <c r="J32" s="30">
        <f>+'Entrate tot e finalizzati'!P32-'Entrate tot e finalizzati'!Q32</f>
        <v>7792</v>
      </c>
      <c r="K32" s="30">
        <f>+'Entrate tot e finalizzati'!R32-'Entrate tot e finalizzati'!S32</f>
        <v>7492</v>
      </c>
      <c r="L32" s="30">
        <f>+'Entrate tot e finalizzati'!T32-'Entrate tot e finalizzati'!U32</f>
        <v>7265</v>
      </c>
    </row>
    <row r="33" spans="1:12" s="2" customFormat="1" ht="12.75">
      <c r="A33" s="54"/>
      <c r="B33" s="38" t="s">
        <v>19</v>
      </c>
      <c r="D33" s="25">
        <f>+'Entrate tot e finalizzati'!D33-'Entrate tot e finalizzati'!E33</f>
        <v>100</v>
      </c>
      <c r="E33" s="25">
        <f>+'Entrate tot e finalizzati'!F33-'Entrate tot e finalizzati'!G33</f>
        <v>113</v>
      </c>
      <c r="F33" s="25">
        <f>+'Entrate tot e finalizzati'!H33-'Entrate tot e finalizzati'!I33</f>
        <v>40</v>
      </c>
      <c r="G33" s="25">
        <f>+'Entrate tot e finalizzati'!J33-'Entrate tot e finalizzati'!K33</f>
        <v>719</v>
      </c>
      <c r="H33" s="25">
        <f>+'Entrate tot e finalizzati'!L33-'Entrate tot e finalizzati'!M33</f>
        <v>23</v>
      </c>
      <c r="I33" s="25">
        <f>+'Entrate tot e finalizzati'!N33-'Entrate tot e finalizzati'!O33</f>
        <v>14</v>
      </c>
      <c r="J33" s="25">
        <f>+'Entrate tot e finalizzati'!P33-'Entrate tot e finalizzati'!Q33</f>
        <v>14</v>
      </c>
      <c r="K33" s="25">
        <f>+'Entrate tot e finalizzati'!R33-'Entrate tot e finalizzati'!S33</f>
        <v>23</v>
      </c>
      <c r="L33" s="25">
        <f>+'Entrate tot e finalizzati'!T33-'Entrate tot e finalizzati'!U33</f>
        <v>27</v>
      </c>
    </row>
    <row r="34" spans="1:12" s="2" customFormat="1" ht="12.75">
      <c r="A34" s="15"/>
      <c r="B34" s="10" t="s">
        <v>24</v>
      </c>
      <c r="D34" s="40">
        <f>+'Entrate tot e finalizzati'!D34-'Entrate tot e finalizzati'!E34</f>
        <v>123</v>
      </c>
      <c r="E34" s="40">
        <f>+'Entrate tot e finalizzati'!F34-'Entrate tot e finalizzati'!G34</f>
        <v>3046</v>
      </c>
      <c r="F34" s="40">
        <f>+'Entrate tot e finalizzati'!H34-'Entrate tot e finalizzati'!I34</f>
        <v>2690</v>
      </c>
      <c r="G34" s="40">
        <f>+'Entrate tot e finalizzati'!J34-'Entrate tot e finalizzati'!K34</f>
        <v>2031</v>
      </c>
      <c r="H34" s="40">
        <f>+'Entrate tot e finalizzati'!L34-'Entrate tot e finalizzati'!M34</f>
        <v>593</v>
      </c>
      <c r="I34" s="40">
        <f>+'Entrate tot e finalizzati'!N34-'Entrate tot e finalizzati'!O34</f>
        <v>749</v>
      </c>
      <c r="J34" s="40">
        <f>+'Entrate tot e finalizzati'!P34-'Entrate tot e finalizzati'!Q34</f>
        <v>874</v>
      </c>
      <c r="K34" s="40">
        <f>+'Entrate tot e finalizzati'!R34-'Entrate tot e finalizzati'!S34</f>
        <v>1332</v>
      </c>
      <c r="L34" s="40">
        <f>+'Entrate tot e finalizzati'!T34-'Entrate tot e finalizzati'!U34</f>
        <v>1168</v>
      </c>
    </row>
    <row r="35" spans="1:12" s="2" customFormat="1" ht="12.75">
      <c r="A35" s="15"/>
      <c r="B35" s="10" t="s">
        <v>32</v>
      </c>
      <c r="D35" s="40">
        <f>+'Entrate tot e finalizzati'!D35-'Entrate tot e finalizzati'!E35</f>
        <v>129</v>
      </c>
      <c r="E35" s="40">
        <f>+'Entrate tot e finalizzati'!F35-'Entrate tot e finalizzati'!G35</f>
        <v>119</v>
      </c>
      <c r="F35" s="40">
        <f>+'Entrate tot e finalizzati'!H35-'Entrate tot e finalizzati'!I35</f>
        <v>144</v>
      </c>
      <c r="G35" s="40">
        <f>+'Entrate tot e finalizzati'!J35-'Entrate tot e finalizzati'!K35</f>
        <v>130</v>
      </c>
      <c r="H35" s="40">
        <f>+'Entrate tot e finalizzati'!L35-'Entrate tot e finalizzati'!M35</f>
        <v>123</v>
      </c>
      <c r="I35" s="40">
        <f>+'Entrate tot e finalizzati'!N35-'Entrate tot e finalizzati'!O35</f>
        <v>120</v>
      </c>
      <c r="J35" s="40">
        <f>+'Entrate tot e finalizzati'!P35-'Entrate tot e finalizzati'!Q35</f>
        <v>0</v>
      </c>
      <c r="K35" s="40">
        <f>+'Entrate tot e finalizzati'!R35-'Entrate tot e finalizzati'!S35</f>
        <v>0</v>
      </c>
      <c r="L35" s="40">
        <f>+'Entrate tot e finalizzati'!T35-'Entrate tot e finalizzati'!U35</f>
        <v>0</v>
      </c>
    </row>
    <row r="36" spans="1:12" s="2" customFormat="1" ht="12.75">
      <c r="A36" s="15"/>
      <c r="B36" s="38" t="s">
        <v>18</v>
      </c>
      <c r="D36" s="39">
        <f>+'Entrate tot e finalizzati'!D36-'Entrate tot e finalizzati'!E36</f>
        <v>0</v>
      </c>
      <c r="E36" s="40">
        <f>+'Entrate tot e finalizzati'!F36-'Entrate tot e finalizzati'!G36</f>
        <v>0</v>
      </c>
      <c r="F36" s="39">
        <f>+'Entrate tot e finalizzati'!H36-'Entrate tot e finalizzati'!I36</f>
        <v>0</v>
      </c>
      <c r="G36" s="39">
        <f>+'Entrate tot e finalizzati'!J36-'Entrate tot e finalizzati'!K36</f>
        <v>0</v>
      </c>
      <c r="H36" s="40">
        <f>+'Entrate tot e finalizzati'!L36-'Entrate tot e finalizzati'!M36</f>
        <v>0</v>
      </c>
      <c r="I36" s="40">
        <f>+'Entrate tot e finalizzati'!N36-'Entrate tot e finalizzati'!O36</f>
        <v>0</v>
      </c>
      <c r="J36" s="40">
        <f>+'Entrate tot e finalizzati'!P36-'Entrate tot e finalizzati'!Q36</f>
        <v>0</v>
      </c>
      <c r="K36" s="40">
        <f>+'Entrate tot e finalizzati'!R36-'Entrate tot e finalizzati'!S36</f>
        <v>0</v>
      </c>
      <c r="L36" s="40">
        <f>+'Entrate tot e finalizzati'!T36-'Entrate tot e finalizzati'!U36</f>
        <v>0</v>
      </c>
    </row>
    <row r="37" spans="1:12" s="2" customFormat="1" ht="12.75">
      <c r="A37" s="15"/>
      <c r="B37" s="38" t="s">
        <v>72</v>
      </c>
      <c r="C37"/>
      <c r="D37" s="25">
        <f>+'Entrate tot e finalizzati'!D37-'Entrate tot e finalizzati'!E37</f>
        <v>0</v>
      </c>
      <c r="E37" s="25">
        <f>+'Entrate tot e finalizzati'!F37-'Entrate tot e finalizzati'!G37</f>
        <v>0</v>
      </c>
      <c r="F37" s="25">
        <f>+'Entrate tot e finalizzati'!H37-'Entrate tot e finalizzati'!I37</f>
        <v>0</v>
      </c>
      <c r="G37" s="25">
        <f>+'Entrate tot e finalizzati'!J37-'Entrate tot e finalizzati'!K37</f>
        <v>0</v>
      </c>
      <c r="H37" s="23">
        <f>+'Entrate tot e finalizzati'!L37-'Entrate tot e finalizzati'!M37</f>
        <v>0</v>
      </c>
      <c r="I37" s="23">
        <f>+'Entrate tot e finalizzati'!N37-'Entrate tot e finalizzati'!O37</f>
        <v>0</v>
      </c>
      <c r="J37" s="23">
        <f>+'Entrate tot e finalizzati'!P37-'Entrate tot e finalizzati'!Q37</f>
        <v>382</v>
      </c>
      <c r="K37" s="23">
        <f>+'Entrate tot e finalizzati'!R37-'Entrate tot e finalizzati'!S37</f>
        <v>0</v>
      </c>
      <c r="L37" s="23">
        <f>+'Entrate tot e finalizzati'!T37-'Entrate tot e finalizzati'!U37</f>
        <v>0</v>
      </c>
    </row>
    <row r="38" spans="1:12" s="2" customFormat="1" ht="12.75">
      <c r="A38" s="15"/>
      <c r="B38" s="10" t="s">
        <v>36</v>
      </c>
      <c r="C38"/>
      <c r="D38" s="25">
        <f>+'Entrate tot e finalizzati'!D38-'Entrate tot e finalizzati'!E38</f>
        <v>0</v>
      </c>
      <c r="E38" s="25">
        <f>+'Entrate tot e finalizzati'!F38-'Entrate tot e finalizzati'!G38</f>
        <v>0</v>
      </c>
      <c r="F38" s="25">
        <f>+'Entrate tot e finalizzati'!H38-'Entrate tot e finalizzati'!I38</f>
        <v>0</v>
      </c>
      <c r="G38" s="25">
        <f>+'Entrate tot e finalizzati'!J38-'Entrate tot e finalizzati'!K38</f>
        <v>0</v>
      </c>
      <c r="H38" s="23">
        <f>+'Entrate tot e finalizzati'!L38-'Entrate tot e finalizzati'!M38</f>
        <v>0</v>
      </c>
      <c r="I38" s="23">
        <f>+'Entrate tot e finalizzati'!N38-'Entrate tot e finalizzati'!O38</f>
        <v>0</v>
      </c>
      <c r="J38" s="23">
        <f>+'Entrate tot e finalizzati'!P38-'Entrate tot e finalizzati'!Q38</f>
        <v>0</v>
      </c>
      <c r="K38" s="23">
        <f>+'Entrate tot e finalizzati'!R38-'Entrate tot e finalizzati'!S38</f>
        <v>1004</v>
      </c>
      <c r="L38" s="23">
        <f>+'Entrate tot e finalizzati'!T38-'Entrate tot e finalizzati'!U38</f>
        <v>0</v>
      </c>
    </row>
    <row r="39" spans="1:12" s="2" customFormat="1" ht="12.75">
      <c r="A39" s="15"/>
      <c r="B39" s="38" t="s">
        <v>66</v>
      </c>
      <c r="C39"/>
      <c r="D39" s="25">
        <f>+'Entrate tot e finalizzati'!D39-'Entrate tot e finalizzati'!E39</f>
        <v>3108</v>
      </c>
      <c r="E39" s="25">
        <f>+'Entrate tot e finalizzati'!F39-'Entrate tot e finalizzati'!G39</f>
        <v>3108</v>
      </c>
      <c r="F39" s="25">
        <f>+'Entrate tot e finalizzati'!H39-'Entrate tot e finalizzati'!I39</f>
        <v>3172</v>
      </c>
      <c r="G39" s="25">
        <f>+'Entrate tot e finalizzati'!J39-'Entrate tot e finalizzati'!K39</f>
        <v>3192</v>
      </c>
      <c r="H39" s="23">
        <f>+'Entrate tot e finalizzati'!L39-'Entrate tot e finalizzati'!M39</f>
        <v>3192</v>
      </c>
      <c r="I39" s="23">
        <f>+'Entrate tot e finalizzati'!N39-'Entrate tot e finalizzati'!O39</f>
        <v>7069</v>
      </c>
      <c r="J39" s="23">
        <f>+'Entrate tot e finalizzati'!P39-'Entrate tot e finalizzati'!Q39</f>
        <v>6522</v>
      </c>
      <c r="K39" s="23">
        <f>+'Entrate tot e finalizzati'!R39-'Entrate tot e finalizzati'!S39</f>
        <v>5133</v>
      </c>
      <c r="L39" s="23">
        <f>+'Entrate tot e finalizzati'!T39-'Entrate tot e finalizzati'!U39</f>
        <v>6070</v>
      </c>
    </row>
    <row r="40" spans="1:12" s="2" customFormat="1" ht="12.75">
      <c r="A40" s="28" t="s">
        <v>1</v>
      </c>
      <c r="B40" s="29"/>
      <c r="C40" s="32"/>
      <c r="D40" s="30">
        <f>+'Entrate tot e finalizzati'!D40-'Entrate tot e finalizzati'!E40</f>
        <v>1907</v>
      </c>
      <c r="E40" s="30">
        <f>+'Entrate tot e finalizzati'!F40-'Entrate tot e finalizzati'!G40</f>
        <v>1578</v>
      </c>
      <c r="F40" s="30">
        <f>+'Entrate tot e finalizzati'!H40-'Entrate tot e finalizzati'!I40</f>
        <v>2119</v>
      </c>
      <c r="G40" s="30">
        <f>+'Entrate tot e finalizzati'!J40-'Entrate tot e finalizzati'!K40</f>
        <v>1211</v>
      </c>
      <c r="H40" s="30">
        <f>+'Entrate tot e finalizzati'!L40-'Entrate tot e finalizzati'!M40</f>
        <v>1428</v>
      </c>
      <c r="I40" s="30">
        <f>+'Entrate tot e finalizzati'!N40-'Entrate tot e finalizzati'!O40</f>
        <v>1133</v>
      </c>
      <c r="J40" s="30">
        <f>+'Entrate tot e finalizzati'!P40-'Entrate tot e finalizzati'!Q40</f>
        <v>1750</v>
      </c>
      <c r="K40" s="30">
        <f>+'Entrate tot e finalizzati'!R40-'Entrate tot e finalizzati'!S40</f>
        <v>2017</v>
      </c>
      <c r="L40" s="30">
        <f>+'Entrate tot e finalizzati'!T40-'Entrate tot e finalizzati'!U40</f>
        <v>1520</v>
      </c>
    </row>
    <row r="41" spans="1:12" s="2" customFormat="1" ht="12.75">
      <c r="A41" s="57"/>
      <c r="B41" s="10" t="s">
        <v>24</v>
      </c>
      <c r="C41"/>
      <c r="D41" s="25">
        <f>+'Entrate tot e finalizzati'!D41-'Entrate tot e finalizzati'!E41</f>
        <v>1901</v>
      </c>
      <c r="E41" s="25">
        <f>+'Entrate tot e finalizzati'!F41-'Entrate tot e finalizzati'!G41</f>
        <v>1576</v>
      </c>
      <c r="F41" s="25">
        <f>+'Entrate tot e finalizzati'!H41-'Entrate tot e finalizzati'!I41</f>
        <v>2097</v>
      </c>
      <c r="G41" s="25">
        <f>+'Entrate tot e finalizzati'!J41-'Entrate tot e finalizzati'!K41</f>
        <v>1206</v>
      </c>
      <c r="H41" s="23">
        <f>+'Entrate tot e finalizzati'!L41-'Entrate tot e finalizzati'!M41</f>
        <v>1421</v>
      </c>
      <c r="I41" s="23">
        <f>+'Entrate tot e finalizzati'!N41-'Entrate tot e finalizzati'!O41</f>
        <v>1114</v>
      </c>
      <c r="J41" s="23">
        <f>+'Entrate tot e finalizzati'!P41-'Entrate tot e finalizzati'!Q41</f>
        <v>1750</v>
      </c>
      <c r="K41" s="23">
        <f>+'Entrate tot e finalizzati'!R41-'Entrate tot e finalizzati'!S41</f>
        <v>2017</v>
      </c>
      <c r="L41" s="23">
        <f>+'Entrate tot e finalizzati'!T41-'Entrate tot e finalizzati'!U41</f>
        <v>1520</v>
      </c>
    </row>
    <row r="42" spans="1:12" s="2" customFormat="1" ht="12.75">
      <c r="A42" s="57"/>
      <c r="B42" s="10" t="s">
        <v>19</v>
      </c>
      <c r="C42"/>
      <c r="D42" s="25">
        <f>+'Entrate tot e finalizzati'!D42-'Entrate tot e finalizzati'!E42</f>
        <v>6</v>
      </c>
      <c r="E42" s="25">
        <f>+'Entrate tot e finalizzati'!F42-'Entrate tot e finalizzati'!G42</f>
        <v>2</v>
      </c>
      <c r="F42" s="25">
        <f>+'Entrate tot e finalizzati'!H42-'Entrate tot e finalizzati'!I42</f>
        <v>22</v>
      </c>
      <c r="G42" s="25">
        <f>+'Entrate tot e finalizzati'!J42-'Entrate tot e finalizzati'!K42</f>
        <v>5</v>
      </c>
      <c r="H42" s="23">
        <f>+'Entrate tot e finalizzati'!L42-'Entrate tot e finalizzati'!M42</f>
        <v>7</v>
      </c>
      <c r="I42" s="23">
        <f>+'Entrate tot e finalizzati'!N42-'Entrate tot e finalizzati'!O42</f>
        <v>19</v>
      </c>
      <c r="J42" s="23">
        <f>+'Entrate tot e finalizzati'!P42-'Entrate tot e finalizzati'!Q42</f>
        <v>0</v>
      </c>
      <c r="K42" s="23">
        <f>+'Entrate tot e finalizzati'!R42-'Entrate tot e finalizzati'!S42</f>
        <v>0</v>
      </c>
      <c r="L42" s="23">
        <f>+'Entrate tot e finalizzati'!T42-'Entrate tot e finalizzati'!U42</f>
        <v>0</v>
      </c>
    </row>
    <row r="43" spans="1:12" s="2" customFormat="1" ht="12.75">
      <c r="A43" s="15"/>
      <c r="B43" s="38" t="s">
        <v>72</v>
      </c>
      <c r="C43"/>
      <c r="D43" s="25">
        <f>+'Entrate tot e finalizzati'!D43-'Entrate tot e finalizzati'!E43</f>
        <v>0</v>
      </c>
      <c r="E43" s="25">
        <f>+'Entrate tot e finalizzati'!F43-'Entrate tot e finalizzati'!G43</f>
        <v>0</v>
      </c>
      <c r="F43" s="25">
        <f>+'Entrate tot e finalizzati'!H43-'Entrate tot e finalizzati'!I43</f>
        <v>0</v>
      </c>
      <c r="G43" s="25">
        <f>+'Entrate tot e finalizzati'!J43-'Entrate tot e finalizzati'!K43</f>
        <v>0</v>
      </c>
      <c r="H43" s="23">
        <f>+'Entrate tot e finalizzati'!L43-'Entrate tot e finalizzati'!M43</f>
        <v>0</v>
      </c>
      <c r="I43" s="23">
        <f>+'Entrate tot e finalizzati'!N43-'Entrate tot e finalizzati'!O43</f>
        <v>0</v>
      </c>
      <c r="J43" s="23">
        <f>+'Entrate tot e finalizzati'!P43-'Entrate tot e finalizzati'!Q43</f>
        <v>0</v>
      </c>
      <c r="K43" s="23">
        <f>+'Entrate tot e finalizzati'!R43-'Entrate tot e finalizzati'!S43</f>
        <v>0</v>
      </c>
      <c r="L43" s="23">
        <f>+'Entrate tot e finalizzati'!T43-'Entrate tot e finalizzati'!U43</f>
        <v>0</v>
      </c>
    </row>
    <row r="44" spans="1:12" s="2" customFormat="1" ht="12.75">
      <c r="A44" s="28" t="s">
        <v>88</v>
      </c>
      <c r="B44" s="29"/>
      <c r="C44" s="32"/>
      <c r="D44" s="30">
        <f>+'Entrate tot e finalizzati'!D44-'Entrate tot e finalizzati'!E44</f>
        <v>327</v>
      </c>
      <c r="E44" s="30">
        <f>+'Entrate tot e finalizzati'!F44-'Entrate tot e finalizzati'!G44</f>
        <v>427</v>
      </c>
      <c r="F44" s="30">
        <f>+'Entrate tot e finalizzati'!H44-'Entrate tot e finalizzati'!I44</f>
        <v>288</v>
      </c>
      <c r="G44" s="30">
        <f>+'Entrate tot e finalizzati'!J44-'Entrate tot e finalizzati'!K44</f>
        <v>141</v>
      </c>
      <c r="H44" s="30">
        <f>+'Entrate tot e finalizzati'!L44-'Entrate tot e finalizzati'!M44</f>
        <v>94</v>
      </c>
      <c r="I44" s="30">
        <f>+'Entrate tot e finalizzati'!N44-'Entrate tot e finalizzati'!O44</f>
        <v>114</v>
      </c>
      <c r="J44" s="30">
        <f>+'Entrate tot e finalizzati'!P44-'Entrate tot e finalizzati'!Q44</f>
        <v>101</v>
      </c>
      <c r="K44" s="30">
        <f>+'Entrate tot e finalizzati'!R44-'Entrate tot e finalizzati'!S44</f>
        <v>81</v>
      </c>
      <c r="L44" s="30">
        <f>+'Entrate tot e finalizzati'!T44-'Entrate tot e finalizzati'!U44</f>
        <v>63</v>
      </c>
    </row>
    <row r="45" spans="1:12" s="2" customFormat="1" ht="12.75">
      <c r="A45" s="57"/>
      <c r="B45" s="38" t="s">
        <v>52</v>
      </c>
      <c r="D45" s="39">
        <f>+'Entrate tot e finalizzati'!D45-'Entrate tot e finalizzati'!E45</f>
        <v>204</v>
      </c>
      <c r="E45" s="39">
        <f>+'Entrate tot e finalizzati'!F45-'Entrate tot e finalizzati'!G45</f>
        <v>193</v>
      </c>
      <c r="F45" s="39">
        <f>+'Entrate tot e finalizzati'!H45-'Entrate tot e finalizzati'!I45</f>
        <v>190</v>
      </c>
      <c r="G45" s="39">
        <f>+'Entrate tot e finalizzati'!J45-'Entrate tot e finalizzati'!K45</f>
        <v>38</v>
      </c>
      <c r="H45" s="39">
        <f>+'Entrate tot e finalizzati'!L45-'Entrate tot e finalizzati'!M45</f>
        <v>8</v>
      </c>
      <c r="I45" s="39">
        <f>+'Entrate tot e finalizzati'!N45-'Entrate tot e finalizzati'!O45</f>
        <v>2</v>
      </c>
      <c r="J45" s="39">
        <f>+'Entrate tot e finalizzati'!P45-'Entrate tot e finalizzati'!Q45</f>
        <v>7</v>
      </c>
      <c r="K45" s="39">
        <f>+'Entrate tot e finalizzati'!R45-'Entrate tot e finalizzati'!S45</f>
        <v>3</v>
      </c>
      <c r="L45" s="39">
        <f>+'Entrate tot e finalizzati'!T45-'Entrate tot e finalizzati'!U45</f>
        <v>4</v>
      </c>
    </row>
    <row r="46" spans="1:12" s="2" customFormat="1" ht="12.75">
      <c r="A46" s="57"/>
      <c r="B46" s="38" t="s">
        <v>53</v>
      </c>
      <c r="D46" s="39">
        <f>+'Entrate tot e finalizzati'!D46-'Entrate tot e finalizzati'!E46</f>
        <v>123</v>
      </c>
      <c r="E46" s="39">
        <f>+'Entrate tot e finalizzati'!F46-'Entrate tot e finalizzati'!G46</f>
        <v>234</v>
      </c>
      <c r="F46" s="39">
        <f>+'Entrate tot e finalizzati'!H46-'Entrate tot e finalizzati'!I46</f>
        <v>98</v>
      </c>
      <c r="G46" s="39">
        <f>+'Entrate tot e finalizzati'!J46-'Entrate tot e finalizzati'!K46</f>
        <v>103</v>
      </c>
      <c r="H46" s="39">
        <f>+'Entrate tot e finalizzati'!L46-'Entrate tot e finalizzati'!M46</f>
        <v>86</v>
      </c>
      <c r="I46" s="39">
        <f>+'Entrate tot e finalizzati'!N46-'Entrate tot e finalizzati'!O46</f>
        <v>112</v>
      </c>
      <c r="J46" s="39">
        <f>+'Entrate tot e finalizzati'!P46-'Entrate tot e finalizzati'!Q46</f>
        <v>94</v>
      </c>
      <c r="K46" s="39">
        <f>+'Entrate tot e finalizzati'!R46-'Entrate tot e finalizzati'!S46</f>
        <v>78</v>
      </c>
      <c r="L46" s="39">
        <f>+'Entrate tot e finalizzati'!T46-'Entrate tot e finalizzati'!U46</f>
        <v>59</v>
      </c>
    </row>
    <row r="47" spans="1:12" s="2" customFormat="1" ht="12.75">
      <c r="A47" s="57"/>
      <c r="B47" s="38" t="s">
        <v>65</v>
      </c>
      <c r="D47" s="39">
        <f>+'Entrate tot e finalizzati'!D47-'Entrate tot e finalizzati'!E47</f>
        <v>0</v>
      </c>
      <c r="E47" s="39">
        <f>+'Entrate tot e finalizzati'!F47-'Entrate tot e finalizzati'!G47</f>
        <v>0</v>
      </c>
      <c r="F47" s="39">
        <f>+'Entrate tot e finalizzati'!H47-'Entrate tot e finalizzati'!I47</f>
        <v>0</v>
      </c>
      <c r="G47" s="39">
        <f>+'Entrate tot e finalizzati'!J47-'Entrate tot e finalizzati'!K47</f>
        <v>0</v>
      </c>
      <c r="H47" s="39">
        <f>+'Entrate tot e finalizzati'!L47-'Entrate tot e finalizzati'!M47</f>
        <v>0</v>
      </c>
      <c r="I47" s="39">
        <f>+'Entrate tot e finalizzati'!N47-'Entrate tot e finalizzati'!O47</f>
        <v>0</v>
      </c>
      <c r="J47" s="39">
        <f>+'Entrate tot e finalizzati'!P47-'Entrate tot e finalizzati'!Q47</f>
        <v>0</v>
      </c>
      <c r="K47" s="39">
        <f>+'Entrate tot e finalizzati'!R47-'Entrate tot e finalizzati'!S47</f>
        <v>0</v>
      </c>
      <c r="L47" s="39">
        <f>+'Entrate tot e finalizzati'!T47-'Entrate tot e finalizzati'!U47</f>
        <v>0</v>
      </c>
    </row>
    <row r="48" spans="1:12" s="2" customFormat="1" ht="12.75">
      <c r="A48" s="57"/>
      <c r="B48" s="38" t="s">
        <v>16</v>
      </c>
      <c r="D48" s="39">
        <f>+'Entrate tot e finalizzati'!D48-'Entrate tot e finalizzati'!E48</f>
        <v>0</v>
      </c>
      <c r="E48" s="39">
        <f>+'Entrate tot e finalizzati'!F48-'Entrate tot e finalizzati'!G48</f>
        <v>0</v>
      </c>
      <c r="F48" s="39">
        <f>+'Entrate tot e finalizzati'!H48-'Entrate tot e finalizzati'!I48</f>
        <v>0</v>
      </c>
      <c r="G48" s="39">
        <f>+'Entrate tot e finalizzati'!J48-'Entrate tot e finalizzati'!K48</f>
        <v>0</v>
      </c>
      <c r="H48" s="39">
        <f>+'Entrate tot e finalizzati'!L48-'Entrate tot e finalizzati'!M48</f>
        <v>0</v>
      </c>
      <c r="I48" s="39">
        <f>+'Entrate tot e finalizzati'!N48-'Entrate tot e finalizzati'!O48</f>
        <v>0</v>
      </c>
      <c r="J48" s="39">
        <f>+'Entrate tot e finalizzati'!P48-'Entrate tot e finalizzati'!Q48</f>
        <v>0</v>
      </c>
      <c r="K48" s="39">
        <f>+'Entrate tot e finalizzati'!R48-'Entrate tot e finalizzati'!S48</f>
        <v>0</v>
      </c>
      <c r="L48" s="39">
        <f>+'Entrate tot e finalizzati'!T48-'Entrate tot e finalizzati'!U48</f>
        <v>0</v>
      </c>
    </row>
    <row r="49" spans="1:12" s="2" customFormat="1" ht="12.75">
      <c r="A49" s="57"/>
      <c r="B49" s="38" t="s">
        <v>66</v>
      </c>
      <c r="D49" s="39">
        <f>+'Entrate tot e finalizzati'!D49-'Entrate tot e finalizzati'!E49</f>
        <v>0</v>
      </c>
      <c r="E49" s="39">
        <f>+'Entrate tot e finalizzati'!F49-'Entrate tot e finalizzati'!G49</f>
        <v>0</v>
      </c>
      <c r="F49" s="39">
        <f>+'Entrate tot e finalizzati'!H49-'Entrate tot e finalizzati'!I49</f>
        <v>0</v>
      </c>
      <c r="G49" s="39">
        <f>+'Entrate tot e finalizzati'!J49-'Entrate tot e finalizzati'!K49</f>
        <v>0</v>
      </c>
      <c r="H49" s="39">
        <f>+'Entrate tot e finalizzati'!L49-'Entrate tot e finalizzati'!M49</f>
        <v>0</v>
      </c>
      <c r="I49" s="39">
        <f>+'Entrate tot e finalizzati'!N49-'Entrate tot e finalizzati'!O49</f>
        <v>0</v>
      </c>
      <c r="J49" s="39">
        <f>+'Entrate tot e finalizzati'!P49-'Entrate tot e finalizzati'!Q49</f>
        <v>0</v>
      </c>
      <c r="K49" s="39">
        <f>+'Entrate tot e finalizzati'!R49-'Entrate tot e finalizzati'!S49</f>
        <v>0</v>
      </c>
      <c r="L49" s="39">
        <f>+'Entrate tot e finalizzati'!T49-'Entrate tot e finalizzati'!U49</f>
        <v>0</v>
      </c>
    </row>
    <row r="50" spans="1:12" s="42" customFormat="1" ht="12.75">
      <c r="A50" s="62"/>
      <c r="B50" s="16" t="s">
        <v>111</v>
      </c>
      <c r="C50" s="2"/>
      <c r="D50" s="39">
        <f>+'Entrate tot e finalizzati'!D50-'Entrate tot e finalizzati'!E50</f>
        <v>0</v>
      </c>
      <c r="E50" s="40">
        <f>+'Entrate tot e finalizzati'!F50-'Entrate tot e finalizzati'!G50</f>
        <v>0</v>
      </c>
      <c r="F50" s="39">
        <f>+'Entrate tot e finalizzati'!H50-'Entrate tot e finalizzati'!I50</f>
        <v>0</v>
      </c>
      <c r="G50" s="39">
        <f>+'Entrate tot e finalizzati'!J50-'Entrate tot e finalizzati'!K50</f>
        <v>0</v>
      </c>
      <c r="H50" s="39">
        <f>+'Entrate tot e finalizzati'!L50-'Entrate tot e finalizzati'!M50</f>
        <v>0</v>
      </c>
      <c r="I50" s="39">
        <f>+'Entrate tot e finalizzati'!N50-'Entrate tot e finalizzati'!O50</f>
        <v>0</v>
      </c>
      <c r="J50" s="39">
        <f>+'Entrate tot e finalizzati'!P50-'Entrate tot e finalizzati'!Q50</f>
        <v>0</v>
      </c>
      <c r="K50" s="39">
        <f>+'Entrate tot e finalizzati'!R50-'Entrate tot e finalizzati'!S50</f>
        <v>0</v>
      </c>
      <c r="L50" s="39">
        <f>+'Entrate tot e finalizzati'!T50-'Entrate tot e finalizzati'!U50</f>
        <v>0</v>
      </c>
    </row>
    <row r="51" spans="1:12" s="2" customFormat="1" ht="12.75">
      <c r="A51" s="28" t="s">
        <v>129</v>
      </c>
      <c r="B51" s="29"/>
      <c r="C51" s="32"/>
      <c r="D51" s="30">
        <f>+'Entrate tot e finalizzati'!D51-'Entrate tot e finalizzati'!E51</f>
        <v>124678</v>
      </c>
      <c r="E51" s="30">
        <f>+'Entrate tot e finalizzati'!F51-'Entrate tot e finalizzati'!G51</f>
        <v>116563</v>
      </c>
      <c r="F51" s="30">
        <f>+'Entrate tot e finalizzati'!H51-'Entrate tot e finalizzati'!I51</f>
        <v>113525</v>
      </c>
      <c r="G51" s="30">
        <f>+'Entrate tot e finalizzati'!J51-'Entrate tot e finalizzati'!K51</f>
        <v>123140</v>
      </c>
      <c r="H51" s="30">
        <f>+'Entrate tot e finalizzati'!L51-'Entrate tot e finalizzati'!M51</f>
        <v>130193</v>
      </c>
      <c r="I51" s="30">
        <f>+'Entrate tot e finalizzati'!N51-'Entrate tot e finalizzati'!O51</f>
        <v>143365</v>
      </c>
      <c r="J51" s="30">
        <f>+'Entrate tot e finalizzati'!P51-'Entrate tot e finalizzati'!Q51</f>
        <v>130926</v>
      </c>
      <c r="K51" s="30">
        <f>+'Entrate tot e finalizzati'!R51-'Entrate tot e finalizzati'!S51</f>
        <v>134112</v>
      </c>
      <c r="L51" s="30">
        <f>+'Entrate tot e finalizzati'!T51-'Entrate tot e finalizzati'!U51</f>
        <v>123920</v>
      </c>
    </row>
    <row r="52" spans="1:12" s="2" customFormat="1" ht="12.75">
      <c r="A52" s="57"/>
      <c r="B52" s="38" t="s">
        <v>25</v>
      </c>
      <c r="D52" s="39">
        <f>+'Entrate tot e finalizzati'!D52-'Entrate tot e finalizzati'!E52</f>
        <v>59440</v>
      </c>
      <c r="E52" s="39">
        <f>+'Entrate tot e finalizzati'!F52-'Entrate tot e finalizzati'!G52</f>
        <v>58487</v>
      </c>
      <c r="F52" s="39">
        <f>+'Entrate tot e finalizzati'!H52-'Entrate tot e finalizzati'!I52</f>
        <v>52570</v>
      </c>
      <c r="G52" s="39">
        <f>+'Entrate tot e finalizzati'!J52-'Entrate tot e finalizzati'!K52</f>
        <v>69381</v>
      </c>
      <c r="H52" s="39">
        <f>+'Entrate tot e finalizzati'!L52-'Entrate tot e finalizzati'!M52</f>
        <v>5982</v>
      </c>
      <c r="I52" s="39">
        <f>+'Entrate tot e finalizzati'!N52-'Entrate tot e finalizzati'!O52</f>
        <v>0</v>
      </c>
      <c r="J52" s="39">
        <f>+'Entrate tot e finalizzati'!P52-'Entrate tot e finalizzati'!Q52</f>
        <v>463</v>
      </c>
      <c r="K52" s="39">
        <f>+'Entrate tot e finalizzati'!R52-'Entrate tot e finalizzati'!S52</f>
        <v>8152</v>
      </c>
      <c r="L52" s="39">
        <f>+'Entrate tot e finalizzati'!T52-'Entrate tot e finalizzati'!U52</f>
        <v>10212</v>
      </c>
    </row>
    <row r="53" spans="1:12" s="2" customFormat="1" ht="12.75">
      <c r="A53" s="57"/>
      <c r="B53" s="38" t="s">
        <v>89</v>
      </c>
      <c r="D53" s="39">
        <f>+'Entrate tot e finalizzati'!D53-'Entrate tot e finalizzati'!E53</f>
        <v>0</v>
      </c>
      <c r="E53" s="39">
        <f>+'Entrate tot e finalizzati'!F53-'Entrate tot e finalizzati'!G53</f>
        <v>0</v>
      </c>
      <c r="F53" s="39">
        <f>+'Entrate tot e finalizzati'!H53-'Entrate tot e finalizzati'!I53</f>
        <v>0</v>
      </c>
      <c r="G53" s="39">
        <f>+'Entrate tot e finalizzati'!J53-'Entrate tot e finalizzati'!K53</f>
        <v>0</v>
      </c>
      <c r="H53" s="39">
        <f>+'Entrate tot e finalizzati'!L53-'Entrate tot e finalizzati'!M53</f>
        <v>64952</v>
      </c>
      <c r="I53" s="39">
        <f>+'Entrate tot e finalizzati'!N53-'Entrate tot e finalizzati'!O53</f>
        <v>91870</v>
      </c>
      <c r="J53" s="39">
        <f>+'Entrate tot e finalizzati'!P53-'Entrate tot e finalizzati'!Q53</f>
        <v>93361</v>
      </c>
      <c r="K53" s="39">
        <f>+'Entrate tot e finalizzati'!R53-'Entrate tot e finalizzati'!S53</f>
        <v>92691</v>
      </c>
      <c r="L53" s="39">
        <f>+'Entrate tot e finalizzati'!T53-'Entrate tot e finalizzati'!U53</f>
        <v>91684</v>
      </c>
    </row>
    <row r="54" spans="1:12" s="2" customFormat="1" ht="12.75">
      <c r="A54" s="57"/>
      <c r="B54" s="38" t="s">
        <v>123</v>
      </c>
      <c r="D54" s="39">
        <f>+'Entrate tot e finalizzati'!D54-'Entrate tot e finalizzati'!E54</f>
        <v>0</v>
      </c>
      <c r="E54" s="39">
        <f>+'Entrate tot e finalizzati'!F54-'Entrate tot e finalizzati'!G54</f>
        <v>0</v>
      </c>
      <c r="F54" s="39">
        <f>+'Entrate tot e finalizzati'!H54-'Entrate tot e finalizzati'!I54</f>
        <v>0</v>
      </c>
      <c r="G54" s="39">
        <f>+'Entrate tot e finalizzati'!J54-'Entrate tot e finalizzati'!K54</f>
        <v>0</v>
      </c>
      <c r="H54" s="39">
        <f>+'Entrate tot e finalizzati'!L54-'Entrate tot e finalizzati'!M54</f>
        <v>0</v>
      </c>
      <c r="I54" s="39">
        <f>+'Entrate tot e finalizzati'!N54-'Entrate tot e finalizzati'!O54</f>
        <v>0</v>
      </c>
      <c r="J54" s="39">
        <f>+'Entrate tot e finalizzati'!P54-'Entrate tot e finalizzati'!Q54</f>
        <v>0</v>
      </c>
      <c r="K54" s="39">
        <f>+'Entrate tot e finalizzati'!R54-'Entrate tot e finalizzati'!S54</f>
        <v>0</v>
      </c>
      <c r="L54" s="39">
        <f>+'Entrate tot e finalizzati'!T54-'Entrate tot e finalizzati'!U54</f>
        <v>234</v>
      </c>
    </row>
    <row r="55" spans="1:12" s="2" customFormat="1" ht="12.75">
      <c r="A55" s="57"/>
      <c r="B55" s="38" t="s">
        <v>26</v>
      </c>
      <c r="D55" s="39">
        <f>+'Entrate tot e finalizzati'!D55-'Entrate tot e finalizzati'!E55</f>
        <v>28398</v>
      </c>
      <c r="E55" s="39">
        <f>+'Entrate tot e finalizzati'!F55-'Entrate tot e finalizzati'!G55</f>
        <v>21531</v>
      </c>
      <c r="F55" s="39">
        <f>+'Entrate tot e finalizzati'!H55-'Entrate tot e finalizzati'!I55</f>
        <v>17029</v>
      </c>
      <c r="G55" s="39">
        <f>+'Entrate tot e finalizzati'!J55-'Entrate tot e finalizzati'!K55</f>
        <v>14691</v>
      </c>
      <c r="H55" s="39">
        <f>+'Entrate tot e finalizzati'!L55-'Entrate tot e finalizzati'!M55</f>
        <v>13496</v>
      </c>
      <c r="I55" s="39">
        <f>+'Entrate tot e finalizzati'!N55-'Entrate tot e finalizzati'!O55</f>
        <v>11156</v>
      </c>
      <c r="J55" s="39">
        <f>+'Entrate tot e finalizzati'!P55-'Entrate tot e finalizzati'!Q55</f>
        <v>2111</v>
      </c>
      <c r="K55" s="39">
        <f>+'Entrate tot e finalizzati'!R55-'Entrate tot e finalizzati'!S55</f>
        <v>1494</v>
      </c>
      <c r="L55" s="39">
        <f>+'Entrate tot e finalizzati'!T55-'Entrate tot e finalizzati'!U55</f>
        <v>1494</v>
      </c>
    </row>
    <row r="56" spans="1:12" s="2" customFormat="1" ht="12.75">
      <c r="A56" s="57"/>
      <c r="B56" s="38" t="s">
        <v>18</v>
      </c>
      <c r="D56" s="39">
        <f>+'Entrate tot e finalizzati'!D56-'Entrate tot e finalizzati'!E56</f>
        <v>0</v>
      </c>
      <c r="E56" s="39">
        <f>+'Entrate tot e finalizzati'!F56-'Entrate tot e finalizzati'!G56</f>
        <v>1</v>
      </c>
      <c r="F56" s="39">
        <f>+'Entrate tot e finalizzati'!H56-'Entrate tot e finalizzati'!I56</f>
        <v>0</v>
      </c>
      <c r="G56" s="39">
        <f>+'Entrate tot e finalizzati'!J56-'Entrate tot e finalizzati'!K56</f>
        <v>6</v>
      </c>
      <c r="H56" s="39">
        <f>+'Entrate tot e finalizzati'!L56-'Entrate tot e finalizzati'!M56</f>
        <v>10</v>
      </c>
      <c r="I56" s="39">
        <f>+'Entrate tot e finalizzati'!N56-'Entrate tot e finalizzati'!O56</f>
        <v>0</v>
      </c>
      <c r="J56" s="39">
        <f>+'Entrate tot e finalizzati'!P56-'Entrate tot e finalizzati'!Q56</f>
        <v>5</v>
      </c>
      <c r="K56" s="39">
        <f>+'Entrate tot e finalizzati'!R56-'Entrate tot e finalizzati'!S56</f>
        <v>0</v>
      </c>
      <c r="L56" s="39">
        <f>+'Entrate tot e finalizzati'!T56-'Entrate tot e finalizzati'!U56</f>
        <v>0</v>
      </c>
    </row>
    <row r="57" spans="1:12" s="2" customFormat="1" ht="12.75">
      <c r="A57" s="57"/>
      <c r="B57" s="38" t="s">
        <v>27</v>
      </c>
      <c r="D57" s="39">
        <f>+'Entrate tot e finalizzati'!D57-'Entrate tot e finalizzati'!E57</f>
        <v>0</v>
      </c>
      <c r="E57" s="39">
        <f>+'Entrate tot e finalizzati'!F57-'Entrate tot e finalizzati'!G57</f>
        <v>0</v>
      </c>
      <c r="F57" s="39">
        <f>+'Entrate tot e finalizzati'!H57-'Entrate tot e finalizzati'!I57</f>
        <v>0</v>
      </c>
      <c r="G57" s="39">
        <f>+'Entrate tot e finalizzati'!J57-'Entrate tot e finalizzati'!K57</f>
        <v>0</v>
      </c>
      <c r="H57" s="39">
        <f>+'Entrate tot e finalizzati'!L57-'Entrate tot e finalizzati'!M57</f>
        <v>0</v>
      </c>
      <c r="I57" s="39">
        <f>+'Entrate tot e finalizzati'!N57-'Entrate tot e finalizzati'!O57</f>
        <v>0</v>
      </c>
      <c r="J57" s="39">
        <f>+'Entrate tot e finalizzati'!P57-'Entrate tot e finalizzati'!Q57</f>
        <v>0</v>
      </c>
      <c r="K57" s="39">
        <f>+'Entrate tot e finalizzati'!R57-'Entrate tot e finalizzati'!S57</f>
        <v>0</v>
      </c>
      <c r="L57" s="39">
        <f>+'Entrate tot e finalizzati'!T57-'Entrate tot e finalizzati'!U57</f>
        <v>0</v>
      </c>
    </row>
    <row r="58" spans="1:12" s="2" customFormat="1" ht="12.75">
      <c r="A58" s="57"/>
      <c r="B58" s="38" t="s">
        <v>28</v>
      </c>
      <c r="D58" s="39">
        <f>+'Entrate tot e finalizzati'!D58-'Entrate tot e finalizzati'!E58</f>
        <v>558</v>
      </c>
      <c r="E58" s="39">
        <f>+'Entrate tot e finalizzati'!F58-'Entrate tot e finalizzati'!G58</f>
        <v>396</v>
      </c>
      <c r="F58" s="39">
        <f>+'Entrate tot e finalizzati'!H58-'Entrate tot e finalizzati'!I58</f>
        <v>4516</v>
      </c>
      <c r="G58" s="39">
        <f>+'Entrate tot e finalizzati'!J58-'Entrate tot e finalizzati'!K58</f>
        <v>3660</v>
      </c>
      <c r="H58" s="39">
        <f>+'Entrate tot e finalizzati'!L58-'Entrate tot e finalizzati'!M58</f>
        <v>2946</v>
      </c>
      <c r="I58" s="39">
        <f>+'Entrate tot e finalizzati'!N58-'Entrate tot e finalizzati'!O58</f>
        <v>2280</v>
      </c>
      <c r="J58" s="39">
        <f>+'Entrate tot e finalizzati'!P58-'Entrate tot e finalizzati'!Q58</f>
        <v>3381</v>
      </c>
      <c r="K58" s="39">
        <f>+'Entrate tot e finalizzati'!R58-'Entrate tot e finalizzati'!S58</f>
        <v>2663</v>
      </c>
      <c r="L58" s="39">
        <f>+'Entrate tot e finalizzati'!T58-'Entrate tot e finalizzati'!U58</f>
        <v>2829</v>
      </c>
    </row>
    <row r="59" spans="1:12" s="2" customFormat="1" ht="12.75">
      <c r="A59" s="57"/>
      <c r="B59" s="38" t="s">
        <v>29</v>
      </c>
      <c r="D59" s="39">
        <f>+'Entrate tot e finalizzati'!D59-'Entrate tot e finalizzati'!E59</f>
        <v>2868</v>
      </c>
      <c r="E59" s="39">
        <f>+'Entrate tot e finalizzati'!F59-'Entrate tot e finalizzati'!G59</f>
        <v>2723</v>
      </c>
      <c r="F59" s="39">
        <f>+'Entrate tot e finalizzati'!H59-'Entrate tot e finalizzati'!I59</f>
        <v>2374</v>
      </c>
      <c r="G59" s="39">
        <f>+'Entrate tot e finalizzati'!J59-'Entrate tot e finalizzati'!K59</f>
        <v>1639</v>
      </c>
      <c r="H59" s="39">
        <f>+'Entrate tot e finalizzati'!L59-'Entrate tot e finalizzati'!M59</f>
        <v>1353</v>
      </c>
      <c r="I59" s="39">
        <f>+'Entrate tot e finalizzati'!N59-'Entrate tot e finalizzati'!O59</f>
        <v>2117</v>
      </c>
      <c r="J59" s="39">
        <f>+'Entrate tot e finalizzati'!P59-'Entrate tot e finalizzati'!Q59</f>
        <v>150</v>
      </c>
      <c r="K59" s="39">
        <f>+'Entrate tot e finalizzati'!R59-'Entrate tot e finalizzati'!S59</f>
        <v>35</v>
      </c>
      <c r="L59" s="39">
        <f>+'Entrate tot e finalizzati'!T59-'Entrate tot e finalizzati'!U59</f>
        <v>27</v>
      </c>
    </row>
    <row r="60" spans="1:12" s="2" customFormat="1" ht="12.75">
      <c r="A60" s="57"/>
      <c r="B60" s="38" t="s">
        <v>34</v>
      </c>
      <c r="D60" s="39">
        <f>+'Entrate tot e finalizzati'!D60-'Entrate tot e finalizzati'!E60</f>
        <v>4403</v>
      </c>
      <c r="E60" s="39">
        <f>+'Entrate tot e finalizzati'!F60-'Entrate tot e finalizzati'!G60</f>
        <v>5127</v>
      </c>
      <c r="F60" s="39">
        <f>+'Entrate tot e finalizzati'!H60-'Entrate tot e finalizzati'!I60</f>
        <v>6177</v>
      </c>
      <c r="G60" s="39">
        <f>+'Entrate tot e finalizzati'!J60-'Entrate tot e finalizzati'!K60</f>
        <v>6126</v>
      </c>
      <c r="H60" s="39">
        <f>+'Entrate tot e finalizzati'!L60-'Entrate tot e finalizzati'!M60</f>
        <v>6266</v>
      </c>
      <c r="I60" s="39">
        <f>+'Entrate tot e finalizzati'!N60-'Entrate tot e finalizzati'!O60</f>
        <v>8382</v>
      </c>
      <c r="J60" s="39">
        <f>+'Entrate tot e finalizzati'!P60-'Entrate tot e finalizzati'!Q60</f>
        <v>8325</v>
      </c>
      <c r="K60" s="39">
        <f>+'Entrate tot e finalizzati'!R60-'Entrate tot e finalizzati'!S60</f>
        <v>12218</v>
      </c>
      <c r="L60" s="39">
        <f>+'Entrate tot e finalizzati'!T60-'Entrate tot e finalizzati'!U60</f>
        <v>3487</v>
      </c>
    </row>
    <row r="61" spans="1:12" s="2" customFormat="1" ht="12.75">
      <c r="A61" s="57"/>
      <c r="B61" s="38" t="s">
        <v>30</v>
      </c>
      <c r="D61" s="39">
        <f>+'Entrate tot e finalizzati'!D61-'Entrate tot e finalizzati'!E61</f>
        <v>15530</v>
      </c>
      <c r="E61" s="39">
        <f>+'Entrate tot e finalizzati'!F61-'Entrate tot e finalizzati'!G61</f>
        <v>15530</v>
      </c>
      <c r="F61" s="39">
        <f>+'Entrate tot e finalizzati'!H61-'Entrate tot e finalizzati'!I61</f>
        <v>15530</v>
      </c>
      <c r="G61" s="39">
        <f>+'Entrate tot e finalizzati'!J61-'Entrate tot e finalizzati'!K61</f>
        <v>15530</v>
      </c>
      <c r="H61" s="39">
        <f>+'Entrate tot e finalizzati'!L61-'Entrate tot e finalizzati'!M61</f>
        <v>15375</v>
      </c>
      <c r="I61" s="39">
        <f>+'Entrate tot e finalizzati'!N61-'Entrate tot e finalizzati'!O61</f>
        <v>0</v>
      </c>
      <c r="J61" s="39">
        <f>+'Entrate tot e finalizzati'!P61-'Entrate tot e finalizzati'!Q61</f>
        <v>0</v>
      </c>
      <c r="K61" s="39">
        <f>+'Entrate tot e finalizzati'!R61-'Entrate tot e finalizzati'!S61</f>
        <v>0</v>
      </c>
      <c r="L61" s="39">
        <f>+'Entrate tot e finalizzati'!T61-'Entrate tot e finalizzati'!U61</f>
        <v>0</v>
      </c>
    </row>
    <row r="62" spans="1:12" s="2" customFormat="1" ht="12.75">
      <c r="A62" s="57"/>
      <c r="B62" s="38" t="s">
        <v>31</v>
      </c>
      <c r="D62" s="39">
        <f>+'Entrate tot e finalizzati'!D62-'Entrate tot e finalizzati'!E62</f>
        <v>722</v>
      </c>
      <c r="E62" s="39">
        <f>+'Entrate tot e finalizzati'!F62-'Entrate tot e finalizzati'!G62</f>
        <v>722</v>
      </c>
      <c r="F62" s="39">
        <f>+'Entrate tot e finalizzati'!H62-'Entrate tot e finalizzati'!I62</f>
        <v>722</v>
      </c>
      <c r="G62" s="39">
        <f>+'Entrate tot e finalizzati'!J62-'Entrate tot e finalizzati'!K62</f>
        <v>722</v>
      </c>
      <c r="H62" s="39">
        <f>+'Entrate tot e finalizzati'!L62-'Entrate tot e finalizzati'!M62</f>
        <v>714</v>
      </c>
      <c r="I62" s="39">
        <f>+'Entrate tot e finalizzati'!N62-'Entrate tot e finalizzati'!O62</f>
        <v>0</v>
      </c>
      <c r="J62" s="39">
        <f>+'Entrate tot e finalizzati'!P62-'Entrate tot e finalizzati'!Q62</f>
        <v>0</v>
      </c>
      <c r="K62" s="39">
        <f>+'Entrate tot e finalizzati'!R62-'Entrate tot e finalizzati'!S62</f>
        <v>0</v>
      </c>
      <c r="L62" s="39">
        <f>+'Entrate tot e finalizzati'!T62-'Entrate tot e finalizzati'!U62</f>
        <v>0</v>
      </c>
    </row>
    <row r="63" spans="1:12" s="2" customFormat="1" ht="12.75">
      <c r="A63" s="57"/>
      <c r="B63" s="38" t="s">
        <v>36</v>
      </c>
      <c r="D63" s="39">
        <f>+'Entrate tot e finalizzati'!D63-'Entrate tot e finalizzati'!E63</f>
        <v>2</v>
      </c>
      <c r="E63" s="39">
        <f>+'Entrate tot e finalizzati'!F63-'Entrate tot e finalizzati'!G63</f>
        <v>2</v>
      </c>
      <c r="F63" s="39">
        <f>+'Entrate tot e finalizzati'!H63-'Entrate tot e finalizzati'!I63</f>
        <v>3614</v>
      </c>
      <c r="G63" s="39">
        <f>+'Entrate tot e finalizzati'!J63-'Entrate tot e finalizzati'!K63</f>
        <v>2</v>
      </c>
      <c r="H63" s="39">
        <f>+'Entrate tot e finalizzati'!L63-'Entrate tot e finalizzati'!M63</f>
        <v>2</v>
      </c>
      <c r="I63" s="39">
        <f>+'Entrate tot e finalizzati'!N63-'Entrate tot e finalizzati'!O63</f>
        <v>18</v>
      </c>
      <c r="J63" s="39">
        <f>+'Entrate tot e finalizzati'!P63-'Entrate tot e finalizzati'!Q63</f>
        <v>50</v>
      </c>
      <c r="K63" s="39">
        <f>+'Entrate tot e finalizzati'!R63-'Entrate tot e finalizzati'!S63</f>
        <v>27</v>
      </c>
      <c r="L63" s="39">
        <f>+'Entrate tot e finalizzati'!T63-'Entrate tot e finalizzati'!U63</f>
        <v>0</v>
      </c>
    </row>
    <row r="64" spans="1:12" s="2" customFormat="1" ht="12.75">
      <c r="A64" s="57"/>
      <c r="B64" s="38" t="s">
        <v>21</v>
      </c>
      <c r="D64" s="39">
        <f>+'Entrate tot e finalizzati'!D64-'Entrate tot e finalizzati'!E64</f>
        <v>493</v>
      </c>
      <c r="E64" s="39">
        <f>+'Entrate tot e finalizzati'!F64-'Entrate tot e finalizzati'!G64</f>
        <v>442</v>
      </c>
      <c r="F64" s="39">
        <f>+'Entrate tot e finalizzati'!H64-'Entrate tot e finalizzati'!I64</f>
        <v>194</v>
      </c>
      <c r="G64" s="39">
        <f>+'Entrate tot e finalizzati'!J64-'Entrate tot e finalizzati'!K64</f>
        <v>235</v>
      </c>
      <c r="H64" s="39">
        <f>+'Entrate tot e finalizzati'!L64-'Entrate tot e finalizzati'!M64</f>
        <v>261</v>
      </c>
      <c r="I64" s="39">
        <f>+'Entrate tot e finalizzati'!N64-'Entrate tot e finalizzati'!O64</f>
        <v>551</v>
      </c>
      <c r="J64" s="39">
        <f>+'Entrate tot e finalizzati'!P64-'Entrate tot e finalizzati'!Q64</f>
        <v>559</v>
      </c>
      <c r="K64" s="39">
        <f>+'Entrate tot e finalizzati'!R64-'Entrate tot e finalizzati'!S64</f>
        <v>321</v>
      </c>
      <c r="L64" s="39">
        <f>+'Entrate tot e finalizzati'!T64-'Entrate tot e finalizzati'!U64</f>
        <v>330</v>
      </c>
    </row>
    <row r="65" spans="1:12" s="2" customFormat="1" ht="12.75">
      <c r="A65" s="57"/>
      <c r="B65" s="38" t="s">
        <v>60</v>
      </c>
      <c r="D65" s="39">
        <f>+'Entrate tot e finalizzati'!D65-'Entrate tot e finalizzati'!E65</f>
        <v>0</v>
      </c>
      <c r="E65" s="39">
        <f>+'Entrate tot e finalizzati'!F65-'Entrate tot e finalizzati'!G65</f>
        <v>0</v>
      </c>
      <c r="F65" s="39">
        <f>+'Entrate tot e finalizzati'!H65-'Entrate tot e finalizzati'!I65</f>
        <v>0</v>
      </c>
      <c r="G65" s="39">
        <f>+'Entrate tot e finalizzati'!J65-'Entrate tot e finalizzati'!K65</f>
        <v>0</v>
      </c>
      <c r="H65" s="39">
        <f>+'Entrate tot e finalizzati'!L65-'Entrate tot e finalizzati'!M65</f>
        <v>0</v>
      </c>
      <c r="I65" s="39">
        <f>+'Entrate tot e finalizzati'!N65-'Entrate tot e finalizzati'!O65</f>
        <v>0</v>
      </c>
      <c r="J65" s="39">
        <f>+'Entrate tot e finalizzati'!P65-'Entrate tot e finalizzati'!Q65</f>
        <v>54</v>
      </c>
      <c r="K65" s="39">
        <f>+'Entrate tot e finalizzati'!R65-'Entrate tot e finalizzati'!S65</f>
        <v>11</v>
      </c>
      <c r="L65" s="39">
        <f>+'Entrate tot e finalizzati'!T65-'Entrate tot e finalizzati'!U65</f>
        <v>10</v>
      </c>
    </row>
    <row r="66" spans="1:12" s="2" customFormat="1" ht="12.75">
      <c r="A66" s="57"/>
      <c r="B66" s="38" t="s">
        <v>32</v>
      </c>
      <c r="D66" s="39">
        <f>+'Entrate tot e finalizzati'!D66-'Entrate tot e finalizzati'!E66</f>
        <v>1291</v>
      </c>
      <c r="E66" s="39">
        <f>+'Entrate tot e finalizzati'!F66-'Entrate tot e finalizzati'!G66</f>
        <v>1291</v>
      </c>
      <c r="F66" s="39">
        <f>+'Entrate tot e finalizzati'!H66-'Entrate tot e finalizzati'!I66</f>
        <v>1291</v>
      </c>
      <c r="G66" s="39">
        <f>+'Entrate tot e finalizzati'!J66-'Entrate tot e finalizzati'!K66</f>
        <v>1291</v>
      </c>
      <c r="H66" s="39">
        <f>+'Entrate tot e finalizzati'!L66-'Entrate tot e finalizzati'!M66</f>
        <v>430</v>
      </c>
      <c r="I66" s="39">
        <f>+'Entrate tot e finalizzati'!N66-'Entrate tot e finalizzati'!O66</f>
        <v>0</v>
      </c>
      <c r="J66" s="39">
        <f>+'Entrate tot e finalizzati'!P66-'Entrate tot e finalizzati'!Q66</f>
        <v>0</v>
      </c>
      <c r="K66" s="39">
        <f>+'Entrate tot e finalizzati'!R66-'Entrate tot e finalizzati'!S66</f>
        <v>0</v>
      </c>
      <c r="L66" s="39">
        <f>+'Entrate tot e finalizzati'!T66-'Entrate tot e finalizzati'!U66</f>
        <v>0</v>
      </c>
    </row>
    <row r="67" spans="1:12" s="2" customFormat="1" ht="12.75">
      <c r="A67" s="57"/>
      <c r="B67" s="38" t="s">
        <v>33</v>
      </c>
      <c r="D67" s="39">
        <f>+'Entrate tot e finalizzati'!D67-'Entrate tot e finalizzati'!E67</f>
        <v>4724</v>
      </c>
      <c r="E67" s="39">
        <f>+'Entrate tot e finalizzati'!F67-'Entrate tot e finalizzati'!G67</f>
        <v>6294</v>
      </c>
      <c r="F67" s="39">
        <f>+'Entrate tot e finalizzati'!H67-'Entrate tot e finalizzati'!I67</f>
        <v>4693</v>
      </c>
      <c r="G67" s="39">
        <f>+'Entrate tot e finalizzati'!J67-'Entrate tot e finalizzati'!K67</f>
        <v>5371</v>
      </c>
      <c r="H67" s="39">
        <f>+'Entrate tot e finalizzati'!L67-'Entrate tot e finalizzati'!M67</f>
        <v>2853</v>
      </c>
      <c r="I67" s="39">
        <f>+'Entrate tot e finalizzati'!N67-'Entrate tot e finalizzati'!O67</f>
        <v>4532</v>
      </c>
      <c r="J67" s="39">
        <f>+'Entrate tot e finalizzati'!P67-'Entrate tot e finalizzati'!Q67</f>
        <v>3832</v>
      </c>
      <c r="K67" s="39">
        <f>+'Entrate tot e finalizzati'!R67-'Entrate tot e finalizzati'!S67</f>
        <v>4617</v>
      </c>
      <c r="L67" s="39">
        <f>+'Entrate tot e finalizzati'!T67-'Entrate tot e finalizzati'!U67</f>
        <v>2499</v>
      </c>
    </row>
    <row r="68" spans="1:12" s="2" customFormat="1" ht="12.75">
      <c r="A68" s="57"/>
      <c r="B68" s="38" t="s">
        <v>14</v>
      </c>
      <c r="D68" s="39">
        <f>+'Entrate tot e finalizzati'!D68-'Entrate tot e finalizzati'!E68</f>
        <v>1378</v>
      </c>
      <c r="E68" s="39">
        <f>+'Entrate tot e finalizzati'!F68-'Entrate tot e finalizzati'!G68</f>
        <v>0</v>
      </c>
      <c r="F68" s="39">
        <f>+'Entrate tot e finalizzati'!H68-'Entrate tot e finalizzati'!I68</f>
        <v>0</v>
      </c>
      <c r="G68" s="39">
        <f>+'Entrate tot e finalizzati'!J68-'Entrate tot e finalizzati'!K68</f>
        <v>0</v>
      </c>
      <c r="H68" s="39">
        <f>+'Entrate tot e finalizzati'!L68-'Entrate tot e finalizzati'!M68</f>
        <v>0</v>
      </c>
      <c r="I68" s="39">
        <f>+'Entrate tot e finalizzati'!N68-'Entrate tot e finalizzati'!O68</f>
        <v>0</v>
      </c>
      <c r="J68" s="39">
        <f>+'Entrate tot e finalizzati'!P68-'Entrate tot e finalizzati'!Q68</f>
        <v>0</v>
      </c>
      <c r="K68" s="39">
        <f>+'Entrate tot e finalizzati'!R68-'Entrate tot e finalizzati'!S68</f>
        <v>0</v>
      </c>
      <c r="L68" s="39">
        <f>+'Entrate tot e finalizzati'!T68-'Entrate tot e finalizzati'!U68</f>
        <v>0</v>
      </c>
    </row>
    <row r="69" spans="1:12" s="2" customFormat="1" ht="12.75">
      <c r="A69" s="57"/>
      <c r="B69" s="38" t="s">
        <v>35</v>
      </c>
      <c r="D69" s="39">
        <f>+'Entrate tot e finalizzati'!D69-'Entrate tot e finalizzati'!E69</f>
        <v>3</v>
      </c>
      <c r="E69" s="39">
        <f>+'Entrate tot e finalizzati'!F69-'Entrate tot e finalizzati'!G69</f>
        <v>3</v>
      </c>
      <c r="F69" s="39">
        <f>+'Entrate tot e finalizzati'!H69-'Entrate tot e finalizzati'!I69</f>
        <v>1036</v>
      </c>
      <c r="G69" s="39">
        <f>+'Entrate tot e finalizzati'!J69-'Entrate tot e finalizzati'!K69</f>
        <v>1036</v>
      </c>
      <c r="H69" s="39">
        <f>+'Entrate tot e finalizzati'!L69-'Entrate tot e finalizzati'!M69</f>
        <v>12247</v>
      </c>
      <c r="I69" s="39">
        <f>+'Entrate tot e finalizzati'!N69-'Entrate tot e finalizzati'!O69</f>
        <v>19199</v>
      </c>
      <c r="J69" s="39">
        <f>+'Entrate tot e finalizzati'!P69-'Entrate tot e finalizzati'!Q69</f>
        <v>14238</v>
      </c>
      <c r="K69" s="39">
        <f>+'Entrate tot e finalizzati'!R69-'Entrate tot e finalizzati'!S69</f>
        <v>9270</v>
      </c>
      <c r="L69" s="39">
        <f>+'Entrate tot e finalizzati'!T69-'Entrate tot e finalizzati'!U69</f>
        <v>9676</v>
      </c>
    </row>
    <row r="70" spans="1:12" s="2" customFormat="1" ht="12.75">
      <c r="A70" s="57"/>
      <c r="B70" s="38" t="s">
        <v>53</v>
      </c>
      <c r="D70" s="39">
        <f>+'Entrate tot e finalizzati'!D70-'Entrate tot e finalizzati'!E70</f>
        <v>4868</v>
      </c>
      <c r="E70" s="39">
        <f>+'Entrate tot e finalizzati'!F70-'Entrate tot e finalizzati'!G70</f>
        <v>4014</v>
      </c>
      <c r="F70" s="39">
        <f>+'Entrate tot e finalizzati'!H70-'Entrate tot e finalizzati'!I70</f>
        <v>3779</v>
      </c>
      <c r="G70" s="39">
        <f>+'Entrate tot e finalizzati'!J70-'Entrate tot e finalizzati'!K70</f>
        <v>3450</v>
      </c>
      <c r="H70" s="39">
        <f>+'Entrate tot e finalizzati'!L70-'Entrate tot e finalizzati'!M70</f>
        <v>3306</v>
      </c>
      <c r="I70" s="39">
        <f>+'Entrate tot e finalizzati'!N70-'Entrate tot e finalizzati'!O70</f>
        <v>3260</v>
      </c>
      <c r="J70" s="39">
        <f>+'Entrate tot e finalizzati'!P70-'Entrate tot e finalizzati'!Q70</f>
        <v>1585</v>
      </c>
      <c r="K70" s="39">
        <f>+'Entrate tot e finalizzati'!R70-'Entrate tot e finalizzati'!S70</f>
        <v>1500</v>
      </c>
      <c r="L70" s="39">
        <f>+'Entrate tot e finalizzati'!T70-'Entrate tot e finalizzati'!U70</f>
        <v>1438</v>
      </c>
    </row>
    <row r="71" spans="1:12" s="2" customFormat="1" ht="12.75">
      <c r="A71" s="122"/>
      <c r="B71" s="63" t="s">
        <v>103</v>
      </c>
      <c r="D71" s="87">
        <f>+'Entrate tot e finalizzati'!D71-'Entrate tot e finalizzati'!E71</f>
        <v>0</v>
      </c>
      <c r="E71" s="98">
        <f>+'Entrate tot e finalizzati'!F71-'Entrate tot e finalizzati'!G71</f>
        <v>0</v>
      </c>
      <c r="F71" s="87">
        <f>+'Entrate tot e finalizzati'!H71-'Entrate tot e finalizzati'!I71</f>
        <v>0</v>
      </c>
      <c r="G71" s="87">
        <f>+'Entrate tot e finalizzati'!J71-'Entrate tot e finalizzati'!K71</f>
        <v>0</v>
      </c>
      <c r="H71" s="87">
        <f>+'Entrate tot e finalizzati'!L71-'Entrate tot e finalizzati'!M71</f>
        <v>0</v>
      </c>
      <c r="I71" s="87">
        <f>+'Entrate tot e finalizzati'!N71-'Entrate tot e finalizzati'!O71</f>
        <v>0</v>
      </c>
      <c r="J71" s="87">
        <f>+'Entrate tot e finalizzati'!P71-'Entrate tot e finalizzati'!Q71</f>
        <v>2812</v>
      </c>
      <c r="K71" s="87">
        <f>+'Entrate tot e finalizzati'!R71-'Entrate tot e finalizzati'!S71</f>
        <v>1113</v>
      </c>
      <c r="L71" s="87">
        <f>+'Entrate tot e finalizzati'!T71-'Entrate tot e finalizzati'!U71</f>
        <v>0</v>
      </c>
    </row>
    <row r="72" spans="1:12" s="2" customFormat="1" ht="12.75">
      <c r="A72" s="28" t="s">
        <v>130</v>
      </c>
      <c r="B72" s="29"/>
      <c r="C72" s="32"/>
      <c r="D72" s="30">
        <f>+'Entrate tot e finalizzati'!D72-'Entrate tot e finalizzati'!E72</f>
        <v>0</v>
      </c>
      <c r="E72" s="30">
        <f>+'Entrate tot e finalizzati'!F72-'Entrate tot e finalizzati'!G72</f>
        <v>0</v>
      </c>
      <c r="F72" s="30">
        <f>+'Entrate tot e finalizzati'!H72-'Entrate tot e finalizzati'!I72</f>
        <v>0</v>
      </c>
      <c r="G72" s="30">
        <f>+'Entrate tot e finalizzati'!J72-'Entrate tot e finalizzati'!K72</f>
        <v>0</v>
      </c>
      <c r="H72" s="30">
        <f>+'Entrate tot e finalizzati'!L72-'Entrate tot e finalizzati'!M72</f>
        <v>0</v>
      </c>
      <c r="I72" s="30">
        <f>+'Entrate tot e finalizzati'!N72-'Entrate tot e finalizzati'!O72</f>
        <v>0</v>
      </c>
      <c r="J72" s="30">
        <f>+'Entrate tot e finalizzati'!P72-'Entrate tot e finalizzati'!Q72</f>
        <v>0</v>
      </c>
      <c r="K72" s="30">
        <f>+'Entrate tot e finalizzati'!R72-'Entrate tot e finalizzati'!S72</f>
        <v>0</v>
      </c>
      <c r="L72" s="30">
        <f>+'Entrate tot e finalizzati'!T72-'Entrate tot e finalizzati'!U72</f>
        <v>0</v>
      </c>
    </row>
    <row r="73" spans="1:12" s="2" customFormat="1" ht="12.75">
      <c r="A73" s="9"/>
      <c r="B73" s="37" t="s">
        <v>17</v>
      </c>
      <c r="D73" s="87">
        <f>+'Entrate tot e finalizzati'!D73-'Entrate tot e finalizzati'!E73</f>
        <v>0</v>
      </c>
      <c r="E73" s="98">
        <f>+'Entrate tot e finalizzati'!F73-'Entrate tot e finalizzati'!G73</f>
        <v>0</v>
      </c>
      <c r="F73" s="87">
        <f>+'Entrate tot e finalizzati'!H73-'Entrate tot e finalizzati'!I73</f>
        <v>0</v>
      </c>
      <c r="G73" s="87">
        <f>+'Entrate tot e finalizzati'!J73-'Entrate tot e finalizzati'!K73</f>
        <v>0</v>
      </c>
      <c r="H73" s="87">
        <f>+'Entrate tot e finalizzati'!L73-'Entrate tot e finalizzati'!M73</f>
        <v>0</v>
      </c>
      <c r="I73" s="87">
        <f>+'Entrate tot e finalizzati'!N73-'Entrate tot e finalizzati'!O73</f>
        <v>0</v>
      </c>
      <c r="J73" s="87">
        <f>+'Entrate tot e finalizzati'!P73-'Entrate tot e finalizzati'!Q73</f>
        <v>0</v>
      </c>
      <c r="K73" s="87">
        <f>+'Entrate tot e finalizzati'!R73-'Entrate tot e finalizzati'!S73</f>
        <v>0</v>
      </c>
      <c r="L73" s="87">
        <f>+'Entrate tot e finalizzati'!T73-'Entrate tot e finalizzati'!U73</f>
        <v>0</v>
      </c>
    </row>
    <row r="74" spans="1:12" s="2" customFormat="1" ht="12.75">
      <c r="A74" s="9"/>
      <c r="B74" s="38" t="s">
        <v>66</v>
      </c>
      <c r="D74" s="87">
        <f>+'Entrate tot e finalizzati'!D74-'Entrate tot e finalizzati'!E74</f>
        <v>0</v>
      </c>
      <c r="E74" s="98">
        <f>+'Entrate tot e finalizzati'!F74-'Entrate tot e finalizzati'!G74</f>
        <v>0</v>
      </c>
      <c r="F74" s="87">
        <f>+'Entrate tot e finalizzati'!H74-'Entrate tot e finalizzati'!I74</f>
        <v>0</v>
      </c>
      <c r="G74" s="87">
        <f>+'Entrate tot e finalizzati'!J74-'Entrate tot e finalizzati'!K74</f>
        <v>0</v>
      </c>
      <c r="H74" s="87">
        <f>+'Entrate tot e finalizzati'!L74-'Entrate tot e finalizzati'!M74</f>
        <v>0</v>
      </c>
      <c r="I74" s="87">
        <f>+'Entrate tot e finalizzati'!N74-'Entrate tot e finalizzati'!O74</f>
        <v>0</v>
      </c>
      <c r="J74" s="87">
        <f>+'Entrate tot e finalizzati'!P74-'Entrate tot e finalizzati'!Q74</f>
        <v>0</v>
      </c>
      <c r="K74" s="87">
        <f>+'Entrate tot e finalizzati'!R74-'Entrate tot e finalizzati'!S74</f>
        <v>0</v>
      </c>
      <c r="L74" s="87">
        <f>+'Entrate tot e finalizzati'!T74-'Entrate tot e finalizzati'!U74</f>
        <v>0</v>
      </c>
    </row>
    <row r="75" spans="1:12" s="2" customFormat="1" ht="12.75">
      <c r="A75" s="9"/>
      <c r="B75" s="38" t="s">
        <v>72</v>
      </c>
      <c r="D75" s="104">
        <f>+'Entrate tot e finalizzati'!D75-'Entrate tot e finalizzati'!E75</f>
        <v>0</v>
      </c>
      <c r="E75" s="123">
        <f>+'Entrate tot e finalizzati'!F75-'Entrate tot e finalizzati'!G75</f>
        <v>0</v>
      </c>
      <c r="F75" s="104">
        <f>+'Entrate tot e finalizzati'!H75-'Entrate tot e finalizzati'!I75</f>
        <v>0</v>
      </c>
      <c r="G75" s="104">
        <f>+'Entrate tot e finalizzati'!J75-'Entrate tot e finalizzati'!K75</f>
        <v>0</v>
      </c>
      <c r="H75" s="104">
        <f>+'Entrate tot e finalizzati'!L75-'Entrate tot e finalizzati'!M75</f>
        <v>0</v>
      </c>
      <c r="I75" s="104">
        <f>+'Entrate tot e finalizzati'!N75-'Entrate tot e finalizzati'!O75</f>
        <v>0</v>
      </c>
      <c r="J75" s="104">
        <f>+'Entrate tot e finalizzati'!P75-'Entrate tot e finalizzati'!Q75</f>
        <v>0</v>
      </c>
      <c r="K75" s="104">
        <f>+'Entrate tot e finalizzati'!R75-'Entrate tot e finalizzati'!S75</f>
        <v>0</v>
      </c>
      <c r="L75" s="104">
        <f>+'Entrate tot e finalizzati'!T75-'Entrate tot e finalizzati'!U75</f>
        <v>0</v>
      </c>
    </row>
    <row r="76" spans="1:21" s="2" customFormat="1" ht="12.75">
      <c r="A76" s="93" t="s">
        <v>131</v>
      </c>
      <c r="B76" s="111"/>
      <c r="C76" s="127"/>
      <c r="D76" s="128">
        <f>+'Entrate tot e finalizzati'!D76-'Entrate tot e finalizzati'!E76</f>
        <v>276707</v>
      </c>
      <c r="E76" s="128">
        <f>+'Entrate tot e finalizzati'!F76-'Entrate tot e finalizzati'!G76</f>
        <v>276414</v>
      </c>
      <c r="F76" s="128">
        <f>+'Entrate tot e finalizzati'!H76-'Entrate tot e finalizzati'!I76</f>
        <v>287956</v>
      </c>
      <c r="G76" s="128">
        <f>+'Entrate tot e finalizzati'!J76-'Entrate tot e finalizzati'!K76</f>
        <v>282495</v>
      </c>
      <c r="H76" s="128">
        <f>+'Entrate tot e finalizzati'!L76-'Entrate tot e finalizzati'!M76</f>
        <v>298600</v>
      </c>
      <c r="I76" s="128">
        <f>+'Entrate tot e finalizzati'!N76-'Entrate tot e finalizzati'!O76</f>
        <v>308590</v>
      </c>
      <c r="J76" s="128">
        <f>+'Entrate tot e finalizzati'!P76-'Entrate tot e finalizzati'!Q76</f>
        <v>326666</v>
      </c>
      <c r="K76" s="128">
        <f>+'Entrate tot e finalizzati'!R76-'Entrate tot e finalizzati'!S76</f>
        <v>334218</v>
      </c>
      <c r="L76" s="128">
        <f>+'Entrate tot e finalizzati'!T76-'Entrate tot e finalizzati'!U76</f>
        <v>332833</v>
      </c>
      <c r="M76" s="128"/>
      <c r="N76" s="128"/>
      <c r="O76" s="128"/>
      <c r="P76" s="128"/>
      <c r="Q76" s="128"/>
      <c r="R76" s="128"/>
      <c r="S76" s="128"/>
      <c r="T76" s="128"/>
      <c r="U76" s="128"/>
    </row>
    <row r="77" spans="1:21" s="2" customFormat="1" ht="12.75">
      <c r="A77" s="91" t="s">
        <v>100</v>
      </c>
      <c r="B77" s="92"/>
      <c r="C77" s="32"/>
      <c r="D77" s="36">
        <f>+'Entrate tot e finalizzati'!D77-'Entrate tot e finalizzati'!E77</f>
        <v>409</v>
      </c>
      <c r="E77" s="36">
        <f>+'Entrate tot e finalizzati'!F77-'Entrate tot e finalizzati'!G77</f>
        <v>1009</v>
      </c>
      <c r="F77" s="36">
        <f>+'Entrate tot e finalizzati'!H77-'Entrate tot e finalizzati'!I77</f>
        <v>713</v>
      </c>
      <c r="G77" s="36">
        <f>+'Entrate tot e finalizzati'!J77-'Entrate tot e finalizzati'!K77</f>
        <v>771</v>
      </c>
      <c r="H77" s="36">
        <f>+'Entrate tot e finalizzati'!L77-'Entrate tot e finalizzati'!M77</f>
        <v>667</v>
      </c>
      <c r="I77" s="36">
        <f>+'Entrate tot e finalizzati'!N77-'Entrate tot e finalizzati'!O77</f>
        <v>214</v>
      </c>
      <c r="J77" s="36">
        <f>+'Entrate tot e finalizzati'!P77-'Entrate tot e finalizzati'!Q77</f>
        <v>420</v>
      </c>
      <c r="K77" s="36">
        <f>+'Entrate tot e finalizzati'!R77-'Entrate tot e finalizzati'!S77</f>
        <v>378</v>
      </c>
      <c r="L77" s="36">
        <f>+'Entrate tot e finalizzati'!T77-'Entrate tot e finalizzati'!U77</f>
        <v>534</v>
      </c>
      <c r="M77" s="36"/>
      <c r="N77" s="36"/>
      <c r="O77" s="36"/>
      <c r="P77" s="36"/>
      <c r="Q77" s="36"/>
      <c r="R77" s="36"/>
      <c r="S77" s="36"/>
      <c r="T77" s="36"/>
      <c r="U77" s="36"/>
    </row>
    <row r="78" spans="1:12" s="2" customFormat="1" ht="12.75">
      <c r="A78" s="57"/>
      <c r="B78" s="38" t="s">
        <v>32</v>
      </c>
      <c r="D78" s="87">
        <f>+'Entrate tot e finalizzati'!D78-'Entrate tot e finalizzati'!E78</f>
        <v>0</v>
      </c>
      <c r="E78" s="98">
        <f>+'Entrate tot e finalizzati'!F78-'Entrate tot e finalizzati'!G78</f>
        <v>0</v>
      </c>
      <c r="F78" s="87">
        <f>+'Entrate tot e finalizzati'!H78-'Entrate tot e finalizzati'!I78</f>
        <v>0</v>
      </c>
      <c r="G78" s="87">
        <f>+'Entrate tot e finalizzati'!J78-'Entrate tot e finalizzati'!K78</f>
        <v>207</v>
      </c>
      <c r="H78" s="87">
        <f>+'Entrate tot e finalizzati'!L78-'Entrate tot e finalizzati'!M78</f>
        <v>207</v>
      </c>
      <c r="I78" s="87">
        <f>+'Entrate tot e finalizzati'!N78-'Entrate tot e finalizzati'!O78</f>
        <v>0</v>
      </c>
      <c r="J78" s="87">
        <f>+'Entrate tot e finalizzati'!P78-'Entrate tot e finalizzati'!Q78</f>
        <v>0</v>
      </c>
      <c r="K78" s="87">
        <f>+'Entrate tot e finalizzati'!R78-'Entrate tot e finalizzati'!S78</f>
        <v>0</v>
      </c>
      <c r="L78" s="87">
        <f>+'Entrate tot e finalizzati'!T78-'Entrate tot e finalizzati'!U78</f>
        <v>0</v>
      </c>
    </row>
    <row r="79" spans="1:12" s="2" customFormat="1" ht="12.75">
      <c r="A79" s="57"/>
      <c r="B79" s="38" t="s">
        <v>72</v>
      </c>
      <c r="D79" s="87">
        <f>+'Entrate tot e finalizzati'!D79-'Entrate tot e finalizzati'!E79</f>
        <v>0</v>
      </c>
      <c r="E79" s="98">
        <f>+'Entrate tot e finalizzati'!F79-'Entrate tot e finalizzati'!G79</f>
        <v>0</v>
      </c>
      <c r="F79" s="87">
        <f>+'Entrate tot e finalizzati'!H79-'Entrate tot e finalizzati'!I79</f>
        <v>0</v>
      </c>
      <c r="G79" s="87">
        <f>+'Entrate tot e finalizzati'!J79-'Entrate tot e finalizzati'!K79</f>
        <v>0</v>
      </c>
      <c r="H79" s="87">
        <f>+'Entrate tot e finalizzati'!L79-'Entrate tot e finalizzati'!M79</f>
        <v>0</v>
      </c>
      <c r="I79" s="87">
        <f>+'Entrate tot e finalizzati'!N79-'Entrate tot e finalizzati'!O79</f>
        <v>0</v>
      </c>
      <c r="J79" s="87">
        <f>+'Entrate tot e finalizzati'!P79-'Entrate tot e finalizzati'!Q79</f>
        <v>0</v>
      </c>
      <c r="K79" s="87">
        <f>+'Entrate tot e finalizzati'!R79-'Entrate tot e finalizzati'!S79</f>
        <v>0</v>
      </c>
      <c r="L79" s="87">
        <f>+'Entrate tot e finalizzati'!T79-'Entrate tot e finalizzati'!U79</f>
        <v>0</v>
      </c>
    </row>
    <row r="80" spans="1:12" s="2" customFormat="1" ht="12.75">
      <c r="A80" s="57"/>
      <c r="B80" s="10" t="s">
        <v>24</v>
      </c>
      <c r="D80" s="87">
        <f>+'Entrate tot e finalizzati'!D80-'Entrate tot e finalizzati'!E80</f>
        <v>82</v>
      </c>
      <c r="E80" s="98">
        <f>+'Entrate tot e finalizzati'!F80-'Entrate tot e finalizzati'!G80</f>
        <v>232</v>
      </c>
      <c r="F80" s="87">
        <f>+'Entrate tot e finalizzati'!H80-'Entrate tot e finalizzati'!I80</f>
        <v>602</v>
      </c>
      <c r="G80" s="87">
        <f>+'Entrate tot e finalizzati'!J80-'Entrate tot e finalizzati'!K80</f>
        <v>564</v>
      </c>
      <c r="H80" s="87">
        <f>+'Entrate tot e finalizzati'!L80-'Entrate tot e finalizzati'!M80</f>
        <v>183</v>
      </c>
      <c r="I80" s="87">
        <f>+'Entrate tot e finalizzati'!N80-'Entrate tot e finalizzati'!O80</f>
        <v>163</v>
      </c>
      <c r="J80" s="87">
        <f>+'Entrate tot e finalizzati'!P80-'Entrate tot e finalizzati'!Q80</f>
        <v>283</v>
      </c>
      <c r="K80" s="87">
        <f>+'Entrate tot e finalizzati'!R80-'Entrate tot e finalizzati'!S80</f>
        <v>325</v>
      </c>
      <c r="L80" s="87">
        <f>+'Entrate tot e finalizzati'!T80-'Entrate tot e finalizzati'!U80</f>
        <v>534</v>
      </c>
    </row>
    <row r="81" spans="1:12" s="2" customFormat="1" ht="12.75">
      <c r="A81" s="57"/>
      <c r="B81" s="37" t="s">
        <v>19</v>
      </c>
      <c r="D81" s="87">
        <f>+'Entrate tot e finalizzati'!D81-'Entrate tot e finalizzati'!E81</f>
        <v>0</v>
      </c>
      <c r="E81" s="98">
        <f>+'Entrate tot e finalizzati'!F81-'Entrate tot e finalizzati'!G81</f>
        <v>0</v>
      </c>
      <c r="F81" s="87">
        <f>+'Entrate tot e finalizzati'!H81-'Entrate tot e finalizzati'!I81</f>
        <v>0</v>
      </c>
      <c r="G81" s="87">
        <f>+'Entrate tot e finalizzati'!J81-'Entrate tot e finalizzati'!K81</f>
        <v>0</v>
      </c>
      <c r="H81" s="87">
        <f>+'Entrate tot e finalizzati'!L81-'Entrate tot e finalizzati'!M81</f>
        <v>32</v>
      </c>
      <c r="I81" s="87">
        <f>+'Entrate tot e finalizzati'!N81-'Entrate tot e finalizzati'!O81</f>
        <v>51</v>
      </c>
      <c r="J81" s="87">
        <f>+'Entrate tot e finalizzati'!P81-'Entrate tot e finalizzati'!Q81</f>
        <v>29</v>
      </c>
      <c r="K81" s="87">
        <f>+'Entrate tot e finalizzati'!R81-'Entrate tot e finalizzati'!S81</f>
        <v>0</v>
      </c>
      <c r="L81" s="87">
        <f>+'Entrate tot e finalizzati'!T81-'Entrate tot e finalizzati'!U81</f>
        <v>0</v>
      </c>
    </row>
    <row r="82" spans="1:12" s="2" customFormat="1" ht="12.75">
      <c r="A82" s="57"/>
      <c r="B82" s="38" t="s">
        <v>35</v>
      </c>
      <c r="D82" s="87">
        <f>+'Entrate tot e finalizzati'!D82-'Entrate tot e finalizzati'!E82</f>
        <v>2</v>
      </c>
      <c r="E82" s="98">
        <f>+'Entrate tot e finalizzati'!F82-'Entrate tot e finalizzati'!G82</f>
        <v>2</v>
      </c>
      <c r="F82" s="87">
        <f>+'Entrate tot e finalizzati'!H82-'Entrate tot e finalizzati'!I82</f>
        <v>0</v>
      </c>
      <c r="G82" s="87">
        <f>+'Entrate tot e finalizzati'!J82-'Entrate tot e finalizzati'!K82</f>
        <v>0</v>
      </c>
      <c r="H82" s="87">
        <f>+'Entrate tot e finalizzati'!L82-'Entrate tot e finalizzati'!M82</f>
        <v>0</v>
      </c>
      <c r="I82" s="87">
        <f>+'Entrate tot e finalizzati'!N82-'Entrate tot e finalizzati'!O82</f>
        <v>0</v>
      </c>
      <c r="J82" s="87">
        <f>+'Entrate tot e finalizzati'!P82-'Entrate tot e finalizzati'!Q82</f>
        <v>0</v>
      </c>
      <c r="K82" s="87">
        <f>+'Entrate tot e finalizzati'!R82-'Entrate tot e finalizzati'!S82</f>
        <v>0</v>
      </c>
      <c r="L82" s="87">
        <f>+'Entrate tot e finalizzati'!T82-'Entrate tot e finalizzati'!U82</f>
        <v>0</v>
      </c>
    </row>
    <row r="83" spans="1:12" s="2" customFormat="1" ht="12.75">
      <c r="A83" s="57"/>
      <c r="B83" s="38" t="s">
        <v>111</v>
      </c>
      <c r="D83" s="87">
        <f>+'Entrate tot e finalizzati'!D83-'Entrate tot e finalizzati'!E83</f>
        <v>0</v>
      </c>
      <c r="E83" s="98">
        <f>+'Entrate tot e finalizzati'!F83-'Entrate tot e finalizzati'!G83</f>
        <v>0</v>
      </c>
      <c r="F83" s="87">
        <f>+'Entrate tot e finalizzati'!H83-'Entrate tot e finalizzati'!I83</f>
        <v>0</v>
      </c>
      <c r="G83" s="87">
        <f>+'Entrate tot e finalizzati'!J83-'Entrate tot e finalizzati'!K83</f>
        <v>0</v>
      </c>
      <c r="H83" s="87">
        <f>+'Entrate tot e finalizzati'!L83-'Entrate tot e finalizzati'!M83</f>
        <v>0</v>
      </c>
      <c r="I83" s="87">
        <f>+'Entrate tot e finalizzati'!N83-'Entrate tot e finalizzati'!O83</f>
        <v>0</v>
      </c>
      <c r="J83" s="87">
        <f>+'Entrate tot e finalizzati'!P83-'Entrate tot e finalizzati'!Q83</f>
        <v>0</v>
      </c>
      <c r="K83" s="87">
        <f>+'Entrate tot e finalizzati'!R83-'Entrate tot e finalizzati'!S83</f>
        <v>0</v>
      </c>
      <c r="L83" s="87">
        <f>+'Entrate tot e finalizzati'!T83-'Entrate tot e finalizzati'!U83</f>
        <v>0</v>
      </c>
    </row>
    <row r="84" spans="1:12" s="2" customFormat="1" ht="12.75">
      <c r="A84" s="57"/>
      <c r="B84" s="38" t="s">
        <v>14</v>
      </c>
      <c r="D84" s="87">
        <f>+'Entrate tot e finalizzati'!D84-'Entrate tot e finalizzati'!E84</f>
        <v>56</v>
      </c>
      <c r="E84" s="98">
        <f>+'Entrate tot e finalizzati'!F84-'Entrate tot e finalizzati'!G84</f>
        <v>0</v>
      </c>
      <c r="F84" s="87">
        <f>+'Entrate tot e finalizzati'!H84-'Entrate tot e finalizzati'!I84</f>
        <v>111</v>
      </c>
      <c r="G84" s="87">
        <f>+'Entrate tot e finalizzati'!J84-'Entrate tot e finalizzati'!K84</f>
        <v>0</v>
      </c>
      <c r="H84" s="87">
        <f>+'Entrate tot e finalizzati'!L84-'Entrate tot e finalizzati'!M84</f>
        <v>0</v>
      </c>
      <c r="I84" s="87">
        <f>+'Entrate tot e finalizzati'!N84-'Entrate tot e finalizzati'!O84</f>
        <v>0</v>
      </c>
      <c r="J84" s="87">
        <f>+'Entrate tot e finalizzati'!P84-'Entrate tot e finalizzati'!Q84</f>
        <v>108</v>
      </c>
      <c r="K84" s="87">
        <f>+'Entrate tot e finalizzati'!R84-'Entrate tot e finalizzati'!S84</f>
        <v>53</v>
      </c>
      <c r="L84" s="87">
        <f>+'Entrate tot e finalizzati'!T84-'Entrate tot e finalizzati'!U84</f>
        <v>0</v>
      </c>
    </row>
    <row r="85" spans="1:12" s="2" customFormat="1" ht="12.75">
      <c r="A85" s="62"/>
      <c r="B85" s="63" t="s">
        <v>64</v>
      </c>
      <c r="D85" s="87">
        <f>+'Entrate tot e finalizzati'!D85-'Entrate tot e finalizzati'!E85</f>
        <v>269</v>
      </c>
      <c r="E85" s="98">
        <f>+'Entrate tot e finalizzati'!F85-'Entrate tot e finalizzati'!G85</f>
        <v>775</v>
      </c>
      <c r="F85" s="87">
        <f>+'Entrate tot e finalizzati'!H85-'Entrate tot e finalizzati'!I85</f>
        <v>0</v>
      </c>
      <c r="G85" s="87">
        <f>+'Entrate tot e finalizzati'!J85-'Entrate tot e finalizzati'!K85</f>
        <v>0</v>
      </c>
      <c r="H85" s="87">
        <f>+'Entrate tot e finalizzati'!L85-'Entrate tot e finalizzati'!M85</f>
        <v>245</v>
      </c>
      <c r="I85" s="87">
        <f>+'Entrate tot e finalizzati'!N85-'Entrate tot e finalizzati'!O85</f>
        <v>0</v>
      </c>
      <c r="J85" s="87">
        <f>+'Entrate tot e finalizzati'!P85-'Entrate tot e finalizzati'!Q85</f>
        <v>0</v>
      </c>
      <c r="K85" s="87">
        <f>+'Entrate tot e finalizzati'!R85-'Entrate tot e finalizzati'!S85</f>
        <v>0</v>
      </c>
      <c r="L85" s="87">
        <f>+'Entrate tot e finalizzati'!T85-'Entrate tot e finalizzati'!U85</f>
        <v>0</v>
      </c>
    </row>
    <row r="86" spans="1:12" s="2" customFormat="1" ht="12.75">
      <c r="A86" s="28" t="s">
        <v>99</v>
      </c>
      <c r="B86" s="29"/>
      <c r="C86" s="32"/>
      <c r="D86" s="30">
        <f>+'Entrate tot e finalizzati'!D86-'Entrate tot e finalizzati'!E86</f>
        <v>12416</v>
      </c>
      <c r="E86" s="30">
        <f>+'Entrate tot e finalizzati'!F86-'Entrate tot e finalizzati'!G86</f>
        <v>13287</v>
      </c>
      <c r="F86" s="30">
        <f>+'Entrate tot e finalizzati'!H86-'Entrate tot e finalizzati'!I86</f>
        <v>14526</v>
      </c>
      <c r="G86" s="30">
        <f>+'Entrate tot e finalizzati'!J86-'Entrate tot e finalizzati'!K86</f>
        <v>13736</v>
      </c>
      <c r="H86" s="30">
        <f>+'Entrate tot e finalizzati'!L86-'Entrate tot e finalizzati'!M86</f>
        <v>15608</v>
      </c>
      <c r="I86" s="30">
        <f>+'Entrate tot e finalizzati'!N86-'Entrate tot e finalizzati'!O86</f>
        <v>18402</v>
      </c>
      <c r="J86" s="30">
        <f>+'Entrate tot e finalizzati'!P86-'Entrate tot e finalizzati'!Q86</f>
        <v>25804</v>
      </c>
      <c r="K86" s="30">
        <f>+'Entrate tot e finalizzati'!R86-'Entrate tot e finalizzati'!S86</f>
        <v>30478</v>
      </c>
      <c r="L86" s="30">
        <f>+'Entrate tot e finalizzati'!T86-'Entrate tot e finalizzati'!U86</f>
        <v>44489</v>
      </c>
    </row>
    <row r="87" spans="1:12" s="2" customFormat="1" ht="12.75">
      <c r="A87" s="76"/>
      <c r="B87" s="38" t="s">
        <v>36</v>
      </c>
      <c r="D87" s="87">
        <f>+'Entrate tot e finalizzati'!D87-'Entrate tot e finalizzati'!E87</f>
        <v>52</v>
      </c>
      <c r="E87" s="98">
        <f>+'Entrate tot e finalizzati'!F87-'Entrate tot e finalizzati'!G87</f>
        <v>2</v>
      </c>
      <c r="F87" s="87">
        <f>+'Entrate tot e finalizzati'!H87-'Entrate tot e finalizzati'!I87</f>
        <v>17</v>
      </c>
      <c r="G87" s="87">
        <f>+'Entrate tot e finalizzati'!J87-'Entrate tot e finalizzati'!K87</f>
        <v>31</v>
      </c>
      <c r="H87" s="87">
        <f>+'Entrate tot e finalizzati'!L87-'Entrate tot e finalizzati'!M87</f>
        <v>8</v>
      </c>
      <c r="I87" s="87">
        <f>+'Entrate tot e finalizzati'!N87-'Entrate tot e finalizzati'!O87</f>
        <v>3</v>
      </c>
      <c r="J87" s="87">
        <f>+'Entrate tot e finalizzati'!P87-'Entrate tot e finalizzati'!Q87</f>
        <v>0</v>
      </c>
      <c r="K87" s="87">
        <f>+'Entrate tot e finalizzati'!R87-'Entrate tot e finalizzati'!S87</f>
        <v>8</v>
      </c>
      <c r="L87" s="87">
        <f>+'Entrate tot e finalizzati'!T87-'Entrate tot e finalizzati'!U87</f>
        <v>3</v>
      </c>
    </row>
    <row r="88" spans="1:12" s="2" customFormat="1" ht="12.75">
      <c r="A88" s="15"/>
      <c r="B88" s="10" t="s">
        <v>28</v>
      </c>
      <c r="D88" s="87">
        <f>+'Entrate tot e finalizzati'!D88-'Entrate tot e finalizzati'!E88</f>
        <v>12</v>
      </c>
      <c r="E88" s="98">
        <f>+'Entrate tot e finalizzati'!F88-'Entrate tot e finalizzati'!G88</f>
        <v>7</v>
      </c>
      <c r="F88" s="87">
        <f>+'Entrate tot e finalizzati'!H88-'Entrate tot e finalizzati'!I88</f>
        <v>4</v>
      </c>
      <c r="G88" s="87">
        <f>+'Entrate tot e finalizzati'!J88-'Entrate tot e finalizzati'!K88</f>
        <v>2</v>
      </c>
      <c r="H88" s="87">
        <f>+'Entrate tot e finalizzati'!L88-'Entrate tot e finalizzati'!M88</f>
        <v>3</v>
      </c>
      <c r="I88" s="87">
        <f>+'Entrate tot e finalizzati'!N88-'Entrate tot e finalizzati'!O88</f>
        <v>14</v>
      </c>
      <c r="J88" s="87">
        <f>+'Entrate tot e finalizzati'!P88-'Entrate tot e finalizzati'!Q88</f>
        <v>1</v>
      </c>
      <c r="K88" s="87">
        <f>+'Entrate tot e finalizzati'!R88-'Entrate tot e finalizzati'!S88</f>
        <v>0</v>
      </c>
      <c r="L88" s="87">
        <f>+'Entrate tot e finalizzati'!T88-'Entrate tot e finalizzati'!U88</f>
        <v>0</v>
      </c>
    </row>
    <row r="89" spans="1:12" s="2" customFormat="1" ht="12.75">
      <c r="A89" s="15"/>
      <c r="B89" s="10" t="s">
        <v>65</v>
      </c>
      <c r="D89" s="87">
        <f>+'Entrate tot e finalizzati'!D89-'Entrate tot e finalizzati'!E89</f>
        <v>1029</v>
      </c>
      <c r="E89" s="98">
        <f>+'Entrate tot e finalizzati'!F89-'Entrate tot e finalizzati'!G89</f>
        <v>1229</v>
      </c>
      <c r="F89" s="87">
        <f>+'Entrate tot e finalizzati'!H89-'Entrate tot e finalizzati'!I89</f>
        <v>1515</v>
      </c>
      <c r="G89" s="87">
        <f>+'Entrate tot e finalizzati'!J89-'Entrate tot e finalizzati'!K89</f>
        <v>1298</v>
      </c>
      <c r="H89" s="87">
        <f>+'Entrate tot e finalizzati'!L89-'Entrate tot e finalizzati'!M89</f>
        <v>1286</v>
      </c>
      <c r="I89" s="87">
        <f>+'Entrate tot e finalizzati'!N89-'Entrate tot e finalizzati'!O89</f>
        <v>1693</v>
      </c>
      <c r="J89" s="87">
        <f>+'Entrate tot e finalizzati'!P89-'Entrate tot e finalizzati'!Q89</f>
        <v>2554</v>
      </c>
      <c r="K89" s="87">
        <f>+'Entrate tot e finalizzati'!R89-'Entrate tot e finalizzati'!S89</f>
        <v>3008</v>
      </c>
      <c r="L89" s="87">
        <f>+'Entrate tot e finalizzati'!T89-'Entrate tot e finalizzati'!U89</f>
        <v>5539</v>
      </c>
    </row>
    <row r="90" spans="1:12" s="2" customFormat="1" ht="12.75">
      <c r="A90" s="15"/>
      <c r="B90" s="38" t="s">
        <v>82</v>
      </c>
      <c r="D90" s="87">
        <f>+'Entrate tot e finalizzati'!D90-'Entrate tot e finalizzati'!E90</f>
        <v>879</v>
      </c>
      <c r="E90" s="98">
        <f>+'Entrate tot e finalizzati'!F90-'Entrate tot e finalizzati'!G90</f>
        <v>823</v>
      </c>
      <c r="F90" s="87">
        <f>+'Entrate tot e finalizzati'!H90-'Entrate tot e finalizzati'!I90</f>
        <v>989</v>
      </c>
      <c r="G90" s="87">
        <f>+'Entrate tot e finalizzati'!J90-'Entrate tot e finalizzati'!K90</f>
        <v>1486</v>
      </c>
      <c r="H90" s="87">
        <f>+'Entrate tot e finalizzati'!L90-'Entrate tot e finalizzati'!M90</f>
        <v>1233</v>
      </c>
      <c r="I90" s="87">
        <f>+'Entrate tot e finalizzati'!N90-'Entrate tot e finalizzati'!O90</f>
        <v>1486</v>
      </c>
      <c r="J90" s="87">
        <f>+'Entrate tot e finalizzati'!P90-'Entrate tot e finalizzati'!Q90</f>
        <v>1475</v>
      </c>
      <c r="K90" s="87">
        <f>+'Entrate tot e finalizzati'!R90-'Entrate tot e finalizzati'!S90</f>
        <v>1564</v>
      </c>
      <c r="L90" s="87">
        <f>+'Entrate tot e finalizzati'!T90-'Entrate tot e finalizzati'!U90</f>
        <v>1441</v>
      </c>
    </row>
    <row r="91" spans="1:12" s="2" customFormat="1" ht="12.75">
      <c r="A91" s="15"/>
      <c r="B91" s="10" t="s">
        <v>18</v>
      </c>
      <c r="D91" s="87">
        <f>+'Entrate tot e finalizzati'!D91-'Entrate tot e finalizzati'!E91</f>
        <v>30</v>
      </c>
      <c r="E91" s="98">
        <f>+'Entrate tot e finalizzati'!F91-'Entrate tot e finalizzati'!G91</f>
        <v>57</v>
      </c>
      <c r="F91" s="87">
        <f>+'Entrate tot e finalizzati'!H91-'Entrate tot e finalizzati'!I91</f>
        <v>98</v>
      </c>
      <c r="G91" s="87">
        <f>+'Entrate tot e finalizzati'!J91-'Entrate tot e finalizzati'!K91</f>
        <v>126</v>
      </c>
      <c r="H91" s="87">
        <f>+'Entrate tot e finalizzati'!L91-'Entrate tot e finalizzati'!M91</f>
        <v>99</v>
      </c>
      <c r="I91" s="87">
        <f>+'Entrate tot e finalizzati'!N91-'Entrate tot e finalizzati'!O91</f>
        <v>72</v>
      </c>
      <c r="J91" s="87">
        <f>+'Entrate tot e finalizzati'!P91-'Entrate tot e finalizzati'!Q91</f>
        <v>73</v>
      </c>
      <c r="K91" s="87">
        <f>+'Entrate tot e finalizzati'!R91-'Entrate tot e finalizzati'!S91</f>
        <v>66</v>
      </c>
      <c r="L91" s="87">
        <f>+'Entrate tot e finalizzati'!T91-'Entrate tot e finalizzati'!U91</f>
        <v>75</v>
      </c>
    </row>
    <row r="92" spans="1:12" s="2" customFormat="1" ht="12.75">
      <c r="A92" s="15"/>
      <c r="B92" s="6" t="s">
        <v>67</v>
      </c>
      <c r="D92" s="87">
        <f>+'Entrate tot e finalizzati'!D92-'Entrate tot e finalizzati'!E92</f>
        <v>0</v>
      </c>
      <c r="E92" s="98">
        <f>+'Entrate tot e finalizzati'!F92-'Entrate tot e finalizzati'!G92</f>
        <v>0</v>
      </c>
      <c r="F92" s="87">
        <f>+'Entrate tot e finalizzati'!H92-'Entrate tot e finalizzati'!I92</f>
        <v>0</v>
      </c>
      <c r="G92" s="87">
        <f>+'Entrate tot e finalizzati'!J92-'Entrate tot e finalizzati'!K92</f>
        <v>0</v>
      </c>
      <c r="H92" s="87">
        <f>+'Entrate tot e finalizzati'!L92-'Entrate tot e finalizzati'!M92</f>
        <v>0</v>
      </c>
      <c r="I92" s="87">
        <f>+'Entrate tot e finalizzati'!N92-'Entrate tot e finalizzati'!O92</f>
        <v>0</v>
      </c>
      <c r="J92" s="87">
        <f>+'Entrate tot e finalizzati'!P92-'Entrate tot e finalizzati'!Q92</f>
        <v>0</v>
      </c>
      <c r="K92" s="87">
        <f>+'Entrate tot e finalizzati'!R92-'Entrate tot e finalizzati'!S92</f>
        <v>0</v>
      </c>
      <c r="L92" s="87">
        <f>+'Entrate tot e finalizzati'!T92-'Entrate tot e finalizzati'!U92</f>
        <v>0</v>
      </c>
    </row>
    <row r="93" spans="1:12" s="2" customFormat="1" ht="12.75">
      <c r="A93" s="15"/>
      <c r="B93" s="10" t="s">
        <v>79</v>
      </c>
      <c r="D93" s="87">
        <f>+'Entrate tot e finalizzati'!D93-'Entrate tot e finalizzati'!E93</f>
        <v>10414</v>
      </c>
      <c r="E93" s="98">
        <f>+'Entrate tot e finalizzati'!F93-'Entrate tot e finalizzati'!G93</f>
        <v>11169</v>
      </c>
      <c r="F93" s="87">
        <f>+'Entrate tot e finalizzati'!H93-'Entrate tot e finalizzati'!I93</f>
        <v>11903</v>
      </c>
      <c r="G93" s="87">
        <f>+'Entrate tot e finalizzati'!J93-'Entrate tot e finalizzati'!K93</f>
        <v>0</v>
      </c>
      <c r="H93" s="87">
        <f>+'Entrate tot e finalizzati'!L93-'Entrate tot e finalizzati'!M93</f>
        <v>0</v>
      </c>
      <c r="I93" s="87">
        <f>+'Entrate tot e finalizzati'!N93-'Entrate tot e finalizzati'!O93</f>
        <v>0</v>
      </c>
      <c r="J93" s="87">
        <f>+'Entrate tot e finalizzati'!P93-'Entrate tot e finalizzati'!Q93</f>
        <v>0</v>
      </c>
      <c r="K93" s="87">
        <f>+'Entrate tot e finalizzati'!R93-'Entrate tot e finalizzati'!S93</f>
        <v>0</v>
      </c>
      <c r="L93" s="87">
        <f>+'Entrate tot e finalizzati'!T93-'Entrate tot e finalizzati'!U93</f>
        <v>0</v>
      </c>
    </row>
    <row r="94" spans="1:12" s="2" customFormat="1" ht="12.75">
      <c r="A94" s="54"/>
      <c r="B94" s="10" t="s">
        <v>80</v>
      </c>
      <c r="D94" s="87">
        <f>+'Entrate tot e finalizzati'!D94-'Entrate tot e finalizzati'!E94</f>
        <v>0</v>
      </c>
      <c r="E94" s="98">
        <f>+'Entrate tot e finalizzati'!F94-'Entrate tot e finalizzati'!G94</f>
        <v>0</v>
      </c>
      <c r="F94" s="87">
        <f>+'Entrate tot e finalizzati'!H94-'Entrate tot e finalizzati'!I94</f>
        <v>0</v>
      </c>
      <c r="G94" s="87">
        <f>+'Entrate tot e finalizzati'!J94-'Entrate tot e finalizzati'!K94</f>
        <v>9883</v>
      </c>
      <c r="H94" s="87">
        <f>+'Entrate tot e finalizzati'!L94-'Entrate tot e finalizzati'!M94</f>
        <v>11265</v>
      </c>
      <c r="I94" s="87">
        <f>+'Entrate tot e finalizzati'!N94-'Entrate tot e finalizzati'!O94</f>
        <v>13729</v>
      </c>
      <c r="J94" s="87">
        <f>+'Entrate tot e finalizzati'!P94-'Entrate tot e finalizzati'!Q94</f>
        <v>19527</v>
      </c>
      <c r="K94" s="87">
        <f>+'Entrate tot e finalizzati'!R94-'Entrate tot e finalizzati'!S94</f>
        <v>20450</v>
      </c>
      <c r="L94" s="87">
        <f>+'Entrate tot e finalizzati'!T94-'Entrate tot e finalizzati'!U94</f>
        <v>26195</v>
      </c>
    </row>
    <row r="95" spans="1:12" s="2" customFormat="1" ht="12.75">
      <c r="A95" s="15"/>
      <c r="B95" s="10" t="s">
        <v>81</v>
      </c>
      <c r="D95" s="87">
        <f>+'Entrate tot e finalizzati'!D95-'Entrate tot e finalizzati'!E95</f>
        <v>0</v>
      </c>
      <c r="E95" s="98">
        <f>+'Entrate tot e finalizzati'!F95-'Entrate tot e finalizzati'!G95</f>
        <v>0</v>
      </c>
      <c r="F95" s="87">
        <f>+'Entrate tot e finalizzati'!H95-'Entrate tot e finalizzati'!I95</f>
        <v>0</v>
      </c>
      <c r="G95" s="87">
        <f>+'Entrate tot e finalizzati'!J95-'Entrate tot e finalizzati'!K95</f>
        <v>910</v>
      </c>
      <c r="H95" s="87">
        <f>+'Entrate tot e finalizzati'!L95-'Entrate tot e finalizzati'!M95</f>
        <v>1713</v>
      </c>
      <c r="I95" s="87">
        <f>+'Entrate tot e finalizzati'!N95-'Entrate tot e finalizzati'!O95</f>
        <v>1405</v>
      </c>
      <c r="J95" s="87">
        <f>+'Entrate tot e finalizzati'!P95-'Entrate tot e finalizzati'!Q95</f>
        <v>2174</v>
      </c>
      <c r="K95" s="87">
        <f>+'Entrate tot e finalizzati'!R95-'Entrate tot e finalizzati'!S95</f>
        <v>5382</v>
      </c>
      <c r="L95" s="87">
        <f>+'Entrate tot e finalizzati'!T95-'Entrate tot e finalizzati'!U95</f>
        <v>11236</v>
      </c>
    </row>
    <row r="96" spans="1:12" s="2" customFormat="1" ht="12.75">
      <c r="A96" s="116"/>
      <c r="B96" s="16" t="s">
        <v>83</v>
      </c>
      <c r="D96" s="87">
        <f>+'Entrate tot e finalizzati'!D96-'Entrate tot e finalizzati'!E96</f>
        <v>0</v>
      </c>
      <c r="E96" s="98">
        <f>+'Entrate tot e finalizzati'!F96-'Entrate tot e finalizzati'!G96</f>
        <v>0</v>
      </c>
      <c r="F96" s="87">
        <f>+'Entrate tot e finalizzati'!H96-'Entrate tot e finalizzati'!I96</f>
        <v>0</v>
      </c>
      <c r="G96" s="87">
        <f>+'Entrate tot e finalizzati'!J96-'Entrate tot e finalizzati'!K96</f>
        <v>0</v>
      </c>
      <c r="H96" s="87">
        <f>+'Entrate tot e finalizzati'!L96-'Entrate tot e finalizzati'!M96</f>
        <v>1</v>
      </c>
      <c r="I96" s="87">
        <f>+'Entrate tot e finalizzati'!N96-'Entrate tot e finalizzati'!O96</f>
        <v>0</v>
      </c>
      <c r="J96" s="87">
        <f>+'Entrate tot e finalizzati'!P96-'Entrate tot e finalizzati'!Q96</f>
        <v>0</v>
      </c>
      <c r="K96" s="87">
        <f>+'Entrate tot e finalizzati'!R96-'Entrate tot e finalizzati'!S96</f>
        <v>0</v>
      </c>
      <c r="L96" s="87">
        <f>+'Entrate tot e finalizzati'!T96-'Entrate tot e finalizzati'!U96</f>
        <v>0</v>
      </c>
    </row>
    <row r="97" spans="1:12" s="2" customFormat="1" ht="12.75">
      <c r="A97" s="28" t="s">
        <v>12</v>
      </c>
      <c r="B97" s="29"/>
      <c r="C97" s="32"/>
      <c r="D97" s="30">
        <f>+'Entrate tot e finalizzati'!D97-'Entrate tot e finalizzati'!E97</f>
        <v>217059</v>
      </c>
      <c r="E97" s="30">
        <f>+'Entrate tot e finalizzati'!F97-'Entrate tot e finalizzati'!G97</f>
        <v>216716</v>
      </c>
      <c r="F97" s="30">
        <f>+'Entrate tot e finalizzati'!H97-'Entrate tot e finalizzati'!I97</f>
        <v>226912</v>
      </c>
      <c r="G97" s="30">
        <f>+'Entrate tot e finalizzati'!J97-'Entrate tot e finalizzati'!K97</f>
        <v>212885</v>
      </c>
      <c r="H97" s="30">
        <f>+'Entrate tot e finalizzati'!L97-'Entrate tot e finalizzati'!M97</f>
        <v>230377</v>
      </c>
      <c r="I97" s="30">
        <f>+'Entrate tot e finalizzati'!N97-'Entrate tot e finalizzati'!O97</f>
        <v>243738</v>
      </c>
      <c r="J97" s="30">
        <f>+'Entrate tot e finalizzati'!P97-'Entrate tot e finalizzati'!Q97</f>
        <v>251898</v>
      </c>
      <c r="K97" s="30">
        <f>+'Entrate tot e finalizzati'!R97-'Entrate tot e finalizzati'!S97</f>
        <v>253564</v>
      </c>
      <c r="L97" s="30">
        <f>+'Entrate tot e finalizzati'!T97-'Entrate tot e finalizzati'!U97</f>
        <v>252783</v>
      </c>
    </row>
    <row r="98" spans="1:12" s="2" customFormat="1" ht="12.75">
      <c r="A98" s="102"/>
      <c r="B98" s="38" t="s">
        <v>37</v>
      </c>
      <c r="C98" s="42"/>
      <c r="D98" s="87">
        <f>+'Entrate tot e finalizzati'!D98-'Entrate tot e finalizzati'!E98</f>
        <v>0</v>
      </c>
      <c r="E98" s="98">
        <f>+'Entrate tot e finalizzati'!F98-'Entrate tot e finalizzati'!G98</f>
        <v>134</v>
      </c>
      <c r="F98" s="87">
        <f>+'Entrate tot e finalizzati'!H98-'Entrate tot e finalizzati'!I98</f>
        <v>207</v>
      </c>
      <c r="G98" s="87">
        <f>+'Entrate tot e finalizzati'!J98-'Entrate tot e finalizzati'!K98</f>
        <v>142</v>
      </c>
      <c r="H98" s="87">
        <f>+'Entrate tot e finalizzati'!L98-'Entrate tot e finalizzati'!M98</f>
        <v>48</v>
      </c>
      <c r="I98" s="87">
        <f>+'Entrate tot e finalizzati'!N98-'Entrate tot e finalizzati'!O98</f>
        <v>39</v>
      </c>
      <c r="J98" s="87">
        <f>+'Entrate tot e finalizzati'!P98-'Entrate tot e finalizzati'!Q98</f>
        <v>29</v>
      </c>
      <c r="K98" s="87">
        <f>+'Entrate tot e finalizzati'!R98-'Entrate tot e finalizzati'!S98</f>
        <v>32</v>
      </c>
      <c r="L98" s="87">
        <f>+'Entrate tot e finalizzati'!T98-'Entrate tot e finalizzati'!U98</f>
        <v>45</v>
      </c>
    </row>
    <row r="99" spans="1:12" s="2" customFormat="1" ht="12.75">
      <c r="A99" s="102"/>
      <c r="B99" s="38" t="s">
        <v>38</v>
      </c>
      <c r="C99" s="42"/>
      <c r="D99" s="87">
        <f>+'Entrate tot e finalizzati'!D99-'Entrate tot e finalizzati'!E99</f>
        <v>132574</v>
      </c>
      <c r="E99" s="98">
        <f>+'Entrate tot e finalizzati'!F99-'Entrate tot e finalizzati'!G99</f>
        <v>132161</v>
      </c>
      <c r="F99" s="87">
        <f>+'Entrate tot e finalizzati'!H99-'Entrate tot e finalizzati'!I99</f>
        <v>131568</v>
      </c>
      <c r="G99" s="87">
        <f>+'Entrate tot e finalizzati'!J99-'Entrate tot e finalizzati'!K99</f>
        <v>130819</v>
      </c>
      <c r="H99" s="87">
        <f>+'Entrate tot e finalizzati'!L99-'Entrate tot e finalizzati'!M99</f>
        <v>130982</v>
      </c>
      <c r="I99" s="87">
        <f>+'Entrate tot e finalizzati'!N99-'Entrate tot e finalizzati'!O99</f>
        <v>131250</v>
      </c>
      <c r="J99" s="87">
        <f>+'Entrate tot e finalizzati'!P99-'Entrate tot e finalizzati'!Q99</f>
        <v>131700</v>
      </c>
      <c r="K99" s="87">
        <f>+'Entrate tot e finalizzati'!R99-'Entrate tot e finalizzati'!S99</f>
        <v>131519</v>
      </c>
      <c r="L99" s="87">
        <f>+'Entrate tot e finalizzati'!T99-'Entrate tot e finalizzati'!U99</f>
        <v>132773</v>
      </c>
    </row>
    <row r="100" spans="1:12" s="2" customFormat="1" ht="12.75">
      <c r="A100" s="102"/>
      <c r="B100" s="38" t="s">
        <v>91</v>
      </c>
      <c r="C100" s="42"/>
      <c r="D100" s="87">
        <f>+'Entrate tot e finalizzati'!D100-'Entrate tot e finalizzati'!E100</f>
        <v>0</v>
      </c>
      <c r="E100" s="98">
        <f>+'Entrate tot e finalizzati'!F100-'Entrate tot e finalizzati'!G100</f>
        <v>0</v>
      </c>
      <c r="F100" s="87">
        <f>+'Entrate tot e finalizzati'!H100-'Entrate tot e finalizzati'!I100</f>
        <v>0</v>
      </c>
      <c r="G100" s="87">
        <f>+'Entrate tot e finalizzati'!J100-'Entrate tot e finalizzati'!K100</f>
        <v>0</v>
      </c>
      <c r="H100" s="87">
        <f>+'Entrate tot e finalizzati'!L100-'Entrate tot e finalizzati'!M100</f>
        <v>0</v>
      </c>
      <c r="I100" s="87">
        <f>+'Entrate tot e finalizzati'!N100-'Entrate tot e finalizzati'!O100</f>
        <v>4350</v>
      </c>
      <c r="J100" s="87">
        <f>+'Entrate tot e finalizzati'!P100-'Entrate tot e finalizzati'!Q100</f>
        <v>3299</v>
      </c>
      <c r="K100" s="87">
        <f>+'Entrate tot e finalizzati'!R100-'Entrate tot e finalizzati'!S100</f>
        <v>3968</v>
      </c>
      <c r="L100" s="87">
        <f>+'Entrate tot e finalizzati'!T100-'Entrate tot e finalizzati'!U100</f>
        <v>2575</v>
      </c>
    </row>
    <row r="101" spans="1:12" s="2" customFormat="1" ht="12.75">
      <c r="A101" s="102"/>
      <c r="B101" s="38" t="s">
        <v>39</v>
      </c>
      <c r="C101" s="42"/>
      <c r="D101" s="87">
        <f>+'Entrate tot e finalizzati'!D101-'Entrate tot e finalizzati'!E101</f>
        <v>4324</v>
      </c>
      <c r="E101" s="98">
        <f>+'Entrate tot e finalizzati'!F101-'Entrate tot e finalizzati'!G101</f>
        <v>4414</v>
      </c>
      <c r="F101" s="87">
        <f>+'Entrate tot e finalizzati'!H101-'Entrate tot e finalizzati'!I101</f>
        <v>4400</v>
      </c>
      <c r="G101" s="87">
        <f>+'Entrate tot e finalizzati'!J101-'Entrate tot e finalizzati'!K101</f>
        <v>4544</v>
      </c>
      <c r="H101" s="87">
        <f>+'Entrate tot e finalizzati'!L101-'Entrate tot e finalizzati'!M101</f>
        <v>4596</v>
      </c>
      <c r="I101" s="87">
        <f>+'Entrate tot e finalizzati'!N101-'Entrate tot e finalizzati'!O101</f>
        <v>4882</v>
      </c>
      <c r="J101" s="87">
        <f>+'Entrate tot e finalizzati'!P101-'Entrate tot e finalizzati'!Q101</f>
        <v>4949</v>
      </c>
      <c r="K101" s="87">
        <f>+'Entrate tot e finalizzati'!R101-'Entrate tot e finalizzati'!S101</f>
        <v>4597</v>
      </c>
      <c r="L101" s="87">
        <f>+'Entrate tot e finalizzati'!T101-'Entrate tot e finalizzati'!U101</f>
        <v>5743</v>
      </c>
    </row>
    <row r="102" spans="1:12" s="2" customFormat="1" ht="12.75">
      <c r="A102" s="102"/>
      <c r="B102" s="38" t="s">
        <v>40</v>
      </c>
      <c r="C102" s="42"/>
      <c r="D102" s="87">
        <f>+'Entrate tot e finalizzati'!D102-'Entrate tot e finalizzati'!E102</f>
        <v>3763</v>
      </c>
      <c r="E102" s="98">
        <f>+'Entrate tot e finalizzati'!F102-'Entrate tot e finalizzati'!G102</f>
        <v>3942</v>
      </c>
      <c r="F102" s="87">
        <f>+'Entrate tot e finalizzati'!H102-'Entrate tot e finalizzati'!I102</f>
        <v>3396</v>
      </c>
      <c r="G102" s="87">
        <f>+'Entrate tot e finalizzati'!J102-'Entrate tot e finalizzati'!K102</f>
        <v>3523</v>
      </c>
      <c r="H102" s="87">
        <f>+'Entrate tot e finalizzati'!L102-'Entrate tot e finalizzati'!M102</f>
        <v>3615</v>
      </c>
      <c r="I102" s="87">
        <f>+'Entrate tot e finalizzati'!N102-'Entrate tot e finalizzati'!O102</f>
        <v>3615</v>
      </c>
      <c r="J102" s="87">
        <f>+'Entrate tot e finalizzati'!P102-'Entrate tot e finalizzati'!Q102</f>
        <v>4196</v>
      </c>
      <c r="K102" s="87">
        <f>+'Entrate tot e finalizzati'!R102-'Entrate tot e finalizzati'!S102</f>
        <v>3989</v>
      </c>
      <c r="L102" s="87">
        <f>+'Entrate tot e finalizzati'!T102-'Entrate tot e finalizzati'!U102</f>
        <v>3819</v>
      </c>
    </row>
    <row r="103" spans="1:12" s="2" customFormat="1" ht="12.75">
      <c r="A103" s="102"/>
      <c r="B103" s="38" t="s">
        <v>41</v>
      </c>
      <c r="C103" s="42"/>
      <c r="D103" s="87">
        <f>+'Entrate tot e finalizzati'!D103-'Entrate tot e finalizzati'!E103</f>
        <v>47651</v>
      </c>
      <c r="E103" s="98">
        <f>+'Entrate tot e finalizzati'!F103-'Entrate tot e finalizzati'!G103</f>
        <v>47956</v>
      </c>
      <c r="F103" s="87">
        <f>+'Entrate tot e finalizzati'!H103-'Entrate tot e finalizzati'!I103</f>
        <v>47800</v>
      </c>
      <c r="G103" s="87">
        <f>+'Entrate tot e finalizzati'!J103-'Entrate tot e finalizzati'!K103</f>
        <v>50305</v>
      </c>
      <c r="H103" s="87">
        <f>+'Entrate tot e finalizzati'!L103-'Entrate tot e finalizzati'!M103</f>
        <v>50004</v>
      </c>
      <c r="I103" s="87">
        <f>+'Entrate tot e finalizzati'!N103-'Entrate tot e finalizzati'!O103</f>
        <v>54233</v>
      </c>
      <c r="J103" s="87">
        <f>+'Entrate tot e finalizzati'!P103-'Entrate tot e finalizzati'!Q103</f>
        <v>57223</v>
      </c>
      <c r="K103" s="87">
        <f>+'Entrate tot e finalizzati'!R103-'Entrate tot e finalizzati'!S103</f>
        <v>58080</v>
      </c>
      <c r="L103" s="87">
        <f>+'Entrate tot e finalizzati'!T103-'Entrate tot e finalizzati'!U103</f>
        <v>59579</v>
      </c>
    </row>
    <row r="104" spans="1:12" s="2" customFormat="1" ht="12.75">
      <c r="A104" s="102"/>
      <c r="B104" s="38" t="s">
        <v>93</v>
      </c>
      <c r="C104" s="42"/>
      <c r="D104" s="87">
        <f>+'Entrate tot e finalizzati'!D104-'Entrate tot e finalizzati'!E104</f>
        <v>0</v>
      </c>
      <c r="E104" s="98">
        <f>+'Entrate tot e finalizzati'!F104-'Entrate tot e finalizzati'!G104</f>
        <v>0</v>
      </c>
      <c r="F104" s="87">
        <f>+'Entrate tot e finalizzati'!H104-'Entrate tot e finalizzati'!I104</f>
        <v>0</v>
      </c>
      <c r="G104" s="87">
        <f>+'Entrate tot e finalizzati'!J104-'Entrate tot e finalizzati'!K104</f>
        <v>0</v>
      </c>
      <c r="H104" s="87">
        <f>+'Entrate tot e finalizzati'!L104-'Entrate tot e finalizzati'!M104</f>
        <v>5760</v>
      </c>
      <c r="I104" s="87">
        <f>+'Entrate tot e finalizzati'!N104-'Entrate tot e finalizzati'!O104</f>
        <v>8344</v>
      </c>
      <c r="J104" s="87">
        <f>+'Entrate tot e finalizzati'!P104-'Entrate tot e finalizzati'!Q104</f>
        <v>13523</v>
      </c>
      <c r="K104" s="87">
        <f>+'Entrate tot e finalizzati'!R104-'Entrate tot e finalizzati'!S104</f>
        <v>10948</v>
      </c>
      <c r="L104" s="87">
        <f>+'Entrate tot e finalizzati'!T104-'Entrate tot e finalizzati'!U104</f>
        <v>6328</v>
      </c>
    </row>
    <row r="105" spans="1:12" s="2" customFormat="1" ht="12.75">
      <c r="A105" s="102"/>
      <c r="B105" s="38" t="s">
        <v>42</v>
      </c>
      <c r="C105" s="42"/>
      <c r="D105" s="87">
        <f>+'Entrate tot e finalizzati'!D105-'Entrate tot e finalizzati'!E105</f>
        <v>3607</v>
      </c>
      <c r="E105" s="98">
        <f>+'Entrate tot e finalizzati'!F105-'Entrate tot e finalizzati'!G105</f>
        <v>136</v>
      </c>
      <c r="F105" s="87">
        <f>+'Entrate tot e finalizzati'!H105-'Entrate tot e finalizzati'!I105</f>
        <v>71</v>
      </c>
      <c r="G105" s="87">
        <f>+'Entrate tot e finalizzati'!J105-'Entrate tot e finalizzati'!K105</f>
        <v>56</v>
      </c>
      <c r="H105" s="87">
        <f>+'Entrate tot e finalizzati'!L105-'Entrate tot e finalizzati'!M105</f>
        <v>23</v>
      </c>
      <c r="I105" s="87">
        <f>+'Entrate tot e finalizzati'!N105-'Entrate tot e finalizzati'!O105</f>
        <v>1</v>
      </c>
      <c r="J105" s="87">
        <f>+'Entrate tot e finalizzati'!P105-'Entrate tot e finalizzati'!Q105</f>
        <v>40</v>
      </c>
      <c r="K105" s="87">
        <f>+'Entrate tot e finalizzati'!R105-'Entrate tot e finalizzati'!S105</f>
        <v>43</v>
      </c>
      <c r="L105" s="87">
        <f>+'Entrate tot e finalizzati'!T105-'Entrate tot e finalizzati'!U105</f>
        <v>21</v>
      </c>
    </row>
    <row r="106" spans="1:12" s="2" customFormat="1" ht="12.75">
      <c r="A106" s="102"/>
      <c r="B106" s="38" t="s">
        <v>43</v>
      </c>
      <c r="C106" s="42"/>
      <c r="D106" s="87">
        <f>+'Entrate tot e finalizzati'!D106-'Entrate tot e finalizzati'!E106</f>
        <v>0</v>
      </c>
      <c r="E106" s="98">
        <f>+'Entrate tot e finalizzati'!F106-'Entrate tot e finalizzati'!G106</f>
        <v>0</v>
      </c>
      <c r="F106" s="87">
        <f>+'Entrate tot e finalizzati'!H106-'Entrate tot e finalizzati'!I106</f>
        <v>0</v>
      </c>
      <c r="G106" s="87">
        <f>+'Entrate tot e finalizzati'!J106-'Entrate tot e finalizzati'!K106</f>
        <v>0</v>
      </c>
      <c r="H106" s="87">
        <f>+'Entrate tot e finalizzati'!L106-'Entrate tot e finalizzati'!M106</f>
        <v>0</v>
      </c>
      <c r="I106" s="87">
        <f>+'Entrate tot e finalizzati'!N106-'Entrate tot e finalizzati'!O106</f>
        <v>0</v>
      </c>
      <c r="J106" s="87">
        <f>+'Entrate tot e finalizzati'!P106-'Entrate tot e finalizzati'!Q106</f>
        <v>0</v>
      </c>
      <c r="K106" s="87">
        <f>+'Entrate tot e finalizzati'!R106-'Entrate tot e finalizzati'!S106</f>
        <v>0</v>
      </c>
      <c r="L106" s="87">
        <f>+'Entrate tot e finalizzati'!T106-'Entrate tot e finalizzati'!U106</f>
        <v>0</v>
      </c>
    </row>
    <row r="107" spans="1:12" s="2" customFormat="1" ht="12.75">
      <c r="A107" s="102"/>
      <c r="B107" s="38" t="s">
        <v>44</v>
      </c>
      <c r="C107" s="42"/>
      <c r="D107" s="87">
        <f>+'Entrate tot e finalizzati'!D107-'Entrate tot e finalizzati'!E107</f>
        <v>883</v>
      </c>
      <c r="E107" s="98">
        <f>+'Entrate tot e finalizzati'!F107-'Entrate tot e finalizzati'!G107</f>
        <v>871</v>
      </c>
      <c r="F107" s="87">
        <f>+'Entrate tot e finalizzati'!H107-'Entrate tot e finalizzati'!I107</f>
        <v>869</v>
      </c>
      <c r="G107" s="87">
        <f>+'Entrate tot e finalizzati'!J107-'Entrate tot e finalizzati'!K107</f>
        <v>958</v>
      </c>
      <c r="H107" s="87">
        <f>+'Entrate tot e finalizzati'!L107-'Entrate tot e finalizzati'!M107</f>
        <v>962</v>
      </c>
      <c r="I107" s="87">
        <f>+'Entrate tot e finalizzati'!N107-'Entrate tot e finalizzati'!O107</f>
        <v>829</v>
      </c>
      <c r="J107" s="87">
        <f>+'Entrate tot e finalizzati'!P107-'Entrate tot e finalizzati'!Q107</f>
        <v>682</v>
      </c>
      <c r="K107" s="87">
        <f>+'Entrate tot e finalizzati'!R107-'Entrate tot e finalizzati'!S107</f>
        <v>809</v>
      </c>
      <c r="L107" s="87">
        <f>+'Entrate tot e finalizzati'!T107-'Entrate tot e finalizzati'!U107</f>
        <v>790</v>
      </c>
    </row>
    <row r="108" spans="1:12" s="2" customFormat="1" ht="12.75">
      <c r="A108" s="102"/>
      <c r="B108" s="38" t="s">
        <v>45</v>
      </c>
      <c r="C108" s="42"/>
      <c r="D108" s="87">
        <f>+'Entrate tot e finalizzati'!D108-'Entrate tot e finalizzati'!E108</f>
        <v>3742</v>
      </c>
      <c r="E108" s="98">
        <f>+'Entrate tot e finalizzati'!F108-'Entrate tot e finalizzati'!G108</f>
        <v>0</v>
      </c>
      <c r="F108" s="87">
        <f>+'Entrate tot e finalizzati'!H108-'Entrate tot e finalizzati'!I108</f>
        <v>487</v>
      </c>
      <c r="G108" s="87">
        <f>+'Entrate tot e finalizzati'!J108-'Entrate tot e finalizzati'!K108</f>
        <v>0</v>
      </c>
      <c r="H108" s="87">
        <f>+'Entrate tot e finalizzati'!L108-'Entrate tot e finalizzati'!M108</f>
        <v>0</v>
      </c>
      <c r="I108" s="87">
        <f>+'Entrate tot e finalizzati'!N108-'Entrate tot e finalizzati'!O108</f>
        <v>0</v>
      </c>
      <c r="J108" s="87">
        <f>+'Entrate tot e finalizzati'!P108-'Entrate tot e finalizzati'!Q108</f>
        <v>0</v>
      </c>
      <c r="K108" s="87">
        <f>+'Entrate tot e finalizzati'!R108-'Entrate tot e finalizzati'!S108</f>
        <v>0</v>
      </c>
      <c r="L108" s="87">
        <f>+'Entrate tot e finalizzati'!T108-'Entrate tot e finalizzati'!U108</f>
        <v>0</v>
      </c>
    </row>
    <row r="109" spans="1:12" s="2" customFormat="1" ht="12.75">
      <c r="A109" s="102"/>
      <c r="B109" s="38" t="s">
        <v>18</v>
      </c>
      <c r="C109" s="42"/>
      <c r="D109" s="87">
        <f>+'Entrate tot e finalizzati'!D109-'Entrate tot e finalizzati'!E109</f>
        <v>146</v>
      </c>
      <c r="E109" s="98">
        <f>+'Entrate tot e finalizzati'!F109-'Entrate tot e finalizzati'!G109</f>
        <v>156</v>
      </c>
      <c r="F109" s="87">
        <f>+'Entrate tot e finalizzati'!H109-'Entrate tot e finalizzati'!I109</f>
        <v>182</v>
      </c>
      <c r="G109" s="87">
        <f>+'Entrate tot e finalizzati'!J109-'Entrate tot e finalizzati'!K109</f>
        <v>237</v>
      </c>
      <c r="H109" s="87">
        <f>+'Entrate tot e finalizzati'!L109-'Entrate tot e finalizzati'!M109</f>
        <v>367</v>
      </c>
      <c r="I109" s="87">
        <f>+'Entrate tot e finalizzati'!N109-'Entrate tot e finalizzati'!O109</f>
        <v>306</v>
      </c>
      <c r="J109" s="87">
        <f>+'Entrate tot e finalizzati'!P109-'Entrate tot e finalizzati'!Q109</f>
        <v>443</v>
      </c>
      <c r="K109" s="87">
        <f>+'Entrate tot e finalizzati'!R109-'Entrate tot e finalizzati'!S109</f>
        <v>343</v>
      </c>
      <c r="L109" s="87">
        <f>+'Entrate tot e finalizzati'!T109-'Entrate tot e finalizzati'!U109</f>
        <v>433</v>
      </c>
    </row>
    <row r="110" spans="1:12" s="2" customFormat="1" ht="12.75">
      <c r="A110" s="102"/>
      <c r="B110" s="38" t="s">
        <v>47</v>
      </c>
      <c r="C110" s="42"/>
      <c r="D110" s="87">
        <f>+'Entrate tot e finalizzati'!D110-'Entrate tot e finalizzati'!E110</f>
        <v>5696</v>
      </c>
      <c r="E110" s="98">
        <f>+'Entrate tot e finalizzati'!F110-'Entrate tot e finalizzati'!G110</f>
        <v>5638</v>
      </c>
      <c r="F110" s="87">
        <f>+'Entrate tot e finalizzati'!H110-'Entrate tot e finalizzati'!I110</f>
        <v>5852</v>
      </c>
      <c r="G110" s="87">
        <f>+'Entrate tot e finalizzati'!J110-'Entrate tot e finalizzati'!K110</f>
        <v>5841</v>
      </c>
      <c r="H110" s="87">
        <f>+'Entrate tot e finalizzati'!L110-'Entrate tot e finalizzati'!M110</f>
        <v>6900</v>
      </c>
      <c r="I110" s="87">
        <f>+'Entrate tot e finalizzati'!N110-'Entrate tot e finalizzati'!O110</f>
        <v>7525</v>
      </c>
      <c r="J110" s="87">
        <f>+'Entrate tot e finalizzati'!P110-'Entrate tot e finalizzati'!Q110</f>
        <v>7790</v>
      </c>
      <c r="K110" s="87">
        <f>+'Entrate tot e finalizzati'!R110-'Entrate tot e finalizzati'!S110</f>
        <v>9242</v>
      </c>
      <c r="L110" s="87">
        <f>+'Entrate tot e finalizzati'!T110-'Entrate tot e finalizzati'!U110</f>
        <v>10983</v>
      </c>
    </row>
    <row r="111" spans="1:12" s="2" customFormat="1" ht="12.75">
      <c r="A111" s="102"/>
      <c r="B111" s="38" t="s">
        <v>33</v>
      </c>
      <c r="C111" s="42"/>
      <c r="D111" s="87">
        <f>+'Entrate tot e finalizzati'!D111-'Entrate tot e finalizzati'!E111</f>
        <v>0</v>
      </c>
      <c r="E111" s="98">
        <f>+'Entrate tot e finalizzati'!F111-'Entrate tot e finalizzati'!G111</f>
        <v>0</v>
      </c>
      <c r="F111" s="87">
        <f>+'Entrate tot e finalizzati'!H111-'Entrate tot e finalizzati'!I111</f>
        <v>0</v>
      </c>
      <c r="G111" s="87">
        <f>+'Entrate tot e finalizzati'!J111-'Entrate tot e finalizzati'!K111</f>
        <v>6</v>
      </c>
      <c r="H111" s="87">
        <f>+'Entrate tot e finalizzati'!L111-'Entrate tot e finalizzati'!M111</f>
        <v>1</v>
      </c>
      <c r="I111" s="87">
        <f>+'Entrate tot e finalizzati'!N111-'Entrate tot e finalizzati'!O111</f>
        <v>0</v>
      </c>
      <c r="J111" s="87">
        <f>+'Entrate tot e finalizzati'!P111-'Entrate tot e finalizzati'!Q111</f>
        <v>0</v>
      </c>
      <c r="K111" s="87">
        <f>+'Entrate tot e finalizzati'!R111-'Entrate tot e finalizzati'!S111</f>
        <v>0</v>
      </c>
      <c r="L111" s="87">
        <f>+'Entrate tot e finalizzati'!T111-'Entrate tot e finalizzati'!U111</f>
        <v>0</v>
      </c>
    </row>
    <row r="112" spans="1:12" s="2" customFormat="1" ht="12.75">
      <c r="A112" s="102"/>
      <c r="B112" s="38" t="s">
        <v>14</v>
      </c>
      <c r="D112" s="40">
        <f>+'Entrate tot e finalizzati'!D112-'Entrate tot e finalizzati'!E112</f>
        <v>64</v>
      </c>
      <c r="E112" s="40">
        <f>+'Entrate tot e finalizzati'!F112-'Entrate tot e finalizzati'!G112</f>
        <v>80</v>
      </c>
      <c r="F112" s="40">
        <f>+'Entrate tot e finalizzati'!H112-'Entrate tot e finalizzati'!I112</f>
        <v>21</v>
      </c>
      <c r="G112" s="40">
        <f>+'Entrate tot e finalizzati'!J112-'Entrate tot e finalizzati'!K112</f>
        <v>105</v>
      </c>
      <c r="H112" s="40">
        <f>+'Entrate tot e finalizzati'!L112-'Entrate tot e finalizzati'!M112</f>
        <v>0</v>
      </c>
      <c r="I112" s="40">
        <f>+'Entrate tot e finalizzati'!N112-'Entrate tot e finalizzati'!O112</f>
        <v>37</v>
      </c>
      <c r="J112" s="40">
        <f>+'Entrate tot e finalizzati'!P112-'Entrate tot e finalizzati'!Q112</f>
        <v>2</v>
      </c>
      <c r="K112" s="40">
        <f>+'Entrate tot e finalizzati'!R112-'Entrate tot e finalizzati'!S112</f>
        <v>304</v>
      </c>
      <c r="L112" s="40">
        <f>+'Entrate tot e finalizzati'!T112-'Entrate tot e finalizzati'!U112</f>
        <v>0</v>
      </c>
    </row>
    <row r="113" spans="1:12" s="2" customFormat="1" ht="12.75">
      <c r="A113" s="102"/>
      <c r="B113" s="38" t="s">
        <v>48</v>
      </c>
      <c r="D113" s="23">
        <f>+'Entrate tot e finalizzati'!D113-'Entrate tot e finalizzati'!E113</f>
        <v>14609</v>
      </c>
      <c r="E113" s="23">
        <f>+'Entrate tot e finalizzati'!F113-'Entrate tot e finalizzati'!G113</f>
        <v>14828</v>
      </c>
      <c r="F113" s="23">
        <f>+'Entrate tot e finalizzati'!H113-'Entrate tot e finalizzati'!I113</f>
        <v>15006</v>
      </c>
      <c r="G113" s="23">
        <f>+'Entrate tot e finalizzati'!J113-'Entrate tot e finalizzati'!K113</f>
        <v>0</v>
      </c>
      <c r="H113" s="23">
        <f>+'Entrate tot e finalizzati'!L113-'Entrate tot e finalizzati'!M113</f>
        <v>0</v>
      </c>
      <c r="I113" s="23">
        <f>+'Entrate tot e finalizzati'!N113-'Entrate tot e finalizzati'!O113</f>
        <v>0</v>
      </c>
      <c r="J113" s="23">
        <f>+'Entrate tot e finalizzati'!P113-'Entrate tot e finalizzati'!Q113</f>
        <v>0</v>
      </c>
      <c r="K113" s="23">
        <f>+'Entrate tot e finalizzati'!R113-'Entrate tot e finalizzati'!S113</f>
        <v>0</v>
      </c>
      <c r="L113" s="23">
        <f>+'Entrate tot e finalizzati'!T113-'Entrate tot e finalizzati'!U113</f>
        <v>0</v>
      </c>
    </row>
    <row r="114" spans="1:12" s="2" customFormat="1" ht="12.75">
      <c r="A114" s="102"/>
      <c r="B114" s="38" t="s">
        <v>49</v>
      </c>
      <c r="D114" s="23">
        <f>+'Entrate tot e finalizzati'!D114-'Entrate tot e finalizzati'!E114</f>
        <v>0</v>
      </c>
      <c r="E114" s="23">
        <f>+'Entrate tot e finalizzati'!F114-'Entrate tot e finalizzati'!G114</f>
        <v>0</v>
      </c>
      <c r="F114" s="23">
        <f>+'Entrate tot e finalizzati'!H114-'Entrate tot e finalizzati'!I114</f>
        <v>11362</v>
      </c>
      <c r="G114" s="23">
        <f>+'Entrate tot e finalizzati'!J114-'Entrate tot e finalizzati'!K114</f>
        <v>11362</v>
      </c>
      <c r="H114" s="23">
        <f>+'Entrate tot e finalizzati'!L114-'Entrate tot e finalizzati'!M114</f>
        <v>23422</v>
      </c>
      <c r="I114" s="23">
        <f>+'Entrate tot e finalizzati'!N114-'Entrate tot e finalizzati'!O114</f>
        <v>23422</v>
      </c>
      <c r="J114" s="23">
        <f>+'Entrate tot e finalizzati'!P114-'Entrate tot e finalizzati'!Q114</f>
        <v>23601</v>
      </c>
      <c r="K114" s="23">
        <f>+'Entrate tot e finalizzati'!R114-'Entrate tot e finalizzati'!S114</f>
        <v>24632</v>
      </c>
      <c r="L114" s="23">
        <f>+'Entrate tot e finalizzati'!T114-'Entrate tot e finalizzati'!U114</f>
        <v>25537</v>
      </c>
    </row>
    <row r="115" spans="1:12" s="2" customFormat="1" ht="12.75">
      <c r="A115" s="102"/>
      <c r="B115" s="38" t="s">
        <v>92</v>
      </c>
      <c r="D115" s="23">
        <f>+'Entrate tot e finalizzati'!D115-'Entrate tot e finalizzati'!E115</f>
        <v>0</v>
      </c>
      <c r="E115" s="23">
        <f>+'Entrate tot e finalizzati'!F115-'Entrate tot e finalizzati'!G115</f>
        <v>0</v>
      </c>
      <c r="F115" s="23">
        <f>+'Entrate tot e finalizzati'!H115-'Entrate tot e finalizzati'!I115</f>
        <v>0</v>
      </c>
      <c r="G115" s="23">
        <f>+'Entrate tot e finalizzati'!J115-'Entrate tot e finalizzati'!K115</f>
        <v>0</v>
      </c>
      <c r="H115" s="23">
        <f>+'Entrate tot e finalizzati'!L115-'Entrate tot e finalizzati'!M115</f>
        <v>0</v>
      </c>
      <c r="I115" s="23">
        <f>+'Entrate tot e finalizzati'!N115-'Entrate tot e finalizzati'!O115</f>
        <v>846</v>
      </c>
      <c r="J115" s="23">
        <f>+'Entrate tot e finalizzati'!P115-'Entrate tot e finalizzati'!Q115</f>
        <v>475</v>
      </c>
      <c r="K115" s="23">
        <f>+'Entrate tot e finalizzati'!R115-'Entrate tot e finalizzati'!S115</f>
        <v>870</v>
      </c>
      <c r="L115" s="23">
        <f>+'Entrate tot e finalizzati'!T115-'Entrate tot e finalizzati'!U115</f>
        <v>0</v>
      </c>
    </row>
    <row r="116" spans="1:12" s="2" customFormat="1" ht="12.75">
      <c r="A116" s="102"/>
      <c r="B116" s="38" t="s">
        <v>50</v>
      </c>
      <c r="D116" s="23">
        <f>+'Entrate tot e finalizzati'!D116-'Entrate tot e finalizzati'!E116</f>
        <v>0</v>
      </c>
      <c r="E116" s="23">
        <f>+'Entrate tot e finalizzati'!F116-'Entrate tot e finalizzati'!G116</f>
        <v>2585</v>
      </c>
      <c r="F116" s="23">
        <f>+'Entrate tot e finalizzati'!H116-'Entrate tot e finalizzati'!I116</f>
        <v>3346</v>
      </c>
      <c r="G116" s="23">
        <f>+'Entrate tot e finalizzati'!J116-'Entrate tot e finalizzati'!K116</f>
        <v>4024</v>
      </c>
      <c r="H116" s="23">
        <f>+'Entrate tot e finalizzati'!L116-'Entrate tot e finalizzati'!M116</f>
        <v>3697</v>
      </c>
      <c r="I116" s="23">
        <f>+'Entrate tot e finalizzati'!N116-'Entrate tot e finalizzati'!O116</f>
        <v>4043</v>
      </c>
      <c r="J116" s="23">
        <f>+'Entrate tot e finalizzati'!P116-'Entrate tot e finalizzati'!Q116</f>
        <v>3697</v>
      </c>
      <c r="K116" s="23">
        <f>+'Entrate tot e finalizzati'!R116-'Entrate tot e finalizzati'!S116</f>
        <v>3738</v>
      </c>
      <c r="L116" s="23">
        <f>+'Entrate tot e finalizzati'!T116-'Entrate tot e finalizzati'!U116</f>
        <v>3809</v>
      </c>
    </row>
    <row r="117" spans="1:12" s="2" customFormat="1" ht="12.75">
      <c r="A117" s="102"/>
      <c r="B117" s="38" t="s">
        <v>51</v>
      </c>
      <c r="D117" s="23">
        <f>+'Entrate tot e finalizzati'!D117-'Entrate tot e finalizzati'!E117</f>
        <v>0</v>
      </c>
      <c r="E117" s="23">
        <f>+'Entrate tot e finalizzati'!F117-'Entrate tot e finalizzati'!G117</f>
        <v>3815</v>
      </c>
      <c r="F117" s="23">
        <f>+'Entrate tot e finalizzati'!H117-'Entrate tot e finalizzati'!I117</f>
        <v>2345</v>
      </c>
      <c r="G117" s="23">
        <f>+'Entrate tot e finalizzati'!J117-'Entrate tot e finalizzati'!K117</f>
        <v>395</v>
      </c>
      <c r="H117" s="23">
        <f>+'Entrate tot e finalizzati'!L117-'Entrate tot e finalizzati'!M117</f>
        <v>0</v>
      </c>
      <c r="I117" s="23">
        <f>+'Entrate tot e finalizzati'!N117-'Entrate tot e finalizzati'!O117</f>
        <v>0</v>
      </c>
      <c r="J117" s="23">
        <f>+'Entrate tot e finalizzati'!P117-'Entrate tot e finalizzati'!Q117</f>
        <v>0</v>
      </c>
      <c r="K117" s="23">
        <f>+'Entrate tot e finalizzati'!R117-'Entrate tot e finalizzati'!S117</f>
        <v>0</v>
      </c>
      <c r="L117" s="23">
        <f>+'Entrate tot e finalizzati'!T117-'Entrate tot e finalizzati'!U117</f>
        <v>0</v>
      </c>
    </row>
    <row r="118" spans="1:12" s="2" customFormat="1" ht="12.75">
      <c r="A118" s="102"/>
      <c r="B118" s="38" t="s">
        <v>104</v>
      </c>
      <c r="D118" s="23">
        <f>+'Entrate tot e finalizzati'!D118-'Entrate tot e finalizzati'!E118</f>
        <v>0</v>
      </c>
      <c r="E118" s="23">
        <f>+'Entrate tot e finalizzati'!F118-'Entrate tot e finalizzati'!G118</f>
        <v>0</v>
      </c>
      <c r="F118" s="23">
        <f>+'Entrate tot e finalizzati'!H118-'Entrate tot e finalizzati'!I118</f>
        <v>0</v>
      </c>
      <c r="G118" s="23">
        <f>+'Entrate tot e finalizzati'!J118-'Entrate tot e finalizzati'!K118</f>
        <v>0</v>
      </c>
      <c r="H118" s="23">
        <f>+'Entrate tot e finalizzati'!L118-'Entrate tot e finalizzati'!M118</f>
        <v>0</v>
      </c>
      <c r="I118" s="23">
        <f>+'Entrate tot e finalizzati'!N118-'Entrate tot e finalizzati'!O118</f>
        <v>0</v>
      </c>
      <c r="J118" s="23">
        <f>+'Entrate tot e finalizzati'!P118-'Entrate tot e finalizzati'!Q118</f>
        <v>249</v>
      </c>
      <c r="K118" s="23">
        <f>+'Entrate tot e finalizzati'!R118-'Entrate tot e finalizzati'!S118</f>
        <v>434</v>
      </c>
      <c r="L118" s="23">
        <f>+'Entrate tot e finalizzati'!T118-'Entrate tot e finalizzati'!U118</f>
        <v>318</v>
      </c>
    </row>
    <row r="119" spans="1:12" s="2" customFormat="1" ht="12.75">
      <c r="A119" s="116"/>
      <c r="B119" s="16" t="s">
        <v>32</v>
      </c>
      <c r="D119" s="87">
        <f>+'Entrate tot e finalizzati'!D119-'Entrate tot e finalizzati'!E119</f>
        <v>0</v>
      </c>
      <c r="E119" s="98">
        <f>+'Entrate tot e finalizzati'!F119-'Entrate tot e finalizzati'!G119</f>
        <v>0</v>
      </c>
      <c r="F119" s="87">
        <f>+'Entrate tot e finalizzati'!H119-'Entrate tot e finalizzati'!I119</f>
        <v>0</v>
      </c>
      <c r="G119" s="87">
        <f>+'Entrate tot e finalizzati'!J119-'Entrate tot e finalizzati'!K119</f>
        <v>568</v>
      </c>
      <c r="H119" s="87">
        <f>+'Entrate tot e finalizzati'!L119-'Entrate tot e finalizzati'!M119</f>
        <v>0</v>
      </c>
      <c r="I119" s="87">
        <f>+'Entrate tot e finalizzati'!N119-'Entrate tot e finalizzati'!O119</f>
        <v>16</v>
      </c>
      <c r="J119" s="87">
        <f>+'Entrate tot e finalizzati'!P119-'Entrate tot e finalizzati'!Q119</f>
        <v>0</v>
      </c>
      <c r="K119" s="87">
        <f>+'Entrate tot e finalizzati'!R119-'Entrate tot e finalizzati'!S119</f>
        <v>16</v>
      </c>
      <c r="L119" s="87">
        <f>+'Entrate tot e finalizzati'!T119-'Entrate tot e finalizzati'!U119</f>
        <v>30</v>
      </c>
    </row>
    <row r="120" spans="1:12" s="2" customFormat="1" ht="12.75">
      <c r="A120" s="28" t="s">
        <v>132</v>
      </c>
      <c r="B120" s="29"/>
      <c r="C120" s="32"/>
      <c r="D120" s="30">
        <f>+'Entrate tot e finalizzati'!D120-'Entrate tot e finalizzati'!E120</f>
        <v>6349</v>
      </c>
      <c r="E120" s="30">
        <f>+'Entrate tot e finalizzati'!F120-'Entrate tot e finalizzati'!G120</f>
        <v>6264</v>
      </c>
      <c r="F120" s="30">
        <f>+'Entrate tot e finalizzati'!H120-'Entrate tot e finalizzati'!I120</f>
        <v>7933</v>
      </c>
      <c r="G120" s="30">
        <f>+'Entrate tot e finalizzati'!J120-'Entrate tot e finalizzati'!K120</f>
        <v>11402</v>
      </c>
      <c r="H120" s="30">
        <f>+'Entrate tot e finalizzati'!L120-'Entrate tot e finalizzati'!M120</f>
        <v>11895</v>
      </c>
      <c r="I120" s="30">
        <f>+'Entrate tot e finalizzati'!N120-'Entrate tot e finalizzati'!O120</f>
        <v>11648</v>
      </c>
      <c r="J120" s="30">
        <f>+'Entrate tot e finalizzati'!P120-'Entrate tot e finalizzati'!Q120</f>
        <v>11738</v>
      </c>
      <c r="K120" s="30">
        <f>+'Entrate tot e finalizzati'!R120-'Entrate tot e finalizzati'!S120</f>
        <v>11809</v>
      </c>
      <c r="L120" s="30">
        <f>+'Entrate tot e finalizzati'!T120-'Entrate tot e finalizzati'!U120</f>
        <v>11745</v>
      </c>
    </row>
    <row r="121" spans="1:12" s="2" customFormat="1" ht="12.75">
      <c r="A121" s="57"/>
      <c r="B121" s="38" t="s">
        <v>105</v>
      </c>
      <c r="D121" s="39">
        <f>+'Entrate tot e finalizzati'!D121-'Entrate tot e finalizzati'!E121</f>
        <v>147</v>
      </c>
      <c r="E121" s="40">
        <f>+'Entrate tot e finalizzati'!F121-'Entrate tot e finalizzati'!G121</f>
        <v>128</v>
      </c>
      <c r="F121" s="55">
        <f>+'Entrate tot e finalizzati'!H121-'Entrate tot e finalizzati'!I121</f>
        <v>123</v>
      </c>
      <c r="G121" s="55">
        <f>+'Entrate tot e finalizzati'!J121-'Entrate tot e finalizzati'!K121</f>
        <v>0</v>
      </c>
      <c r="H121" s="55">
        <f>+'Entrate tot e finalizzati'!L121-'Entrate tot e finalizzati'!M121</f>
        <v>0</v>
      </c>
      <c r="I121" s="39">
        <f>+'Entrate tot e finalizzati'!N121-'Entrate tot e finalizzati'!O121</f>
        <v>0</v>
      </c>
      <c r="J121" s="55">
        <f>+'Entrate tot e finalizzati'!P121-'Entrate tot e finalizzati'!Q121</f>
        <v>0</v>
      </c>
      <c r="K121" s="55">
        <f>+'Entrate tot e finalizzati'!R121-'Entrate tot e finalizzati'!S121</f>
        <v>0</v>
      </c>
      <c r="L121" s="55">
        <f>+'Entrate tot e finalizzati'!T121-'Entrate tot e finalizzati'!U121</f>
        <v>0</v>
      </c>
    </row>
    <row r="122" spans="1:12" s="2" customFormat="1" ht="12.75">
      <c r="A122" s="57"/>
      <c r="B122" s="38" t="s">
        <v>54</v>
      </c>
      <c r="D122" s="39">
        <f>+'Entrate tot e finalizzati'!D122-'Entrate tot e finalizzati'!E122</f>
        <v>4010</v>
      </c>
      <c r="E122" s="40">
        <f>+'Entrate tot e finalizzati'!F122-'Entrate tot e finalizzati'!G122</f>
        <v>4651</v>
      </c>
      <c r="F122" s="55">
        <f>+'Entrate tot e finalizzati'!H122-'Entrate tot e finalizzati'!I122</f>
        <v>4661</v>
      </c>
      <c r="G122" s="55">
        <f>+'Entrate tot e finalizzati'!J122-'Entrate tot e finalizzati'!K122</f>
        <v>5460</v>
      </c>
      <c r="H122" s="55">
        <f>+'Entrate tot e finalizzati'!L122-'Entrate tot e finalizzati'!M122</f>
        <v>5457</v>
      </c>
      <c r="I122" s="39">
        <f>+'Entrate tot e finalizzati'!N122-'Entrate tot e finalizzati'!O122</f>
        <v>5686</v>
      </c>
      <c r="J122" s="55">
        <f>+'Entrate tot e finalizzati'!P122-'Entrate tot e finalizzati'!Q122</f>
        <v>5615</v>
      </c>
      <c r="K122" s="55">
        <f>+'Entrate tot e finalizzati'!R122-'Entrate tot e finalizzati'!S122</f>
        <v>5702</v>
      </c>
      <c r="L122" s="55">
        <f>+'Entrate tot e finalizzati'!T122-'Entrate tot e finalizzati'!U122</f>
        <v>5656</v>
      </c>
    </row>
    <row r="123" spans="1:12" s="2" customFormat="1" ht="12.75">
      <c r="A123" s="57"/>
      <c r="B123" s="38" t="s">
        <v>106</v>
      </c>
      <c r="D123" s="39">
        <f>+'Entrate tot e finalizzati'!D123-'Entrate tot e finalizzati'!E123</f>
        <v>177</v>
      </c>
      <c r="E123" s="40">
        <f>+'Entrate tot e finalizzati'!F123-'Entrate tot e finalizzati'!G123</f>
        <v>193</v>
      </c>
      <c r="F123" s="55">
        <f>+'Entrate tot e finalizzati'!H123-'Entrate tot e finalizzati'!I123</f>
        <v>189</v>
      </c>
      <c r="G123" s="55">
        <f>+'Entrate tot e finalizzati'!J123-'Entrate tot e finalizzati'!K123</f>
        <v>0</v>
      </c>
      <c r="H123" s="55">
        <f>+'Entrate tot e finalizzati'!L123-'Entrate tot e finalizzati'!M123</f>
        <v>0</v>
      </c>
      <c r="I123" s="39">
        <f>+'Entrate tot e finalizzati'!N123-'Entrate tot e finalizzati'!O123</f>
        <v>0</v>
      </c>
      <c r="J123" s="55">
        <f>+'Entrate tot e finalizzati'!P123-'Entrate tot e finalizzati'!Q123</f>
        <v>0</v>
      </c>
      <c r="K123" s="55">
        <f>+'Entrate tot e finalizzati'!R123-'Entrate tot e finalizzati'!S123</f>
        <v>0</v>
      </c>
      <c r="L123" s="55">
        <f>+'Entrate tot e finalizzati'!T123-'Entrate tot e finalizzati'!U123</f>
        <v>0</v>
      </c>
    </row>
    <row r="124" spans="1:12" s="2" customFormat="1" ht="12.75">
      <c r="A124" s="57"/>
      <c r="B124" s="38" t="s">
        <v>55</v>
      </c>
      <c r="D124" s="25">
        <f>+'Entrate tot e finalizzati'!D124-'Entrate tot e finalizzati'!E124</f>
        <v>695</v>
      </c>
      <c r="E124" s="25">
        <f>+'Entrate tot e finalizzati'!F124-'Entrate tot e finalizzati'!G124</f>
        <v>501</v>
      </c>
      <c r="F124" s="25">
        <f>+'Entrate tot e finalizzati'!H124-'Entrate tot e finalizzati'!I124</f>
        <v>134</v>
      </c>
      <c r="G124" s="25">
        <f>+'Entrate tot e finalizzati'!J124-'Entrate tot e finalizzati'!K124</f>
        <v>36</v>
      </c>
      <c r="H124" s="25">
        <f>+'Entrate tot e finalizzati'!L124-'Entrate tot e finalizzati'!M124</f>
        <v>27</v>
      </c>
      <c r="I124" s="25">
        <f>+'Entrate tot e finalizzati'!N124-'Entrate tot e finalizzati'!O124</f>
        <v>18</v>
      </c>
      <c r="J124" s="25">
        <f>+'Entrate tot e finalizzati'!P124-'Entrate tot e finalizzati'!Q124</f>
        <v>0</v>
      </c>
      <c r="K124" s="25">
        <f>+'Entrate tot e finalizzati'!R124-'Entrate tot e finalizzati'!S124</f>
        <v>0</v>
      </c>
      <c r="L124" s="25">
        <f>+'Entrate tot e finalizzati'!T124-'Entrate tot e finalizzati'!U124</f>
        <v>0</v>
      </c>
    </row>
    <row r="125" spans="1:12" s="2" customFormat="1" ht="12.75">
      <c r="A125" s="57"/>
      <c r="B125" s="38" t="s">
        <v>56</v>
      </c>
      <c r="D125" s="25">
        <f>+'Entrate tot e finalizzati'!D125-'Entrate tot e finalizzati'!E125</f>
        <v>581</v>
      </c>
      <c r="E125" s="25">
        <f>+'Entrate tot e finalizzati'!F125-'Entrate tot e finalizzati'!G125</f>
        <v>361</v>
      </c>
      <c r="F125" s="25">
        <f>+'Entrate tot e finalizzati'!H125-'Entrate tot e finalizzati'!I125</f>
        <v>282</v>
      </c>
      <c r="G125" s="25">
        <f>+'Entrate tot e finalizzati'!J125-'Entrate tot e finalizzati'!K125</f>
        <v>290</v>
      </c>
      <c r="H125" s="25">
        <f>+'Entrate tot e finalizzati'!L125-'Entrate tot e finalizzati'!M125</f>
        <v>792</v>
      </c>
      <c r="I125" s="25">
        <f>+'Entrate tot e finalizzati'!N125-'Entrate tot e finalizzati'!O125</f>
        <v>304</v>
      </c>
      <c r="J125" s="25">
        <f>+'Entrate tot e finalizzati'!P125-'Entrate tot e finalizzati'!Q125</f>
        <v>311</v>
      </c>
      <c r="K125" s="25">
        <f>+'Entrate tot e finalizzati'!R125-'Entrate tot e finalizzati'!S125</f>
        <v>317</v>
      </c>
      <c r="L125" s="25">
        <f>+'Entrate tot e finalizzati'!T125-'Entrate tot e finalizzati'!U125</f>
        <v>323</v>
      </c>
    </row>
    <row r="126" spans="1:12" s="2" customFormat="1" ht="12.75">
      <c r="A126" s="57"/>
      <c r="B126" s="10" t="s">
        <v>33</v>
      </c>
      <c r="D126" s="25">
        <f>+'Entrate tot e finalizzati'!D126-'Entrate tot e finalizzati'!E126</f>
        <v>739</v>
      </c>
      <c r="E126" s="25">
        <f>+'Entrate tot e finalizzati'!F126-'Entrate tot e finalizzati'!G126</f>
        <v>430</v>
      </c>
      <c r="F126" s="25">
        <f>+'Entrate tot e finalizzati'!H126-'Entrate tot e finalizzati'!I126</f>
        <v>272</v>
      </c>
      <c r="G126" s="25">
        <f>+'Entrate tot e finalizzati'!J126-'Entrate tot e finalizzati'!K126</f>
        <v>374</v>
      </c>
      <c r="H126" s="25">
        <f>+'Entrate tot e finalizzati'!L126-'Entrate tot e finalizzati'!M126</f>
        <v>219</v>
      </c>
      <c r="I126" s="25">
        <f>+'Entrate tot e finalizzati'!N126-'Entrate tot e finalizzati'!O126</f>
        <v>212</v>
      </c>
      <c r="J126" s="25">
        <f>+'Entrate tot e finalizzati'!P126-'Entrate tot e finalizzati'!Q126</f>
        <v>284</v>
      </c>
      <c r="K126" s="25">
        <f>+'Entrate tot e finalizzati'!R126-'Entrate tot e finalizzati'!S126</f>
        <v>198</v>
      </c>
      <c r="L126" s="25">
        <f>+'Entrate tot e finalizzati'!T126-'Entrate tot e finalizzati'!U126</f>
        <v>171</v>
      </c>
    </row>
    <row r="127" spans="1:12" s="2" customFormat="1" ht="12.75">
      <c r="A127" s="57"/>
      <c r="B127" s="37" t="s">
        <v>112</v>
      </c>
      <c r="D127" s="39">
        <f>+'Entrate tot e finalizzati'!D127-'Entrate tot e finalizzati'!E127</f>
        <v>0</v>
      </c>
      <c r="E127" s="39">
        <f>+'Entrate tot e finalizzati'!F127-'Entrate tot e finalizzati'!G127</f>
        <v>0</v>
      </c>
      <c r="F127" s="39">
        <f>+'Entrate tot e finalizzati'!H127-'Entrate tot e finalizzati'!I127</f>
        <v>0</v>
      </c>
      <c r="G127" s="39">
        <f>+'Entrate tot e finalizzati'!J127-'Entrate tot e finalizzati'!K127</f>
        <v>0</v>
      </c>
      <c r="H127" s="39">
        <f>+'Entrate tot e finalizzati'!L127-'Entrate tot e finalizzati'!M127</f>
        <v>0</v>
      </c>
      <c r="I127" s="39">
        <f>+'Entrate tot e finalizzati'!N127-'Entrate tot e finalizzati'!O127</f>
        <v>0</v>
      </c>
      <c r="J127" s="39">
        <f>+'Entrate tot e finalizzati'!P127-'Entrate tot e finalizzati'!Q127</f>
        <v>0</v>
      </c>
      <c r="K127" s="39">
        <f>+'Entrate tot e finalizzati'!R127-'Entrate tot e finalizzati'!S127</f>
        <v>0</v>
      </c>
      <c r="L127" s="39">
        <f>+'Entrate tot e finalizzati'!T127-'Entrate tot e finalizzati'!U127</f>
        <v>0</v>
      </c>
    </row>
    <row r="128" spans="1:12" s="2" customFormat="1" ht="12.75">
      <c r="A128" s="57"/>
      <c r="B128" s="38" t="s">
        <v>59</v>
      </c>
      <c r="D128" s="39">
        <f>+'Entrate tot e finalizzati'!D128-'Entrate tot e finalizzati'!E128</f>
        <v>0</v>
      </c>
      <c r="E128" s="39">
        <f>+'Entrate tot e finalizzati'!F128-'Entrate tot e finalizzati'!G128</f>
        <v>0</v>
      </c>
      <c r="F128" s="39">
        <f>+'Entrate tot e finalizzati'!H128-'Entrate tot e finalizzati'!I128</f>
        <v>0</v>
      </c>
      <c r="G128" s="39">
        <f>+'Entrate tot e finalizzati'!J128-'Entrate tot e finalizzati'!K128</f>
        <v>0</v>
      </c>
      <c r="H128" s="39">
        <f>+'Entrate tot e finalizzati'!L128-'Entrate tot e finalizzati'!M128</f>
        <v>162</v>
      </c>
      <c r="I128" s="39">
        <f>+'Entrate tot e finalizzati'!N128-'Entrate tot e finalizzati'!O128</f>
        <v>114</v>
      </c>
      <c r="J128" s="39">
        <f>+'Entrate tot e finalizzati'!P128-'Entrate tot e finalizzati'!Q128</f>
        <v>145</v>
      </c>
      <c r="K128" s="39">
        <f>+'Entrate tot e finalizzati'!R128-'Entrate tot e finalizzati'!S128</f>
        <v>145</v>
      </c>
      <c r="L128" s="39">
        <f>+'Entrate tot e finalizzati'!T128-'Entrate tot e finalizzati'!U128</f>
        <v>87</v>
      </c>
    </row>
    <row r="129" spans="1:12" s="2" customFormat="1" ht="12.75">
      <c r="A129" s="57"/>
      <c r="B129" s="38" t="s">
        <v>58</v>
      </c>
      <c r="D129" s="39">
        <f>+'Entrate tot e finalizzati'!D129-'Entrate tot e finalizzati'!E129</f>
        <v>0</v>
      </c>
      <c r="E129" s="39">
        <f>+'Entrate tot e finalizzati'!F129-'Entrate tot e finalizzati'!G129</f>
        <v>0</v>
      </c>
      <c r="F129" s="39">
        <f>+'Entrate tot e finalizzati'!H129-'Entrate tot e finalizzati'!I129</f>
        <v>0</v>
      </c>
      <c r="G129" s="39">
        <f>+'Entrate tot e finalizzati'!J129-'Entrate tot e finalizzati'!K129</f>
        <v>0</v>
      </c>
      <c r="H129" s="39">
        <f>+'Entrate tot e finalizzati'!L129-'Entrate tot e finalizzati'!M129</f>
        <v>0</v>
      </c>
      <c r="I129" s="39">
        <f>+'Entrate tot e finalizzati'!N129-'Entrate tot e finalizzati'!O129</f>
        <v>0</v>
      </c>
      <c r="J129" s="39">
        <f>+'Entrate tot e finalizzati'!P129-'Entrate tot e finalizzati'!Q129</f>
        <v>0</v>
      </c>
      <c r="K129" s="39">
        <f>+'Entrate tot e finalizzati'!R129-'Entrate tot e finalizzati'!S129</f>
        <v>0</v>
      </c>
      <c r="L129" s="39">
        <f>+'Entrate tot e finalizzati'!T129-'Entrate tot e finalizzati'!U129</f>
        <v>0</v>
      </c>
    </row>
    <row r="130" spans="1:12" s="2" customFormat="1" ht="12.75">
      <c r="A130" s="62"/>
      <c r="B130" s="63" t="s">
        <v>107</v>
      </c>
      <c r="D130" s="39">
        <f>+'Entrate tot e finalizzati'!D130-'Entrate tot e finalizzati'!E130</f>
        <v>0</v>
      </c>
      <c r="E130" s="39">
        <f>+'Entrate tot e finalizzati'!F130-'Entrate tot e finalizzati'!G130</f>
        <v>0</v>
      </c>
      <c r="F130" s="39">
        <f>+'Entrate tot e finalizzati'!H130-'Entrate tot e finalizzati'!I130</f>
        <v>2272</v>
      </c>
      <c r="G130" s="39">
        <f>+'Entrate tot e finalizzati'!J130-'Entrate tot e finalizzati'!K130</f>
        <v>5242</v>
      </c>
      <c r="H130" s="39">
        <f>+'Entrate tot e finalizzati'!L130-'Entrate tot e finalizzati'!M130</f>
        <v>5238</v>
      </c>
      <c r="I130" s="39">
        <f>+'Entrate tot e finalizzati'!N130-'Entrate tot e finalizzati'!O130</f>
        <v>5314</v>
      </c>
      <c r="J130" s="39">
        <f>+'Entrate tot e finalizzati'!P130-'Entrate tot e finalizzati'!Q130</f>
        <v>5383</v>
      </c>
      <c r="K130" s="39">
        <f>+'Entrate tot e finalizzati'!R130-'Entrate tot e finalizzati'!S130</f>
        <v>5447</v>
      </c>
      <c r="L130" s="39">
        <f>+'Entrate tot e finalizzati'!T130-'Entrate tot e finalizzati'!U130</f>
        <v>5508</v>
      </c>
    </row>
    <row r="131" spans="1:12" s="2" customFormat="1" ht="12.75">
      <c r="A131" s="28" t="s">
        <v>133</v>
      </c>
      <c r="B131" s="29"/>
      <c r="C131" s="32"/>
      <c r="D131" s="30">
        <f>+'Entrate tot e finalizzati'!D131-'Entrate tot e finalizzati'!E131</f>
        <v>9892</v>
      </c>
      <c r="E131" s="30">
        <f>+'Entrate tot e finalizzati'!F131-'Entrate tot e finalizzati'!G131</f>
        <v>10629</v>
      </c>
      <c r="F131" s="30">
        <f>+'Entrate tot e finalizzati'!H131-'Entrate tot e finalizzati'!I131</f>
        <v>11185</v>
      </c>
      <c r="G131" s="30">
        <f>+'Entrate tot e finalizzati'!J131-'Entrate tot e finalizzati'!K131</f>
        <v>13296</v>
      </c>
      <c r="H131" s="30">
        <f>+'Entrate tot e finalizzati'!L131-'Entrate tot e finalizzati'!M131</f>
        <v>13058</v>
      </c>
      <c r="I131" s="30">
        <f>+'Entrate tot e finalizzati'!N131-'Entrate tot e finalizzati'!O131</f>
        <v>6476</v>
      </c>
      <c r="J131" s="30">
        <f>+'Entrate tot e finalizzati'!P131-'Entrate tot e finalizzati'!Q131</f>
        <v>6615</v>
      </c>
      <c r="K131" s="30">
        <f>+'Entrate tot e finalizzati'!R131-'Entrate tot e finalizzati'!S131</f>
        <v>6036</v>
      </c>
      <c r="L131" s="30">
        <f>+'Entrate tot e finalizzati'!T131-'Entrate tot e finalizzati'!U131</f>
        <v>6684</v>
      </c>
    </row>
    <row r="132" spans="1:12" s="2" customFormat="1" ht="12.75">
      <c r="A132" s="57"/>
      <c r="B132" s="37" t="s">
        <v>67</v>
      </c>
      <c r="D132" s="23">
        <f>+'Entrate tot e finalizzati'!D132-'Entrate tot e finalizzati'!E132</f>
        <v>0</v>
      </c>
      <c r="E132" s="23">
        <f>+'Entrate tot e finalizzati'!F132-'Entrate tot e finalizzati'!G132</f>
        <v>0</v>
      </c>
      <c r="F132" s="23">
        <f>+'Entrate tot e finalizzati'!H132-'Entrate tot e finalizzati'!I132</f>
        <v>0</v>
      </c>
      <c r="G132" s="23">
        <f>+'Entrate tot e finalizzati'!J132-'Entrate tot e finalizzati'!K132</f>
        <v>0</v>
      </c>
      <c r="H132" s="23">
        <f>+'Entrate tot e finalizzati'!L132-'Entrate tot e finalizzati'!M132</f>
        <v>0</v>
      </c>
      <c r="I132" s="23">
        <f>+'Entrate tot e finalizzati'!N132-'Entrate tot e finalizzati'!O132</f>
        <v>0</v>
      </c>
      <c r="J132" s="23">
        <f>+'Entrate tot e finalizzati'!P132-'Entrate tot e finalizzati'!Q132</f>
        <v>0</v>
      </c>
      <c r="K132" s="23">
        <f>+'Entrate tot e finalizzati'!R132-'Entrate tot e finalizzati'!S132</f>
        <v>0</v>
      </c>
      <c r="L132" s="23">
        <f>+'Entrate tot e finalizzati'!T132-'Entrate tot e finalizzati'!U132</f>
        <v>0</v>
      </c>
    </row>
    <row r="133" spans="1:12" s="2" customFormat="1" ht="12.75">
      <c r="A133" s="57"/>
      <c r="B133" s="37" t="s">
        <v>23</v>
      </c>
      <c r="D133" s="23">
        <f>+'Entrate tot e finalizzati'!D133-'Entrate tot e finalizzati'!E133</f>
        <v>645</v>
      </c>
      <c r="E133" s="23">
        <f>+'Entrate tot e finalizzati'!F133-'Entrate tot e finalizzati'!G133</f>
        <v>608</v>
      </c>
      <c r="F133" s="23">
        <f>+'Entrate tot e finalizzati'!H133-'Entrate tot e finalizzati'!I133</f>
        <v>507</v>
      </c>
      <c r="G133" s="23">
        <f>+'Entrate tot e finalizzati'!J133-'Entrate tot e finalizzati'!K133</f>
        <v>2083</v>
      </c>
      <c r="H133" s="23">
        <f>+'Entrate tot e finalizzati'!L133-'Entrate tot e finalizzati'!M133</f>
        <v>2066</v>
      </c>
      <c r="I133" s="23">
        <f>+'Entrate tot e finalizzati'!N133-'Entrate tot e finalizzati'!O133</f>
        <v>2212</v>
      </c>
      <c r="J133" s="23">
        <f>+'Entrate tot e finalizzati'!P133-'Entrate tot e finalizzati'!Q133</f>
        <v>2521</v>
      </c>
      <c r="K133" s="23">
        <f>+'Entrate tot e finalizzati'!R133-'Entrate tot e finalizzati'!S133</f>
        <v>1685</v>
      </c>
      <c r="L133" s="23">
        <f>+'Entrate tot e finalizzati'!T133-'Entrate tot e finalizzati'!U133</f>
        <v>2525</v>
      </c>
    </row>
    <row r="134" spans="1:12" s="2" customFormat="1" ht="12.75">
      <c r="A134" s="57"/>
      <c r="B134" s="38" t="s">
        <v>111</v>
      </c>
      <c r="D134" s="39">
        <f>+'Entrate tot e finalizzati'!D134-'Entrate tot e finalizzati'!E134</f>
        <v>0</v>
      </c>
      <c r="E134" s="39">
        <f>+'Entrate tot e finalizzati'!F134-'Entrate tot e finalizzati'!G134</f>
        <v>0</v>
      </c>
      <c r="F134" s="39">
        <f>+'Entrate tot e finalizzati'!H134-'Entrate tot e finalizzati'!I134</f>
        <v>0</v>
      </c>
      <c r="G134" s="39">
        <f>+'Entrate tot e finalizzati'!J134-'Entrate tot e finalizzati'!K134</f>
        <v>0</v>
      </c>
      <c r="H134" s="39">
        <f>+'Entrate tot e finalizzati'!L134-'Entrate tot e finalizzati'!M134</f>
        <v>0</v>
      </c>
      <c r="I134" s="39">
        <f>+'Entrate tot e finalizzati'!N134-'Entrate tot e finalizzati'!O134</f>
        <v>0</v>
      </c>
      <c r="J134" s="39">
        <f>+'Entrate tot e finalizzati'!P134-'Entrate tot e finalizzati'!Q134</f>
        <v>0</v>
      </c>
      <c r="K134" s="39">
        <f>+'Entrate tot e finalizzati'!R134-'Entrate tot e finalizzati'!S134</f>
        <v>0</v>
      </c>
      <c r="L134" s="39">
        <f>+'Entrate tot e finalizzati'!T134-'Entrate tot e finalizzati'!U134</f>
        <v>0</v>
      </c>
    </row>
    <row r="135" spans="1:12" s="2" customFormat="1" ht="12.75">
      <c r="A135" s="57"/>
      <c r="B135" s="38" t="s">
        <v>66</v>
      </c>
      <c r="D135" s="39">
        <f>+'Entrate tot e finalizzati'!D135-'Entrate tot e finalizzati'!E135</f>
        <v>0</v>
      </c>
      <c r="E135" s="39">
        <f>+'Entrate tot e finalizzati'!F135-'Entrate tot e finalizzati'!G135</f>
        <v>0</v>
      </c>
      <c r="F135" s="39">
        <f>+'Entrate tot e finalizzati'!H135-'Entrate tot e finalizzati'!I135</f>
        <v>0</v>
      </c>
      <c r="G135" s="39">
        <f>+'Entrate tot e finalizzati'!J135-'Entrate tot e finalizzati'!K135</f>
        <v>0</v>
      </c>
      <c r="H135" s="39">
        <f>+'Entrate tot e finalizzati'!L135-'Entrate tot e finalizzati'!M135</f>
        <v>0</v>
      </c>
      <c r="I135" s="39">
        <f>+'Entrate tot e finalizzati'!N135-'Entrate tot e finalizzati'!O135</f>
        <v>21</v>
      </c>
      <c r="J135" s="39">
        <f>+'Entrate tot e finalizzati'!P135-'Entrate tot e finalizzati'!Q135</f>
        <v>29</v>
      </c>
      <c r="K135" s="39">
        <f>+'Entrate tot e finalizzati'!R135-'Entrate tot e finalizzati'!S135</f>
        <v>29</v>
      </c>
      <c r="L135" s="39">
        <f>+'Entrate tot e finalizzati'!T135-'Entrate tot e finalizzati'!U135</f>
        <v>0</v>
      </c>
    </row>
    <row r="136" spans="1:12" s="2" customFormat="1" ht="12.75">
      <c r="A136" s="57"/>
      <c r="B136" s="37" t="s">
        <v>108</v>
      </c>
      <c r="D136" s="39">
        <f>+'Entrate tot e finalizzati'!D136-'Entrate tot e finalizzati'!E136</f>
        <v>1241</v>
      </c>
      <c r="E136" s="39">
        <f>+'Entrate tot e finalizzati'!F136-'Entrate tot e finalizzati'!G136</f>
        <v>1437</v>
      </c>
      <c r="F136" s="39">
        <f>+'Entrate tot e finalizzati'!H136-'Entrate tot e finalizzati'!I136</f>
        <v>1862</v>
      </c>
      <c r="G136" s="39">
        <f>+'Entrate tot e finalizzati'!J136-'Entrate tot e finalizzati'!K136</f>
        <v>1773</v>
      </c>
      <c r="H136" s="39">
        <f>+'Entrate tot e finalizzati'!L136-'Entrate tot e finalizzati'!M136</f>
        <v>2154</v>
      </c>
      <c r="I136" s="39">
        <f>+'Entrate tot e finalizzati'!N136-'Entrate tot e finalizzati'!O136</f>
        <v>2327</v>
      </c>
      <c r="J136" s="39">
        <f>+'Entrate tot e finalizzati'!P136-'Entrate tot e finalizzati'!Q136</f>
        <v>2302</v>
      </c>
      <c r="K136" s="39">
        <f>+'Entrate tot e finalizzati'!R136-'Entrate tot e finalizzati'!S136</f>
        <v>2746</v>
      </c>
      <c r="L136" s="39">
        <f>+'Entrate tot e finalizzati'!T136-'Entrate tot e finalizzati'!U136</f>
        <v>2485</v>
      </c>
    </row>
    <row r="137" spans="1:12" s="2" customFormat="1" ht="12.75">
      <c r="A137" s="57"/>
      <c r="B137" s="37" t="s">
        <v>94</v>
      </c>
      <c r="D137" s="39">
        <f>+'Entrate tot e finalizzati'!D137-'Entrate tot e finalizzati'!E137</f>
        <v>0</v>
      </c>
      <c r="E137" s="39">
        <f>+'Entrate tot e finalizzati'!F137-'Entrate tot e finalizzati'!G137</f>
        <v>0</v>
      </c>
      <c r="F137" s="39">
        <f>+'Entrate tot e finalizzati'!H137-'Entrate tot e finalizzati'!I137</f>
        <v>0</v>
      </c>
      <c r="G137" s="39">
        <f>+'Entrate tot e finalizzati'!J137-'Entrate tot e finalizzati'!K137</f>
        <v>0</v>
      </c>
      <c r="H137" s="39">
        <f>+'Entrate tot e finalizzati'!L137-'Entrate tot e finalizzati'!M137</f>
        <v>0</v>
      </c>
      <c r="I137" s="39">
        <f>+'Entrate tot e finalizzati'!N137-'Entrate tot e finalizzati'!O137</f>
        <v>380</v>
      </c>
      <c r="J137" s="39">
        <f>+'Entrate tot e finalizzati'!P137-'Entrate tot e finalizzati'!Q137</f>
        <v>361</v>
      </c>
      <c r="K137" s="39">
        <f>+'Entrate tot e finalizzati'!R137-'Entrate tot e finalizzati'!S137</f>
        <v>300</v>
      </c>
      <c r="L137" s="39">
        <f>+'Entrate tot e finalizzati'!T137-'Entrate tot e finalizzati'!U137</f>
        <v>317</v>
      </c>
    </row>
    <row r="138" spans="1:12" s="2" customFormat="1" ht="12.75">
      <c r="A138" s="57"/>
      <c r="B138" s="38" t="s">
        <v>46</v>
      </c>
      <c r="D138" s="39">
        <f>+'Entrate tot e finalizzati'!D138-'Entrate tot e finalizzati'!E138</f>
        <v>0</v>
      </c>
      <c r="E138" s="39">
        <f>+'Entrate tot e finalizzati'!F138-'Entrate tot e finalizzati'!G138</f>
        <v>0</v>
      </c>
      <c r="F138" s="39">
        <f>+'Entrate tot e finalizzati'!H138-'Entrate tot e finalizzati'!I138</f>
        <v>0</v>
      </c>
      <c r="G138" s="39">
        <f>+'Entrate tot e finalizzati'!J138-'Entrate tot e finalizzati'!K138</f>
        <v>0</v>
      </c>
      <c r="H138" s="39">
        <f>+'Entrate tot e finalizzati'!L138-'Entrate tot e finalizzati'!M138</f>
        <v>0</v>
      </c>
      <c r="I138" s="39">
        <f>+'Entrate tot e finalizzati'!N138-'Entrate tot e finalizzati'!O138</f>
        <v>0</v>
      </c>
      <c r="J138" s="39">
        <f>+'Entrate tot e finalizzati'!P138-'Entrate tot e finalizzati'!Q138</f>
        <v>0</v>
      </c>
      <c r="K138" s="39">
        <f>+'Entrate tot e finalizzati'!R138-'Entrate tot e finalizzati'!S138</f>
        <v>0</v>
      </c>
      <c r="L138" s="39">
        <f>+'Entrate tot e finalizzati'!T138-'Entrate tot e finalizzati'!U138</f>
        <v>0</v>
      </c>
    </row>
    <row r="139" spans="1:12" s="2" customFormat="1" ht="12.75">
      <c r="A139" s="57"/>
      <c r="B139" s="37" t="s">
        <v>16</v>
      </c>
      <c r="D139" s="39">
        <f>+'Entrate tot e finalizzati'!D139-'Entrate tot e finalizzati'!E139</f>
        <v>516</v>
      </c>
      <c r="E139" s="39">
        <f>+'Entrate tot e finalizzati'!F139-'Entrate tot e finalizzati'!G139</f>
        <v>638</v>
      </c>
      <c r="F139" s="39">
        <f>+'Entrate tot e finalizzati'!H139-'Entrate tot e finalizzati'!I139</f>
        <v>516</v>
      </c>
      <c r="G139" s="39">
        <f>+'Entrate tot e finalizzati'!J139-'Entrate tot e finalizzati'!K139</f>
        <v>697</v>
      </c>
      <c r="H139" s="39">
        <f>+'Entrate tot e finalizzati'!L139-'Entrate tot e finalizzati'!M139</f>
        <v>697</v>
      </c>
      <c r="I139" s="39">
        <f>+'Entrate tot e finalizzati'!N139-'Entrate tot e finalizzati'!O139</f>
        <v>490</v>
      </c>
      <c r="J139" s="39">
        <f>+'Entrate tot e finalizzati'!P139-'Entrate tot e finalizzati'!Q139</f>
        <v>550</v>
      </c>
      <c r="K139" s="39">
        <f>+'Entrate tot e finalizzati'!R139-'Entrate tot e finalizzati'!S139</f>
        <v>425</v>
      </c>
      <c r="L139" s="39">
        <f>+'Entrate tot e finalizzati'!T139-'Entrate tot e finalizzati'!U139</f>
        <v>480</v>
      </c>
    </row>
    <row r="140" spans="1:12" s="2" customFormat="1" ht="12.75">
      <c r="A140" s="57"/>
      <c r="B140" s="37" t="s">
        <v>17</v>
      </c>
      <c r="D140" s="39">
        <f>+'Entrate tot e finalizzati'!D140-'Entrate tot e finalizzati'!E140</f>
        <v>0</v>
      </c>
      <c r="E140" s="39">
        <f>+'Entrate tot e finalizzati'!F140-'Entrate tot e finalizzati'!G140</f>
        <v>0</v>
      </c>
      <c r="F140" s="39">
        <f>+'Entrate tot e finalizzati'!H140-'Entrate tot e finalizzati'!I140</f>
        <v>0</v>
      </c>
      <c r="G140" s="39">
        <f>+'Entrate tot e finalizzati'!J140-'Entrate tot e finalizzati'!K140</f>
        <v>0</v>
      </c>
      <c r="H140" s="39">
        <f>+'Entrate tot e finalizzati'!L140-'Entrate tot e finalizzati'!M140</f>
        <v>0</v>
      </c>
      <c r="I140" s="39">
        <f>+'Entrate tot e finalizzati'!N140-'Entrate tot e finalizzati'!O140</f>
        <v>0</v>
      </c>
      <c r="J140" s="39">
        <f>+'Entrate tot e finalizzati'!P140-'Entrate tot e finalizzati'!Q140</f>
        <v>0</v>
      </c>
      <c r="K140" s="39">
        <f>+'Entrate tot e finalizzati'!R140-'Entrate tot e finalizzati'!S140</f>
        <v>0</v>
      </c>
      <c r="L140" s="39">
        <f>+'Entrate tot e finalizzati'!T140-'Entrate tot e finalizzati'!U140</f>
        <v>0</v>
      </c>
    </row>
    <row r="141" spans="1:12" s="2" customFormat="1" ht="12.75">
      <c r="A141" s="57"/>
      <c r="B141" s="37" t="s">
        <v>14</v>
      </c>
      <c r="D141" s="39">
        <f>+'Entrate tot e finalizzati'!D141-'Entrate tot e finalizzati'!E141</f>
        <v>0</v>
      </c>
      <c r="E141" s="39">
        <f>+'Entrate tot e finalizzati'!F141-'Entrate tot e finalizzati'!G141</f>
        <v>0</v>
      </c>
      <c r="F141" s="39">
        <f>+'Entrate tot e finalizzati'!H141-'Entrate tot e finalizzati'!I141</f>
        <v>0</v>
      </c>
      <c r="G141" s="39">
        <f>+'Entrate tot e finalizzati'!J141-'Entrate tot e finalizzati'!K141</f>
        <v>0</v>
      </c>
      <c r="H141" s="39">
        <f>+'Entrate tot e finalizzati'!L141-'Entrate tot e finalizzati'!M141</f>
        <v>0</v>
      </c>
      <c r="I141" s="39">
        <f>+'Entrate tot e finalizzati'!N141-'Entrate tot e finalizzati'!O141</f>
        <v>0</v>
      </c>
      <c r="J141" s="39">
        <f>+'Entrate tot e finalizzati'!P141-'Entrate tot e finalizzati'!Q141</f>
        <v>0</v>
      </c>
      <c r="K141" s="39">
        <f>+'Entrate tot e finalizzati'!R141-'Entrate tot e finalizzati'!S141</f>
        <v>0</v>
      </c>
      <c r="L141" s="39">
        <f>+'Entrate tot e finalizzati'!T141-'Entrate tot e finalizzati'!U141</f>
        <v>0</v>
      </c>
    </row>
    <row r="142" spans="1:12" s="2" customFormat="1" ht="12.75">
      <c r="A142" s="57"/>
      <c r="B142" s="37" t="s">
        <v>65</v>
      </c>
      <c r="D142" s="39">
        <f>+'Entrate tot e finalizzati'!D142-'Entrate tot e finalizzati'!E142</f>
        <v>104</v>
      </c>
      <c r="E142" s="39">
        <f>+'Entrate tot e finalizzati'!F142-'Entrate tot e finalizzati'!G142</f>
        <v>181</v>
      </c>
      <c r="F142" s="39">
        <f>+'Entrate tot e finalizzati'!H142-'Entrate tot e finalizzati'!I142</f>
        <v>88</v>
      </c>
      <c r="G142" s="39">
        <f>+'Entrate tot e finalizzati'!J142-'Entrate tot e finalizzati'!K142</f>
        <v>467</v>
      </c>
      <c r="H142" s="39">
        <f>+'Entrate tot e finalizzati'!L142-'Entrate tot e finalizzati'!M142</f>
        <v>470</v>
      </c>
      <c r="I142" s="39">
        <f>+'Entrate tot e finalizzati'!N142-'Entrate tot e finalizzati'!O142</f>
        <v>794</v>
      </c>
      <c r="J142" s="39">
        <f>+'Entrate tot e finalizzati'!P142-'Entrate tot e finalizzati'!Q142</f>
        <v>745</v>
      </c>
      <c r="K142" s="39">
        <f>+'Entrate tot e finalizzati'!R142-'Entrate tot e finalizzati'!S142</f>
        <v>851</v>
      </c>
      <c r="L142" s="39">
        <f>+'Entrate tot e finalizzati'!T142-'Entrate tot e finalizzati'!U142</f>
        <v>877</v>
      </c>
    </row>
    <row r="143" spans="1:12" s="2" customFormat="1" ht="12.75">
      <c r="A143" s="57"/>
      <c r="B143" s="37" t="s">
        <v>60</v>
      </c>
      <c r="D143" s="39">
        <f>+'Entrate tot e finalizzati'!D143-'Entrate tot e finalizzati'!E143</f>
        <v>3258</v>
      </c>
      <c r="E143" s="39">
        <f>+'Entrate tot e finalizzati'!F143-'Entrate tot e finalizzati'!G143</f>
        <v>3206</v>
      </c>
      <c r="F143" s="39">
        <f>+'Entrate tot e finalizzati'!H143-'Entrate tot e finalizzati'!I143</f>
        <v>2763</v>
      </c>
      <c r="G143" s="39">
        <f>+'Entrate tot e finalizzati'!J143-'Entrate tot e finalizzati'!K143</f>
        <v>2868</v>
      </c>
      <c r="H143" s="39">
        <f>+'Entrate tot e finalizzati'!L143-'Entrate tot e finalizzati'!M143</f>
        <v>3458</v>
      </c>
      <c r="I143" s="39">
        <f>+'Entrate tot e finalizzati'!N143-'Entrate tot e finalizzati'!O143</f>
        <v>0</v>
      </c>
      <c r="J143" s="39">
        <f>+'Entrate tot e finalizzati'!P143-'Entrate tot e finalizzati'!Q143</f>
        <v>0</v>
      </c>
      <c r="K143" s="39">
        <f>+'Entrate tot e finalizzati'!R143-'Entrate tot e finalizzati'!S143</f>
        <v>0</v>
      </c>
      <c r="L143" s="39">
        <f>+'Entrate tot e finalizzati'!T143-'Entrate tot e finalizzati'!U143</f>
        <v>0</v>
      </c>
    </row>
    <row r="144" spans="1:12" s="2" customFormat="1" ht="12.75">
      <c r="A144" s="57"/>
      <c r="B144" s="37" t="s">
        <v>61</v>
      </c>
      <c r="D144" s="39">
        <f>+'Entrate tot e finalizzati'!D144-'Entrate tot e finalizzati'!E144</f>
        <v>1644</v>
      </c>
      <c r="E144" s="39">
        <f>+'Entrate tot e finalizzati'!F144-'Entrate tot e finalizzati'!G144</f>
        <v>1647</v>
      </c>
      <c r="F144" s="39">
        <f>+'Entrate tot e finalizzati'!H144-'Entrate tot e finalizzati'!I144</f>
        <v>1455</v>
      </c>
      <c r="G144" s="39">
        <f>+'Entrate tot e finalizzati'!J144-'Entrate tot e finalizzati'!K144</f>
        <v>1241</v>
      </c>
      <c r="H144" s="39">
        <f>+'Entrate tot e finalizzati'!L144-'Entrate tot e finalizzati'!M144</f>
        <v>974</v>
      </c>
      <c r="I144" s="39">
        <f>+'Entrate tot e finalizzati'!N144-'Entrate tot e finalizzati'!O144</f>
        <v>0</v>
      </c>
      <c r="J144" s="39">
        <f>+'Entrate tot e finalizzati'!P144-'Entrate tot e finalizzati'!Q144</f>
        <v>0</v>
      </c>
      <c r="K144" s="39">
        <f>+'Entrate tot e finalizzati'!R144-'Entrate tot e finalizzati'!S144</f>
        <v>0</v>
      </c>
      <c r="L144" s="39">
        <f>+'Entrate tot e finalizzati'!T144-'Entrate tot e finalizzati'!U144</f>
        <v>0</v>
      </c>
    </row>
    <row r="145" spans="1:12" s="2" customFormat="1" ht="12.75">
      <c r="A145" s="57"/>
      <c r="B145" s="37" t="s">
        <v>62</v>
      </c>
      <c r="D145" s="39">
        <f>+'Entrate tot e finalizzati'!D145-'Entrate tot e finalizzati'!E145</f>
        <v>573</v>
      </c>
      <c r="E145" s="39">
        <f>+'Entrate tot e finalizzati'!F145-'Entrate tot e finalizzati'!G145</f>
        <v>573</v>
      </c>
      <c r="F145" s="39">
        <f>+'Entrate tot e finalizzati'!H145-'Entrate tot e finalizzati'!I145</f>
        <v>688</v>
      </c>
      <c r="G145" s="39">
        <f>+'Entrate tot e finalizzati'!J145-'Entrate tot e finalizzati'!K145</f>
        <v>989</v>
      </c>
      <c r="H145" s="39">
        <f>+'Entrate tot e finalizzati'!L145-'Entrate tot e finalizzati'!M145</f>
        <v>296</v>
      </c>
      <c r="I145" s="39">
        <f>+'Entrate tot e finalizzati'!N145-'Entrate tot e finalizzati'!O145</f>
        <v>252</v>
      </c>
      <c r="J145" s="39">
        <f>+'Entrate tot e finalizzati'!P145-'Entrate tot e finalizzati'!Q145</f>
        <v>107</v>
      </c>
      <c r="K145" s="39">
        <f>+'Entrate tot e finalizzati'!R145-'Entrate tot e finalizzati'!S145</f>
        <v>0</v>
      </c>
      <c r="L145" s="39">
        <f>+'Entrate tot e finalizzati'!T145-'Entrate tot e finalizzati'!U145</f>
        <v>0</v>
      </c>
    </row>
    <row r="146" spans="1:12" s="2" customFormat="1" ht="12.75">
      <c r="A146" s="57"/>
      <c r="B146" s="37" t="s">
        <v>63</v>
      </c>
      <c r="D146" s="39">
        <f>+'Entrate tot e finalizzati'!D146-'Entrate tot e finalizzati'!E146</f>
        <v>1911</v>
      </c>
      <c r="E146" s="39">
        <f>+'Entrate tot e finalizzati'!F146-'Entrate tot e finalizzati'!G146</f>
        <v>2339</v>
      </c>
      <c r="F146" s="39">
        <f>+'Entrate tot e finalizzati'!H146-'Entrate tot e finalizzati'!I146</f>
        <v>3306</v>
      </c>
      <c r="G146" s="39">
        <f>+'Entrate tot e finalizzati'!J146-'Entrate tot e finalizzati'!K146</f>
        <v>3149</v>
      </c>
      <c r="H146" s="39">
        <f>+'Entrate tot e finalizzati'!L146-'Entrate tot e finalizzati'!M146</f>
        <v>2942</v>
      </c>
      <c r="I146" s="39">
        <f>+'Entrate tot e finalizzati'!N146-'Entrate tot e finalizzati'!O146</f>
        <v>0</v>
      </c>
      <c r="J146" s="39">
        <f>+'Entrate tot e finalizzati'!P146-'Entrate tot e finalizzati'!Q146</f>
        <v>0</v>
      </c>
      <c r="K146" s="39">
        <f>+'Entrate tot e finalizzati'!R146-'Entrate tot e finalizzati'!S146</f>
        <v>0</v>
      </c>
      <c r="L146" s="39">
        <f>+'Entrate tot e finalizzati'!T146-'Entrate tot e finalizzati'!U146</f>
        <v>0</v>
      </c>
    </row>
    <row r="147" spans="1:12" s="2" customFormat="1" ht="12.75">
      <c r="A147" s="57"/>
      <c r="B147" s="37" t="s">
        <v>64</v>
      </c>
      <c r="D147" s="39">
        <f>+'Entrate tot e finalizzati'!D147-'Entrate tot e finalizzati'!E147</f>
        <v>0</v>
      </c>
      <c r="E147" s="39">
        <f>+'Entrate tot e finalizzati'!F147-'Entrate tot e finalizzati'!G147</f>
        <v>0</v>
      </c>
      <c r="F147" s="39">
        <f>+'Entrate tot e finalizzati'!H147-'Entrate tot e finalizzati'!I147</f>
        <v>0</v>
      </c>
      <c r="G147" s="39">
        <f>+'Entrate tot e finalizzati'!J147-'Entrate tot e finalizzati'!K147</f>
        <v>29</v>
      </c>
      <c r="H147" s="39">
        <f>+'Entrate tot e finalizzati'!L147-'Entrate tot e finalizzati'!M147</f>
        <v>1</v>
      </c>
      <c r="I147" s="39">
        <f>+'Entrate tot e finalizzati'!N147-'Entrate tot e finalizzati'!O147</f>
        <v>0</v>
      </c>
      <c r="J147" s="39">
        <f>+'Entrate tot e finalizzati'!P147-'Entrate tot e finalizzati'!Q147</f>
        <v>0</v>
      </c>
      <c r="K147" s="39">
        <f>+'Entrate tot e finalizzati'!R147-'Entrate tot e finalizzati'!S147</f>
        <v>0</v>
      </c>
      <c r="L147" s="39">
        <f>+'Entrate tot e finalizzati'!T147-'Entrate tot e finalizzati'!U147</f>
        <v>0</v>
      </c>
    </row>
    <row r="148" spans="1:12" s="2" customFormat="1" ht="12.75">
      <c r="A148" s="28" t="s">
        <v>134</v>
      </c>
      <c r="B148" s="29"/>
      <c r="C148" s="32"/>
      <c r="D148" s="30">
        <f>+'Entrate tot e finalizzati'!D148-'Entrate tot e finalizzati'!E148</f>
        <v>13650</v>
      </c>
      <c r="E148" s="30">
        <f>+'Entrate tot e finalizzati'!F148-'Entrate tot e finalizzati'!G148</f>
        <v>13510</v>
      </c>
      <c r="F148" s="30">
        <f>+'Entrate tot e finalizzati'!H148-'Entrate tot e finalizzati'!I148</f>
        <v>12940</v>
      </c>
      <c r="G148" s="30">
        <f>+'Entrate tot e finalizzati'!J148-'Entrate tot e finalizzati'!K148</f>
        <v>16476</v>
      </c>
      <c r="H148" s="30">
        <f>+'Entrate tot e finalizzati'!L148-'Entrate tot e finalizzati'!M148</f>
        <v>16524</v>
      </c>
      <c r="I148" s="30">
        <f>+'Entrate tot e finalizzati'!N148-'Entrate tot e finalizzati'!O148</f>
        <v>17964</v>
      </c>
      <c r="J148" s="30">
        <f>+'Entrate tot e finalizzati'!P148-'Entrate tot e finalizzati'!Q148</f>
        <v>20158</v>
      </c>
      <c r="K148" s="30">
        <f>+'Entrate tot e finalizzati'!R148-'Entrate tot e finalizzati'!S148</f>
        <v>20117</v>
      </c>
      <c r="L148" s="30">
        <f>+'Entrate tot e finalizzati'!T148-'Entrate tot e finalizzati'!U148</f>
        <v>7937</v>
      </c>
    </row>
    <row r="149" spans="1:12" s="2" customFormat="1" ht="12.75">
      <c r="A149" s="57"/>
      <c r="B149" s="6" t="s">
        <v>67</v>
      </c>
      <c r="D149" s="79">
        <f>+'Entrate tot e finalizzati'!D149-'Entrate tot e finalizzati'!E149</f>
        <v>0</v>
      </c>
      <c r="E149" s="79">
        <f>+'Entrate tot e finalizzati'!F149-'Entrate tot e finalizzati'!G149</f>
        <v>0</v>
      </c>
      <c r="F149" s="79">
        <f>+'Entrate tot e finalizzati'!H149-'Entrate tot e finalizzati'!I149</f>
        <v>0</v>
      </c>
      <c r="G149" s="79">
        <f>+'Entrate tot e finalizzati'!J149-'Entrate tot e finalizzati'!K149</f>
        <v>0</v>
      </c>
      <c r="H149" s="87">
        <f>+'Entrate tot e finalizzati'!L149-'Entrate tot e finalizzati'!M149</f>
        <v>0</v>
      </c>
      <c r="I149" s="87">
        <f>+'Entrate tot e finalizzati'!N149-'Entrate tot e finalizzati'!O149</f>
        <v>0</v>
      </c>
      <c r="J149" s="87">
        <f>+'Entrate tot e finalizzati'!P149-'Entrate tot e finalizzati'!Q149</f>
        <v>0</v>
      </c>
      <c r="K149" s="87">
        <f>+'Entrate tot e finalizzati'!R149-'Entrate tot e finalizzati'!S149</f>
        <v>0</v>
      </c>
      <c r="L149" s="87">
        <f>+'Entrate tot e finalizzati'!T149-'Entrate tot e finalizzati'!U149</f>
        <v>0</v>
      </c>
    </row>
    <row r="150" spans="1:12" s="2" customFormat="1" ht="12.75">
      <c r="A150" s="57"/>
      <c r="B150" s="6" t="s">
        <v>17</v>
      </c>
      <c r="D150" s="79">
        <f>+'Entrate tot e finalizzati'!D150-'Entrate tot e finalizzati'!E150</f>
        <v>0</v>
      </c>
      <c r="E150" s="79">
        <f>+'Entrate tot e finalizzati'!F150-'Entrate tot e finalizzati'!G150</f>
        <v>0</v>
      </c>
      <c r="F150" s="79">
        <f>+'Entrate tot e finalizzati'!H150-'Entrate tot e finalizzati'!I150</f>
        <v>0</v>
      </c>
      <c r="G150" s="79">
        <f>+'Entrate tot e finalizzati'!J150-'Entrate tot e finalizzati'!K150</f>
        <v>0</v>
      </c>
      <c r="H150" s="87">
        <f>+'Entrate tot e finalizzati'!L150-'Entrate tot e finalizzati'!M150</f>
        <v>0</v>
      </c>
      <c r="I150" s="87">
        <f>+'Entrate tot e finalizzati'!N150-'Entrate tot e finalizzati'!O150</f>
        <v>0</v>
      </c>
      <c r="J150" s="87">
        <f>+'Entrate tot e finalizzati'!P150-'Entrate tot e finalizzati'!Q150</f>
        <v>0</v>
      </c>
      <c r="K150" s="87">
        <f>+'Entrate tot e finalizzati'!R150-'Entrate tot e finalizzati'!S150</f>
        <v>0</v>
      </c>
      <c r="L150" s="87">
        <f>+'Entrate tot e finalizzati'!T150-'Entrate tot e finalizzati'!U150</f>
        <v>0</v>
      </c>
    </row>
    <row r="151" spans="1:12" s="2" customFormat="1" ht="12.75">
      <c r="A151" s="57"/>
      <c r="B151" s="6" t="s">
        <v>111</v>
      </c>
      <c r="D151" s="79">
        <f>+'Entrate tot e finalizzati'!D151-'Entrate tot e finalizzati'!E151</f>
        <v>0</v>
      </c>
      <c r="E151" s="79">
        <f>+'Entrate tot e finalizzati'!F151-'Entrate tot e finalizzati'!G151</f>
        <v>0</v>
      </c>
      <c r="F151" s="79">
        <f>+'Entrate tot e finalizzati'!H151-'Entrate tot e finalizzati'!I151</f>
        <v>0</v>
      </c>
      <c r="G151" s="79">
        <f>+'Entrate tot e finalizzati'!J151-'Entrate tot e finalizzati'!K151</f>
        <v>0</v>
      </c>
      <c r="H151" s="87">
        <f>+'Entrate tot e finalizzati'!L151-'Entrate tot e finalizzati'!M151</f>
        <v>0</v>
      </c>
      <c r="I151" s="87">
        <f>+'Entrate tot e finalizzati'!N151-'Entrate tot e finalizzati'!O151</f>
        <v>0</v>
      </c>
      <c r="J151" s="87">
        <f>+'Entrate tot e finalizzati'!P151-'Entrate tot e finalizzati'!Q151</f>
        <v>0</v>
      </c>
      <c r="K151" s="87">
        <f>+'Entrate tot e finalizzati'!R151-'Entrate tot e finalizzati'!S151</f>
        <v>0</v>
      </c>
      <c r="L151" s="87">
        <f>+'Entrate tot e finalizzati'!T151-'Entrate tot e finalizzati'!U151</f>
        <v>0</v>
      </c>
    </row>
    <row r="152" spans="1:12" s="2" customFormat="1" ht="12.75">
      <c r="A152" s="57"/>
      <c r="B152" s="6" t="s">
        <v>22</v>
      </c>
      <c r="D152" s="79">
        <f>+'Entrate tot e finalizzati'!D152-'Entrate tot e finalizzati'!E152</f>
        <v>3852</v>
      </c>
      <c r="E152" s="79">
        <f>+'Entrate tot e finalizzati'!F152-'Entrate tot e finalizzati'!G152</f>
        <v>3682</v>
      </c>
      <c r="F152" s="79">
        <f>+'Entrate tot e finalizzati'!H152-'Entrate tot e finalizzati'!I152</f>
        <v>2987</v>
      </c>
      <c r="G152" s="79">
        <f>+'Entrate tot e finalizzati'!J152-'Entrate tot e finalizzati'!K152</f>
        <v>2849</v>
      </c>
      <c r="H152" s="87">
        <f>+'Entrate tot e finalizzati'!L152-'Entrate tot e finalizzati'!M152</f>
        <v>2993</v>
      </c>
      <c r="I152" s="87">
        <f>+'Entrate tot e finalizzati'!N152-'Entrate tot e finalizzati'!O152</f>
        <v>2900</v>
      </c>
      <c r="J152" s="87">
        <f>+'Entrate tot e finalizzati'!P152-'Entrate tot e finalizzati'!Q152</f>
        <v>3100</v>
      </c>
      <c r="K152" s="87">
        <f>+'Entrate tot e finalizzati'!R152-'Entrate tot e finalizzati'!S152</f>
        <v>3450</v>
      </c>
      <c r="L152" s="87">
        <f>+'Entrate tot e finalizzati'!T152-'Entrate tot e finalizzati'!U152</f>
        <v>3600</v>
      </c>
    </row>
    <row r="153" spans="1:12" s="2" customFormat="1" ht="12.75">
      <c r="A153" s="57"/>
      <c r="B153" s="6" t="s">
        <v>66</v>
      </c>
      <c r="D153" s="79">
        <f>+'Entrate tot e finalizzati'!D153-'Entrate tot e finalizzati'!E153</f>
        <v>168</v>
      </c>
      <c r="E153" s="79">
        <f>+'Entrate tot e finalizzati'!F153-'Entrate tot e finalizzati'!G153</f>
        <v>156</v>
      </c>
      <c r="F153" s="79">
        <f>+'Entrate tot e finalizzati'!H153-'Entrate tot e finalizzati'!I153</f>
        <v>168</v>
      </c>
      <c r="G153" s="79">
        <f>+'Entrate tot e finalizzati'!J153-'Entrate tot e finalizzati'!K153</f>
        <v>2276</v>
      </c>
      <c r="H153" s="87">
        <f>+'Entrate tot e finalizzati'!L153-'Entrate tot e finalizzati'!M153</f>
        <v>2374</v>
      </c>
      <c r="I153" s="87">
        <f>+'Entrate tot e finalizzati'!N153-'Entrate tot e finalizzati'!O153</f>
        <v>3104</v>
      </c>
      <c r="J153" s="87">
        <f>+'Entrate tot e finalizzati'!P153-'Entrate tot e finalizzati'!Q153</f>
        <v>5115</v>
      </c>
      <c r="K153" s="87">
        <f>+'Entrate tot e finalizzati'!R153-'Entrate tot e finalizzati'!S153</f>
        <v>3409</v>
      </c>
      <c r="L153" s="87">
        <f>+'Entrate tot e finalizzati'!T153-'Entrate tot e finalizzati'!U153</f>
        <v>2692</v>
      </c>
    </row>
    <row r="154" spans="1:12" s="2" customFormat="1" ht="12.75">
      <c r="A154" s="57"/>
      <c r="B154" s="6" t="s">
        <v>23</v>
      </c>
      <c r="D154" s="79">
        <f>+'Entrate tot e finalizzati'!D154-'Entrate tot e finalizzati'!E154</f>
        <v>362</v>
      </c>
      <c r="E154" s="79">
        <f>+'Entrate tot e finalizzati'!F154-'Entrate tot e finalizzati'!G154</f>
        <v>0</v>
      </c>
      <c r="F154" s="79">
        <f>+'Entrate tot e finalizzati'!H154-'Entrate tot e finalizzati'!I154</f>
        <v>0</v>
      </c>
      <c r="G154" s="79">
        <f>+'Entrate tot e finalizzati'!J154-'Entrate tot e finalizzati'!K154</f>
        <v>0</v>
      </c>
      <c r="H154" s="87">
        <f>+'Entrate tot e finalizzati'!L154-'Entrate tot e finalizzati'!M154</f>
        <v>0</v>
      </c>
      <c r="I154" s="87">
        <f>+'Entrate tot e finalizzati'!N154-'Entrate tot e finalizzati'!O154</f>
        <v>0</v>
      </c>
      <c r="J154" s="87">
        <f>+'Entrate tot e finalizzati'!P154-'Entrate tot e finalizzati'!Q154</f>
        <v>0</v>
      </c>
      <c r="K154" s="87">
        <f>+'Entrate tot e finalizzati'!R154-'Entrate tot e finalizzati'!S154</f>
        <v>350</v>
      </c>
      <c r="L154" s="87">
        <f>+'Entrate tot e finalizzati'!T154-'Entrate tot e finalizzati'!U154</f>
        <v>0</v>
      </c>
    </row>
    <row r="155" spans="1:12" s="2" customFormat="1" ht="12.75">
      <c r="A155" s="57"/>
      <c r="B155" s="6" t="s">
        <v>68</v>
      </c>
      <c r="D155" s="79">
        <f>+'Entrate tot e finalizzati'!D155-'Entrate tot e finalizzati'!E155</f>
        <v>830</v>
      </c>
      <c r="E155" s="79">
        <f>+'Entrate tot e finalizzati'!F155-'Entrate tot e finalizzati'!G155</f>
        <v>992</v>
      </c>
      <c r="F155" s="79">
        <f>+'Entrate tot e finalizzati'!H155-'Entrate tot e finalizzati'!I155</f>
        <v>904</v>
      </c>
      <c r="G155" s="79">
        <f>+'Entrate tot e finalizzati'!J155-'Entrate tot e finalizzati'!K155</f>
        <v>864</v>
      </c>
      <c r="H155" s="87">
        <f>+'Entrate tot e finalizzati'!L155-'Entrate tot e finalizzati'!M155</f>
        <v>897</v>
      </c>
      <c r="I155" s="87">
        <f>+'Entrate tot e finalizzati'!N155-'Entrate tot e finalizzati'!O155</f>
        <v>949</v>
      </c>
      <c r="J155" s="87">
        <f>+'Entrate tot e finalizzati'!P155-'Entrate tot e finalizzati'!Q155</f>
        <v>885</v>
      </c>
      <c r="K155" s="87">
        <f>+'Entrate tot e finalizzati'!R155-'Entrate tot e finalizzati'!S155</f>
        <v>960</v>
      </c>
      <c r="L155" s="87">
        <f>+'Entrate tot e finalizzati'!T155-'Entrate tot e finalizzati'!U155</f>
        <v>863</v>
      </c>
    </row>
    <row r="156" spans="1:12" s="2" customFormat="1" ht="12.75">
      <c r="A156" s="57"/>
      <c r="B156" s="6" t="s">
        <v>16</v>
      </c>
      <c r="D156" s="79">
        <f>+'Entrate tot e finalizzati'!D156-'Entrate tot e finalizzati'!E156</f>
        <v>306</v>
      </c>
      <c r="E156" s="79">
        <f>+'Entrate tot e finalizzati'!F156-'Entrate tot e finalizzati'!G156</f>
        <v>310</v>
      </c>
      <c r="F156" s="79">
        <f>+'Entrate tot e finalizzati'!H156-'Entrate tot e finalizzati'!I156</f>
        <v>0</v>
      </c>
      <c r="G156" s="79">
        <f>+'Entrate tot e finalizzati'!J156-'Entrate tot e finalizzati'!K156</f>
        <v>310</v>
      </c>
      <c r="H156" s="87">
        <f>+'Entrate tot e finalizzati'!L156-'Entrate tot e finalizzati'!M156</f>
        <v>310</v>
      </c>
      <c r="I156" s="87">
        <f>+'Entrate tot e finalizzati'!N156-'Entrate tot e finalizzati'!O156</f>
        <v>436</v>
      </c>
      <c r="J156" s="87">
        <f>+'Entrate tot e finalizzati'!P156-'Entrate tot e finalizzati'!Q156</f>
        <v>444</v>
      </c>
      <c r="K156" s="87">
        <f>+'Entrate tot e finalizzati'!R156-'Entrate tot e finalizzati'!S156</f>
        <v>423</v>
      </c>
      <c r="L156" s="87">
        <f>+'Entrate tot e finalizzati'!T156-'Entrate tot e finalizzati'!U156</f>
        <v>432</v>
      </c>
    </row>
    <row r="157" spans="1:12" s="2" customFormat="1" ht="12.75">
      <c r="A157" s="57"/>
      <c r="B157" s="6" t="s">
        <v>69</v>
      </c>
      <c r="D157" s="79">
        <f>+'Entrate tot e finalizzati'!D157-'Entrate tot e finalizzati'!E157</f>
        <v>0</v>
      </c>
      <c r="E157" s="79">
        <f>+'Entrate tot e finalizzati'!F157-'Entrate tot e finalizzati'!G157</f>
        <v>0</v>
      </c>
      <c r="F157" s="79">
        <f>+'Entrate tot e finalizzati'!H157-'Entrate tot e finalizzati'!I157</f>
        <v>0</v>
      </c>
      <c r="G157" s="79">
        <f>+'Entrate tot e finalizzati'!J157-'Entrate tot e finalizzati'!K157</f>
        <v>0</v>
      </c>
      <c r="H157" s="87">
        <f>+'Entrate tot e finalizzati'!L157-'Entrate tot e finalizzati'!M157</f>
        <v>0</v>
      </c>
      <c r="I157" s="87">
        <f>+'Entrate tot e finalizzati'!N157-'Entrate tot e finalizzati'!O157</f>
        <v>0</v>
      </c>
      <c r="J157" s="87">
        <f>+'Entrate tot e finalizzati'!P157-'Entrate tot e finalizzati'!Q157</f>
        <v>0</v>
      </c>
      <c r="K157" s="87">
        <f>+'Entrate tot e finalizzati'!R157-'Entrate tot e finalizzati'!S157</f>
        <v>0</v>
      </c>
      <c r="L157" s="87">
        <f>+'Entrate tot e finalizzati'!T157-'Entrate tot e finalizzati'!U157</f>
        <v>0</v>
      </c>
    </row>
    <row r="158" spans="1:12" s="2" customFormat="1" ht="12.75">
      <c r="A158" s="57"/>
      <c r="B158" s="6" t="s">
        <v>70</v>
      </c>
      <c r="D158" s="79">
        <f>+'Entrate tot e finalizzati'!D158-'Entrate tot e finalizzati'!E158</f>
        <v>8031</v>
      </c>
      <c r="E158" s="79">
        <f>+'Entrate tot e finalizzati'!F158-'Entrate tot e finalizzati'!G158</f>
        <v>8326</v>
      </c>
      <c r="F158" s="79">
        <f>+'Entrate tot e finalizzati'!H158-'Entrate tot e finalizzati'!I158</f>
        <v>8881</v>
      </c>
      <c r="G158" s="79">
        <f>+'Entrate tot e finalizzati'!J158-'Entrate tot e finalizzati'!K158</f>
        <v>9296</v>
      </c>
      <c r="H158" s="87">
        <f>+'Entrate tot e finalizzati'!L158-'Entrate tot e finalizzati'!M158</f>
        <v>9640</v>
      </c>
      <c r="I158" s="87">
        <f>+'Entrate tot e finalizzati'!N158-'Entrate tot e finalizzati'!O158</f>
        <v>10270</v>
      </c>
      <c r="J158" s="87">
        <f>+'Entrate tot e finalizzati'!P158-'Entrate tot e finalizzati'!Q158</f>
        <v>10270</v>
      </c>
      <c r="K158" s="87">
        <f>+'Entrate tot e finalizzati'!R158-'Entrate tot e finalizzati'!S158</f>
        <v>11150</v>
      </c>
      <c r="L158" s="87">
        <f>+'Entrate tot e finalizzati'!T158-'Entrate tot e finalizzati'!U158</f>
        <v>0</v>
      </c>
    </row>
    <row r="159" spans="1:12" s="2" customFormat="1" ht="12.75">
      <c r="A159" s="57"/>
      <c r="B159" s="6" t="s">
        <v>64</v>
      </c>
      <c r="D159" s="79">
        <f>+'Entrate tot e finalizzati'!D159-'Entrate tot e finalizzati'!E159</f>
        <v>101</v>
      </c>
      <c r="E159" s="79">
        <f>+'Entrate tot e finalizzati'!F159-'Entrate tot e finalizzati'!G159</f>
        <v>44</v>
      </c>
      <c r="F159" s="79">
        <f>+'Entrate tot e finalizzati'!H159-'Entrate tot e finalizzati'!I159</f>
        <v>0</v>
      </c>
      <c r="G159" s="79">
        <f>+'Entrate tot e finalizzati'!J159-'Entrate tot e finalizzati'!K159</f>
        <v>0</v>
      </c>
      <c r="H159" s="87">
        <f>+'Entrate tot e finalizzati'!L159-'Entrate tot e finalizzati'!M159</f>
        <v>0</v>
      </c>
      <c r="I159" s="87">
        <f>+'Entrate tot e finalizzati'!N159-'Entrate tot e finalizzati'!O159</f>
        <v>0</v>
      </c>
      <c r="J159" s="87">
        <f>+'Entrate tot e finalizzati'!P159-'Entrate tot e finalizzati'!Q159</f>
        <v>0</v>
      </c>
      <c r="K159" s="87">
        <f>+'Entrate tot e finalizzati'!R159-'Entrate tot e finalizzati'!S159</f>
        <v>0</v>
      </c>
      <c r="L159" s="87">
        <f>+'Entrate tot e finalizzati'!T159-'Entrate tot e finalizzati'!U159</f>
        <v>0</v>
      </c>
    </row>
    <row r="160" spans="1:12" s="2" customFormat="1" ht="12.75">
      <c r="A160" s="57"/>
      <c r="B160" s="6" t="s">
        <v>65</v>
      </c>
      <c r="D160" s="79">
        <f>+'Entrate tot e finalizzati'!D160-'Entrate tot e finalizzati'!E160</f>
        <v>0</v>
      </c>
      <c r="E160" s="79">
        <f>+'Entrate tot e finalizzati'!F160-'Entrate tot e finalizzati'!G160</f>
        <v>0</v>
      </c>
      <c r="F160" s="79">
        <f>+'Entrate tot e finalizzati'!H160-'Entrate tot e finalizzati'!I160</f>
        <v>0</v>
      </c>
      <c r="G160" s="79">
        <f>+'Entrate tot e finalizzati'!J160-'Entrate tot e finalizzati'!K160</f>
        <v>881</v>
      </c>
      <c r="H160" s="87">
        <f>+'Entrate tot e finalizzati'!L160-'Entrate tot e finalizzati'!M160</f>
        <v>310</v>
      </c>
      <c r="I160" s="87">
        <f>+'Entrate tot e finalizzati'!N160-'Entrate tot e finalizzati'!O160</f>
        <v>305</v>
      </c>
      <c r="J160" s="87">
        <f>+'Entrate tot e finalizzati'!P160-'Entrate tot e finalizzati'!Q160</f>
        <v>344</v>
      </c>
      <c r="K160" s="87">
        <f>+'Entrate tot e finalizzati'!R160-'Entrate tot e finalizzati'!S160</f>
        <v>375</v>
      </c>
      <c r="L160" s="87">
        <f>+'Entrate tot e finalizzati'!T160-'Entrate tot e finalizzati'!U160</f>
        <v>350</v>
      </c>
    </row>
    <row r="161" spans="1:12" s="2" customFormat="1" ht="12.75">
      <c r="A161" s="28" t="s">
        <v>135</v>
      </c>
      <c r="B161" s="29"/>
      <c r="C161" s="32"/>
      <c r="D161" s="30">
        <f>+'Entrate tot e finalizzati'!D161-'Entrate tot e finalizzati'!E161</f>
        <v>3015</v>
      </c>
      <c r="E161" s="30">
        <f>+'Entrate tot e finalizzati'!F161-'Entrate tot e finalizzati'!G161</f>
        <v>338</v>
      </c>
      <c r="F161" s="30">
        <f>+'Entrate tot e finalizzati'!H161-'Entrate tot e finalizzati'!I161</f>
        <v>484</v>
      </c>
      <c r="G161" s="30">
        <f>+'Entrate tot e finalizzati'!J161-'Entrate tot e finalizzati'!K161</f>
        <v>329</v>
      </c>
      <c r="H161" s="30">
        <f>+'Entrate tot e finalizzati'!L161-'Entrate tot e finalizzati'!M161</f>
        <v>1760</v>
      </c>
      <c r="I161" s="30">
        <f>+'Entrate tot e finalizzati'!N161-'Entrate tot e finalizzati'!O161</f>
        <v>2824</v>
      </c>
      <c r="J161" s="30">
        <f>+'Entrate tot e finalizzati'!P161-'Entrate tot e finalizzati'!Q161</f>
        <v>3173</v>
      </c>
      <c r="K161" s="30">
        <f>+'Entrate tot e finalizzati'!R161-'Entrate tot e finalizzati'!S161</f>
        <v>3356</v>
      </c>
      <c r="L161" s="30">
        <f>+'Entrate tot e finalizzati'!T161-'Entrate tot e finalizzati'!U161</f>
        <v>1293</v>
      </c>
    </row>
    <row r="162" spans="1:12" s="60" customFormat="1" ht="12.75">
      <c r="A162" s="57"/>
      <c r="B162" s="38" t="s">
        <v>66</v>
      </c>
      <c r="D162" s="23">
        <f>+'Entrate tot e finalizzati'!D162-'Entrate tot e finalizzati'!E162</f>
        <v>0</v>
      </c>
      <c r="E162" s="23">
        <f>+'Entrate tot e finalizzati'!F162-'Entrate tot e finalizzati'!G162</f>
        <v>0</v>
      </c>
      <c r="F162" s="23">
        <f>+'Entrate tot e finalizzati'!H162-'Entrate tot e finalizzati'!I162</f>
        <v>0</v>
      </c>
      <c r="G162" s="23">
        <f>+'Entrate tot e finalizzati'!J162-'Entrate tot e finalizzati'!K162</f>
        <v>0</v>
      </c>
      <c r="H162" s="23">
        <f>+'Entrate tot e finalizzati'!L162-'Entrate tot e finalizzati'!M162</f>
        <v>0</v>
      </c>
      <c r="I162" s="23">
        <f>+'Entrate tot e finalizzati'!N162-'Entrate tot e finalizzati'!O162</f>
        <v>0</v>
      </c>
      <c r="J162" s="23">
        <f>+'Entrate tot e finalizzati'!P162-'Entrate tot e finalizzati'!Q162</f>
        <v>0</v>
      </c>
      <c r="K162" s="23">
        <f>+'Entrate tot e finalizzati'!R162-'Entrate tot e finalizzati'!S162</f>
        <v>0</v>
      </c>
      <c r="L162" s="23">
        <f>+'Entrate tot e finalizzati'!T162-'Entrate tot e finalizzati'!U162</f>
        <v>0</v>
      </c>
    </row>
    <row r="163" spans="1:12" s="60" customFormat="1" ht="12.75">
      <c r="A163" s="57"/>
      <c r="B163" s="38" t="s">
        <v>71</v>
      </c>
      <c r="D163" s="23">
        <f>+'Entrate tot e finalizzati'!D163-'Entrate tot e finalizzati'!E163</f>
        <v>226</v>
      </c>
      <c r="E163" s="23">
        <f>+'Entrate tot e finalizzati'!F163-'Entrate tot e finalizzati'!G163</f>
        <v>230</v>
      </c>
      <c r="F163" s="23">
        <f>+'Entrate tot e finalizzati'!H163-'Entrate tot e finalizzati'!I163</f>
        <v>236</v>
      </c>
      <c r="G163" s="23">
        <f>+'Entrate tot e finalizzati'!J163-'Entrate tot e finalizzati'!K163</f>
        <v>314</v>
      </c>
      <c r="H163" s="23">
        <f>+'Entrate tot e finalizzati'!L163-'Entrate tot e finalizzati'!M163</f>
        <v>157</v>
      </c>
      <c r="I163" s="23">
        <f>+'Entrate tot e finalizzati'!N163-'Entrate tot e finalizzati'!O163</f>
        <v>185</v>
      </c>
      <c r="J163" s="23">
        <f>+'Entrate tot e finalizzati'!P163-'Entrate tot e finalizzati'!Q163</f>
        <v>205</v>
      </c>
      <c r="K163" s="23">
        <f>+'Entrate tot e finalizzati'!R163-'Entrate tot e finalizzati'!S163</f>
        <v>225</v>
      </c>
      <c r="L163" s="23">
        <f>+'Entrate tot e finalizzati'!T163-'Entrate tot e finalizzati'!U163</f>
        <v>175</v>
      </c>
    </row>
    <row r="164" spans="1:12" s="60" customFormat="1" ht="12.75">
      <c r="A164" s="57"/>
      <c r="B164" s="38" t="s">
        <v>111</v>
      </c>
      <c r="D164" s="23">
        <f>+'Entrate tot e finalizzati'!D164-'Entrate tot e finalizzati'!E164</f>
        <v>0</v>
      </c>
      <c r="E164" s="23">
        <f>+'Entrate tot e finalizzati'!F164-'Entrate tot e finalizzati'!G164</f>
        <v>0</v>
      </c>
      <c r="F164" s="23">
        <f>+'Entrate tot e finalizzati'!H164-'Entrate tot e finalizzati'!I164</f>
        <v>0</v>
      </c>
      <c r="G164" s="23">
        <f>+'Entrate tot e finalizzati'!J164-'Entrate tot e finalizzati'!K164</f>
        <v>0</v>
      </c>
      <c r="H164" s="23">
        <f>+'Entrate tot e finalizzati'!L164-'Entrate tot e finalizzati'!M164</f>
        <v>0</v>
      </c>
      <c r="I164" s="23">
        <f>+'Entrate tot e finalizzati'!N164-'Entrate tot e finalizzati'!O164</f>
        <v>0</v>
      </c>
      <c r="J164" s="23">
        <f>+'Entrate tot e finalizzati'!P164-'Entrate tot e finalizzati'!Q164</f>
        <v>0</v>
      </c>
      <c r="K164" s="23">
        <f>+'Entrate tot e finalizzati'!R164-'Entrate tot e finalizzati'!S164</f>
        <v>0</v>
      </c>
      <c r="L164" s="23">
        <f>+'Entrate tot e finalizzati'!T164-'Entrate tot e finalizzati'!U164</f>
        <v>0</v>
      </c>
    </row>
    <row r="165" spans="1:12" s="60" customFormat="1" ht="12.75">
      <c r="A165" s="57"/>
      <c r="B165" s="38" t="s">
        <v>67</v>
      </c>
      <c r="D165" s="23">
        <f>+'Entrate tot e finalizzati'!D165-'Entrate tot e finalizzati'!E165</f>
        <v>2789</v>
      </c>
      <c r="E165" s="23">
        <f>+'Entrate tot e finalizzati'!F165-'Entrate tot e finalizzati'!G165</f>
        <v>108</v>
      </c>
      <c r="F165" s="23">
        <f>+'Entrate tot e finalizzati'!H165-'Entrate tot e finalizzati'!I165</f>
        <v>248</v>
      </c>
      <c r="G165" s="23">
        <f>+'Entrate tot e finalizzati'!J165-'Entrate tot e finalizzati'!K165</f>
        <v>15</v>
      </c>
      <c r="H165" s="23">
        <f>+'Entrate tot e finalizzati'!L165-'Entrate tot e finalizzati'!M165</f>
        <v>1032</v>
      </c>
      <c r="I165" s="23">
        <f>+'Entrate tot e finalizzati'!N165-'Entrate tot e finalizzati'!O165</f>
        <v>1432</v>
      </c>
      <c r="J165" s="23">
        <f>+'Entrate tot e finalizzati'!P165-'Entrate tot e finalizzati'!Q165</f>
        <v>1522</v>
      </c>
      <c r="K165" s="23">
        <f>+'Entrate tot e finalizzati'!R165-'Entrate tot e finalizzati'!S165</f>
        <v>1150</v>
      </c>
      <c r="L165" s="23">
        <f>+'Entrate tot e finalizzati'!T165-'Entrate tot e finalizzati'!U165</f>
        <v>600</v>
      </c>
    </row>
    <row r="166" spans="1:12" s="60" customFormat="1" ht="12.75">
      <c r="A166" s="57"/>
      <c r="B166" s="38" t="s">
        <v>17</v>
      </c>
      <c r="D166" s="23">
        <f>+'Entrate tot e finalizzati'!D166-'Entrate tot e finalizzati'!E166</f>
        <v>0</v>
      </c>
      <c r="E166" s="23">
        <f>+'Entrate tot e finalizzati'!F166-'Entrate tot e finalizzati'!G166</f>
        <v>0</v>
      </c>
      <c r="F166" s="23">
        <f>+'Entrate tot e finalizzati'!H166-'Entrate tot e finalizzati'!I166</f>
        <v>0</v>
      </c>
      <c r="G166" s="23">
        <f>+'Entrate tot e finalizzati'!J166-'Entrate tot e finalizzati'!K166</f>
        <v>0</v>
      </c>
      <c r="H166" s="23">
        <f>+'Entrate tot e finalizzati'!L166-'Entrate tot e finalizzati'!M166</f>
        <v>0</v>
      </c>
      <c r="I166" s="23">
        <f>+'Entrate tot e finalizzati'!N166-'Entrate tot e finalizzati'!O166</f>
        <v>0</v>
      </c>
      <c r="J166" s="23">
        <f>+'Entrate tot e finalizzati'!P166-'Entrate tot e finalizzati'!Q166</f>
        <v>0</v>
      </c>
      <c r="K166" s="23">
        <f>+'Entrate tot e finalizzati'!R166-'Entrate tot e finalizzati'!S166</f>
        <v>0</v>
      </c>
      <c r="L166" s="23">
        <f>+'Entrate tot e finalizzati'!T166-'Entrate tot e finalizzati'!U166</f>
        <v>0</v>
      </c>
    </row>
    <row r="167" spans="1:12" s="60" customFormat="1" ht="12.75">
      <c r="A167" s="57"/>
      <c r="B167" s="38" t="s">
        <v>64</v>
      </c>
      <c r="D167" s="23">
        <f>+'Entrate tot e finalizzati'!D167-'Entrate tot e finalizzati'!E167</f>
        <v>0</v>
      </c>
      <c r="E167" s="23">
        <f>+'Entrate tot e finalizzati'!F167-'Entrate tot e finalizzati'!G167</f>
        <v>0</v>
      </c>
      <c r="F167" s="23">
        <f>+'Entrate tot e finalizzati'!H167-'Entrate tot e finalizzati'!I167</f>
        <v>0</v>
      </c>
      <c r="G167" s="23">
        <f>+'Entrate tot e finalizzati'!J167-'Entrate tot e finalizzati'!K167</f>
        <v>0</v>
      </c>
      <c r="H167" s="23">
        <f>+'Entrate tot e finalizzati'!L167-'Entrate tot e finalizzati'!M167</f>
        <v>0</v>
      </c>
      <c r="I167" s="23">
        <f>+'Entrate tot e finalizzati'!N167-'Entrate tot e finalizzati'!O167</f>
        <v>0</v>
      </c>
      <c r="J167" s="23">
        <f>+'Entrate tot e finalizzati'!P167-'Entrate tot e finalizzati'!Q167</f>
        <v>0</v>
      </c>
      <c r="K167" s="23">
        <f>+'Entrate tot e finalizzati'!R167-'Entrate tot e finalizzati'!S167</f>
        <v>0</v>
      </c>
      <c r="L167" s="23">
        <f>+'Entrate tot e finalizzati'!T167-'Entrate tot e finalizzati'!U167</f>
        <v>0</v>
      </c>
    </row>
    <row r="168" spans="1:12" s="60" customFormat="1" ht="12.75">
      <c r="A168" s="57"/>
      <c r="B168" s="38" t="s">
        <v>113</v>
      </c>
      <c r="D168" s="23">
        <f>+'Entrate tot e finalizzati'!D168-'Entrate tot e finalizzati'!E168</f>
        <v>0</v>
      </c>
      <c r="E168" s="23">
        <f>+'Entrate tot e finalizzati'!F168-'Entrate tot e finalizzati'!G168</f>
        <v>0</v>
      </c>
      <c r="F168" s="23">
        <f>+'Entrate tot e finalizzati'!H168-'Entrate tot e finalizzati'!I168</f>
        <v>0</v>
      </c>
      <c r="G168" s="23">
        <f>+'Entrate tot e finalizzati'!J168-'Entrate tot e finalizzati'!K168</f>
        <v>0</v>
      </c>
      <c r="H168" s="23">
        <f>+'Entrate tot e finalizzati'!L168-'Entrate tot e finalizzati'!M168</f>
        <v>0</v>
      </c>
      <c r="I168" s="23">
        <f>+'Entrate tot e finalizzati'!N168-'Entrate tot e finalizzati'!O168</f>
        <v>0</v>
      </c>
      <c r="J168" s="23">
        <f>+'Entrate tot e finalizzati'!P168-'Entrate tot e finalizzati'!Q168</f>
        <v>0</v>
      </c>
      <c r="K168" s="23">
        <f>+'Entrate tot e finalizzati'!R168-'Entrate tot e finalizzati'!S168</f>
        <v>0</v>
      </c>
      <c r="L168" s="23">
        <f>+'Entrate tot e finalizzati'!T168-'Entrate tot e finalizzati'!U168</f>
        <v>0</v>
      </c>
    </row>
    <row r="169" spans="1:12" s="60" customFormat="1" ht="12.75">
      <c r="A169" s="57"/>
      <c r="B169" s="38" t="s">
        <v>72</v>
      </c>
      <c r="D169" s="23">
        <f>+'Entrate tot e finalizzati'!D169-'Entrate tot e finalizzati'!E169</f>
        <v>0</v>
      </c>
      <c r="E169" s="23">
        <f>+'Entrate tot e finalizzati'!F169-'Entrate tot e finalizzati'!G169</f>
        <v>0</v>
      </c>
      <c r="F169" s="23">
        <f>+'Entrate tot e finalizzati'!H169-'Entrate tot e finalizzati'!I169</f>
        <v>0</v>
      </c>
      <c r="G169" s="23">
        <f>+'Entrate tot e finalizzati'!J169-'Entrate tot e finalizzati'!K169</f>
        <v>0</v>
      </c>
      <c r="H169" s="23">
        <f>+'Entrate tot e finalizzati'!L169-'Entrate tot e finalizzati'!M169</f>
        <v>516</v>
      </c>
      <c r="I169" s="23">
        <f>+'Entrate tot e finalizzati'!N169-'Entrate tot e finalizzati'!O169</f>
        <v>517</v>
      </c>
      <c r="J169" s="23">
        <f>+'Entrate tot e finalizzati'!P169-'Entrate tot e finalizzati'!Q169</f>
        <v>516</v>
      </c>
      <c r="K169" s="23">
        <f>+'Entrate tot e finalizzati'!R169-'Entrate tot e finalizzati'!S169</f>
        <v>515</v>
      </c>
      <c r="L169" s="23">
        <f>+'Entrate tot e finalizzati'!T169-'Entrate tot e finalizzati'!U169</f>
        <v>516</v>
      </c>
    </row>
    <row r="170" spans="1:12" s="60" customFormat="1" ht="12.75">
      <c r="A170" s="57"/>
      <c r="B170" s="38" t="s">
        <v>65</v>
      </c>
      <c r="D170" s="23">
        <f>+'Entrate tot e finalizzati'!D170-'Entrate tot e finalizzati'!E170</f>
        <v>0</v>
      </c>
      <c r="E170" s="23">
        <f>+'Entrate tot e finalizzati'!F170-'Entrate tot e finalizzati'!G170</f>
        <v>0</v>
      </c>
      <c r="F170" s="23">
        <f>+'Entrate tot e finalizzati'!H170-'Entrate tot e finalizzati'!I170</f>
        <v>0</v>
      </c>
      <c r="G170" s="23">
        <f>+'Entrate tot e finalizzati'!J170-'Entrate tot e finalizzati'!K170</f>
        <v>0</v>
      </c>
      <c r="H170" s="23">
        <f>+'Entrate tot e finalizzati'!L170-'Entrate tot e finalizzati'!M170</f>
        <v>55</v>
      </c>
      <c r="I170" s="23">
        <f>+'Entrate tot e finalizzati'!N170-'Entrate tot e finalizzati'!O170</f>
        <v>90</v>
      </c>
      <c r="J170" s="23">
        <f>+'Entrate tot e finalizzati'!P170-'Entrate tot e finalizzati'!Q170</f>
        <v>181</v>
      </c>
      <c r="K170" s="23">
        <f>+'Entrate tot e finalizzati'!R170-'Entrate tot e finalizzati'!S170</f>
        <v>0</v>
      </c>
      <c r="L170" s="23">
        <f>+'Entrate tot e finalizzati'!T170-'Entrate tot e finalizzati'!U170</f>
        <v>2</v>
      </c>
    </row>
    <row r="171" spans="1:12" s="60" customFormat="1" ht="12.75">
      <c r="A171" s="57"/>
      <c r="B171" s="38" t="s">
        <v>95</v>
      </c>
      <c r="D171" s="23">
        <f>+'Entrate tot e finalizzati'!D171-'Entrate tot e finalizzati'!E171</f>
        <v>0</v>
      </c>
      <c r="E171" s="23">
        <f>+'Entrate tot e finalizzati'!F171-'Entrate tot e finalizzati'!G171</f>
        <v>0</v>
      </c>
      <c r="F171" s="23">
        <f>+'Entrate tot e finalizzati'!H171-'Entrate tot e finalizzati'!I171</f>
        <v>0</v>
      </c>
      <c r="G171" s="23">
        <f>+'Entrate tot e finalizzati'!J171-'Entrate tot e finalizzati'!K171</f>
        <v>0</v>
      </c>
      <c r="H171" s="23">
        <f>+'Entrate tot e finalizzati'!L171-'Entrate tot e finalizzati'!M171</f>
        <v>0</v>
      </c>
      <c r="I171" s="23">
        <f>+'Entrate tot e finalizzati'!N171-'Entrate tot e finalizzati'!O171</f>
        <v>600</v>
      </c>
      <c r="J171" s="23">
        <f>+'Entrate tot e finalizzati'!P171-'Entrate tot e finalizzati'!Q171</f>
        <v>749</v>
      </c>
      <c r="K171" s="23">
        <f>+'Entrate tot e finalizzati'!R171-'Entrate tot e finalizzati'!S171</f>
        <v>1466</v>
      </c>
      <c r="L171" s="23">
        <f>+'Entrate tot e finalizzati'!T171-'Entrate tot e finalizzati'!U171</f>
        <v>0</v>
      </c>
    </row>
    <row r="172" spans="1:12" s="60" customFormat="1" ht="12.75">
      <c r="A172" s="57"/>
      <c r="B172" s="38" t="s">
        <v>73</v>
      </c>
      <c r="D172" s="23">
        <f>+'Entrate tot e finalizzati'!D172-'Entrate tot e finalizzati'!E172</f>
        <v>0</v>
      </c>
      <c r="E172" s="23">
        <f>+'Entrate tot e finalizzati'!F172-'Entrate tot e finalizzati'!G172</f>
        <v>0</v>
      </c>
      <c r="F172" s="23">
        <f>+'Entrate tot e finalizzati'!H172-'Entrate tot e finalizzati'!I172</f>
        <v>0</v>
      </c>
      <c r="G172" s="23">
        <f>+'Entrate tot e finalizzati'!J172-'Entrate tot e finalizzati'!K172</f>
        <v>0</v>
      </c>
      <c r="H172" s="23">
        <f>+'Entrate tot e finalizzati'!L172-'Entrate tot e finalizzati'!M172</f>
        <v>0</v>
      </c>
      <c r="I172" s="23">
        <f>+'Entrate tot e finalizzati'!N172-'Entrate tot e finalizzati'!O172</f>
        <v>0</v>
      </c>
      <c r="J172" s="23">
        <f>+'Entrate tot e finalizzati'!P172-'Entrate tot e finalizzati'!Q172</f>
        <v>0</v>
      </c>
      <c r="K172" s="23">
        <f>+'Entrate tot e finalizzati'!R172-'Entrate tot e finalizzati'!S172</f>
        <v>0</v>
      </c>
      <c r="L172" s="23">
        <f>+'Entrate tot e finalizzati'!T172-'Entrate tot e finalizzati'!U172</f>
        <v>0</v>
      </c>
    </row>
    <row r="173" spans="1:12" s="2" customFormat="1" ht="12.75">
      <c r="A173" s="28" t="s">
        <v>136</v>
      </c>
      <c r="B173" s="29"/>
      <c r="C173" s="32"/>
      <c r="D173" s="30">
        <f>+'Entrate tot e finalizzati'!D173-'Entrate tot e finalizzati'!E173</f>
        <v>1</v>
      </c>
      <c r="E173" s="30">
        <f>+'Entrate tot e finalizzati'!F173-'Entrate tot e finalizzati'!G173</f>
        <v>0</v>
      </c>
      <c r="F173" s="30">
        <f>+'Entrate tot e finalizzati'!H173-'Entrate tot e finalizzati'!I173</f>
        <v>0</v>
      </c>
      <c r="G173" s="30">
        <f>+'Entrate tot e finalizzati'!J173-'Entrate tot e finalizzati'!K173</f>
        <v>0</v>
      </c>
      <c r="H173" s="30">
        <f>+'Entrate tot e finalizzati'!L173-'Entrate tot e finalizzati'!M173</f>
        <v>0</v>
      </c>
      <c r="I173" s="30">
        <f>+'Entrate tot e finalizzati'!N173-'Entrate tot e finalizzati'!O173</f>
        <v>0</v>
      </c>
      <c r="J173" s="30">
        <f>+'Entrate tot e finalizzati'!P173-'Entrate tot e finalizzati'!Q173</f>
        <v>44</v>
      </c>
      <c r="K173" s="30">
        <f>+'Entrate tot e finalizzati'!R173-'Entrate tot e finalizzati'!S173</f>
        <v>356</v>
      </c>
      <c r="L173" s="30">
        <f>+'Entrate tot e finalizzati'!T173-'Entrate tot e finalizzati'!U173</f>
        <v>48</v>
      </c>
    </row>
    <row r="174" spans="1:12" s="2" customFormat="1" ht="12.75">
      <c r="A174" s="57"/>
      <c r="B174" s="38" t="s">
        <v>64</v>
      </c>
      <c r="D174" s="70">
        <f>+'Entrate tot e finalizzati'!D174-'Entrate tot e finalizzati'!E174</f>
        <v>0</v>
      </c>
      <c r="E174" s="40">
        <f>+'Entrate tot e finalizzati'!F174-'Entrate tot e finalizzati'!G174</f>
        <v>0</v>
      </c>
      <c r="F174" s="70">
        <f>+'Entrate tot e finalizzati'!H174-'Entrate tot e finalizzati'!I174</f>
        <v>0</v>
      </c>
      <c r="G174" s="70">
        <f>+'Entrate tot e finalizzati'!J174-'Entrate tot e finalizzati'!K174</f>
        <v>0</v>
      </c>
      <c r="H174" s="79">
        <f>+'Entrate tot e finalizzati'!L174-'Entrate tot e finalizzati'!M174</f>
        <v>0</v>
      </c>
      <c r="I174" s="79">
        <f>+'Entrate tot e finalizzati'!N174-'Entrate tot e finalizzati'!O174</f>
        <v>0</v>
      </c>
      <c r="J174" s="79">
        <f>+'Entrate tot e finalizzati'!P174-'Entrate tot e finalizzati'!Q174</f>
        <v>0</v>
      </c>
      <c r="K174" s="79">
        <f>+'Entrate tot e finalizzati'!R174-'Entrate tot e finalizzati'!S174</f>
        <v>0</v>
      </c>
      <c r="L174" s="79">
        <f>+'Entrate tot e finalizzati'!T174-'Entrate tot e finalizzati'!U174</f>
        <v>0</v>
      </c>
    </row>
    <row r="175" spans="1:12" s="2" customFormat="1" ht="12.75">
      <c r="A175" s="57"/>
      <c r="B175" s="38" t="s">
        <v>66</v>
      </c>
      <c r="D175" s="70">
        <f>+'Entrate tot e finalizzati'!D175-'Entrate tot e finalizzati'!E175</f>
        <v>0</v>
      </c>
      <c r="E175" s="40">
        <f>+'Entrate tot e finalizzati'!F175-'Entrate tot e finalizzati'!G175</f>
        <v>0</v>
      </c>
      <c r="F175" s="70">
        <f>+'Entrate tot e finalizzati'!H175-'Entrate tot e finalizzati'!I175</f>
        <v>0</v>
      </c>
      <c r="G175" s="70">
        <f>+'Entrate tot e finalizzati'!J175-'Entrate tot e finalizzati'!K175</f>
        <v>0</v>
      </c>
      <c r="H175" s="79">
        <f>+'Entrate tot e finalizzati'!L175-'Entrate tot e finalizzati'!M175</f>
        <v>0</v>
      </c>
      <c r="I175" s="79">
        <f>+'Entrate tot e finalizzati'!N175-'Entrate tot e finalizzati'!O175</f>
        <v>0</v>
      </c>
      <c r="J175" s="79">
        <f>+'Entrate tot e finalizzati'!P175-'Entrate tot e finalizzati'!Q175</f>
        <v>0</v>
      </c>
      <c r="K175" s="79">
        <f>+'Entrate tot e finalizzati'!R175-'Entrate tot e finalizzati'!S175</f>
        <v>0</v>
      </c>
      <c r="L175" s="79">
        <f>+'Entrate tot e finalizzati'!T175-'Entrate tot e finalizzati'!U175</f>
        <v>0</v>
      </c>
    </row>
    <row r="176" spans="1:12" s="2" customFormat="1" ht="12.75">
      <c r="A176" s="57"/>
      <c r="B176" s="38" t="s">
        <v>69</v>
      </c>
      <c r="D176" s="70">
        <f>+'Entrate tot e finalizzati'!D176-'Entrate tot e finalizzati'!E176</f>
        <v>0</v>
      </c>
      <c r="E176" s="40">
        <f>+'Entrate tot e finalizzati'!F176-'Entrate tot e finalizzati'!G176</f>
        <v>0</v>
      </c>
      <c r="F176" s="70">
        <f>+'Entrate tot e finalizzati'!H176-'Entrate tot e finalizzati'!I176</f>
        <v>0</v>
      </c>
      <c r="G176" s="70">
        <f>+'Entrate tot e finalizzati'!J176-'Entrate tot e finalizzati'!K176</f>
        <v>0</v>
      </c>
      <c r="H176" s="79">
        <f>+'Entrate tot e finalizzati'!L176-'Entrate tot e finalizzati'!M176</f>
        <v>0</v>
      </c>
      <c r="I176" s="79">
        <f>+'Entrate tot e finalizzati'!N176-'Entrate tot e finalizzati'!O176</f>
        <v>0</v>
      </c>
      <c r="J176" s="79">
        <f>+'Entrate tot e finalizzati'!P176-'Entrate tot e finalizzati'!Q176</f>
        <v>0</v>
      </c>
      <c r="K176" s="79">
        <f>+'Entrate tot e finalizzati'!R176-'Entrate tot e finalizzati'!S176</f>
        <v>0</v>
      </c>
      <c r="L176" s="79">
        <f>+'Entrate tot e finalizzati'!T176-'Entrate tot e finalizzati'!U176</f>
        <v>0</v>
      </c>
    </row>
    <row r="177" spans="1:12" s="2" customFormat="1" ht="12.75">
      <c r="A177" s="57"/>
      <c r="B177" s="38" t="s">
        <v>17</v>
      </c>
      <c r="D177" s="70">
        <f>+'Entrate tot e finalizzati'!D177-'Entrate tot e finalizzati'!E177</f>
        <v>0</v>
      </c>
      <c r="E177" s="40">
        <f>+'Entrate tot e finalizzati'!F177-'Entrate tot e finalizzati'!G177</f>
        <v>0</v>
      </c>
      <c r="F177" s="70">
        <f>+'Entrate tot e finalizzati'!H177-'Entrate tot e finalizzati'!I177</f>
        <v>0</v>
      </c>
      <c r="G177" s="70">
        <f>+'Entrate tot e finalizzati'!J177-'Entrate tot e finalizzati'!K177</f>
        <v>0</v>
      </c>
      <c r="H177" s="79">
        <f>+'Entrate tot e finalizzati'!L177-'Entrate tot e finalizzati'!M177</f>
        <v>0</v>
      </c>
      <c r="I177" s="79">
        <f>+'Entrate tot e finalizzati'!N177-'Entrate tot e finalizzati'!O177</f>
        <v>0</v>
      </c>
      <c r="J177" s="79">
        <f>+'Entrate tot e finalizzati'!P177-'Entrate tot e finalizzati'!Q177</f>
        <v>0</v>
      </c>
      <c r="K177" s="79">
        <f>+'Entrate tot e finalizzati'!R177-'Entrate tot e finalizzati'!S177</f>
        <v>0</v>
      </c>
      <c r="L177" s="79">
        <f>+'Entrate tot e finalizzati'!T177-'Entrate tot e finalizzati'!U177</f>
        <v>0</v>
      </c>
    </row>
    <row r="178" spans="1:12" s="2" customFormat="1" ht="12.75">
      <c r="A178" s="57"/>
      <c r="B178" s="38" t="s">
        <v>21</v>
      </c>
      <c r="D178" s="70">
        <f>+'Entrate tot e finalizzati'!D178-'Entrate tot e finalizzati'!E178</f>
        <v>0</v>
      </c>
      <c r="E178" s="40">
        <f>+'Entrate tot e finalizzati'!F178-'Entrate tot e finalizzati'!G178</f>
        <v>0</v>
      </c>
      <c r="F178" s="70">
        <f>+'Entrate tot e finalizzati'!H178-'Entrate tot e finalizzati'!I178</f>
        <v>0</v>
      </c>
      <c r="G178" s="70">
        <f>+'Entrate tot e finalizzati'!J178-'Entrate tot e finalizzati'!K178</f>
        <v>0</v>
      </c>
      <c r="H178" s="79">
        <f>+'Entrate tot e finalizzati'!L178-'Entrate tot e finalizzati'!M178</f>
        <v>0</v>
      </c>
      <c r="I178" s="79">
        <f>+'Entrate tot e finalizzati'!N178-'Entrate tot e finalizzati'!O178</f>
        <v>0</v>
      </c>
      <c r="J178" s="79">
        <f>+'Entrate tot e finalizzati'!P178-'Entrate tot e finalizzati'!Q178</f>
        <v>44</v>
      </c>
      <c r="K178" s="79">
        <f>+'Entrate tot e finalizzati'!R178-'Entrate tot e finalizzati'!S178</f>
        <v>41</v>
      </c>
      <c r="L178" s="79">
        <f>+'Entrate tot e finalizzati'!T178-'Entrate tot e finalizzati'!U178</f>
        <v>47</v>
      </c>
    </row>
    <row r="179" spans="1:12" s="2" customFormat="1" ht="12.75">
      <c r="A179" s="57"/>
      <c r="B179" s="38" t="s">
        <v>65</v>
      </c>
      <c r="D179" s="70">
        <f>+'Entrate tot e finalizzati'!D179-'Entrate tot e finalizzati'!E179</f>
        <v>1</v>
      </c>
      <c r="E179" s="40">
        <f>+'Entrate tot e finalizzati'!F179-'Entrate tot e finalizzati'!G179</f>
        <v>0</v>
      </c>
      <c r="F179" s="70">
        <f>+'Entrate tot e finalizzati'!H179-'Entrate tot e finalizzati'!I179</f>
        <v>0</v>
      </c>
      <c r="G179" s="70">
        <f>+'Entrate tot e finalizzati'!J179-'Entrate tot e finalizzati'!K179</f>
        <v>0</v>
      </c>
      <c r="H179" s="79">
        <f>+'Entrate tot e finalizzati'!L179-'Entrate tot e finalizzati'!M179</f>
        <v>0</v>
      </c>
      <c r="I179" s="79">
        <f>+'Entrate tot e finalizzati'!N179-'Entrate tot e finalizzati'!O179</f>
        <v>0</v>
      </c>
      <c r="J179" s="79">
        <f>+'Entrate tot e finalizzati'!P179-'Entrate tot e finalizzati'!Q179</f>
        <v>0</v>
      </c>
      <c r="K179" s="79">
        <f>+'Entrate tot e finalizzati'!R179-'Entrate tot e finalizzati'!S179</f>
        <v>315</v>
      </c>
      <c r="L179" s="79">
        <f>+'Entrate tot e finalizzati'!T179-'Entrate tot e finalizzati'!U179</f>
        <v>1</v>
      </c>
    </row>
    <row r="180" spans="1:12" s="2" customFormat="1" ht="12.75">
      <c r="A180" s="57"/>
      <c r="B180" s="38" t="s">
        <v>72</v>
      </c>
      <c r="D180" s="70">
        <f>+'Entrate tot e finalizzati'!D180-'Entrate tot e finalizzati'!E180</f>
        <v>0</v>
      </c>
      <c r="E180" s="40">
        <f>+'Entrate tot e finalizzati'!F180-'Entrate tot e finalizzati'!G180</f>
        <v>0</v>
      </c>
      <c r="F180" s="70">
        <f>+'Entrate tot e finalizzati'!H180-'Entrate tot e finalizzati'!I180</f>
        <v>0</v>
      </c>
      <c r="G180" s="70">
        <f>+'Entrate tot e finalizzati'!J180-'Entrate tot e finalizzati'!K180</f>
        <v>0</v>
      </c>
      <c r="H180" s="79">
        <f>+'Entrate tot e finalizzati'!L180-'Entrate tot e finalizzati'!M180</f>
        <v>0</v>
      </c>
      <c r="I180" s="79">
        <f>+'Entrate tot e finalizzati'!N180-'Entrate tot e finalizzati'!O180</f>
        <v>0</v>
      </c>
      <c r="J180" s="79">
        <f>+'Entrate tot e finalizzati'!P180-'Entrate tot e finalizzati'!Q180</f>
        <v>0</v>
      </c>
      <c r="K180" s="79">
        <f>+'Entrate tot e finalizzati'!R180-'Entrate tot e finalizzati'!S180</f>
        <v>0</v>
      </c>
      <c r="L180" s="79">
        <f>+'Entrate tot e finalizzati'!T180-'Entrate tot e finalizzati'!U180</f>
        <v>0</v>
      </c>
    </row>
    <row r="181" spans="1:12" s="2" customFormat="1" ht="12.75">
      <c r="A181" s="57"/>
      <c r="B181" s="38" t="s">
        <v>67</v>
      </c>
      <c r="D181" s="70">
        <f>+'Entrate tot e finalizzati'!D181-'Entrate tot e finalizzati'!E181</f>
        <v>0</v>
      </c>
      <c r="E181" s="40">
        <f>+'Entrate tot e finalizzati'!F181-'Entrate tot e finalizzati'!G181</f>
        <v>0</v>
      </c>
      <c r="F181" s="70">
        <f>+'Entrate tot e finalizzati'!H181-'Entrate tot e finalizzati'!I181</f>
        <v>0</v>
      </c>
      <c r="G181" s="70">
        <f>+'Entrate tot e finalizzati'!J181-'Entrate tot e finalizzati'!K181</f>
        <v>0</v>
      </c>
      <c r="H181" s="79">
        <f>+'Entrate tot e finalizzati'!L181-'Entrate tot e finalizzati'!M181</f>
        <v>0</v>
      </c>
      <c r="I181" s="79">
        <f>+'Entrate tot e finalizzati'!N181-'Entrate tot e finalizzati'!O181</f>
        <v>0</v>
      </c>
      <c r="J181" s="79">
        <f>+'Entrate tot e finalizzati'!P181-'Entrate tot e finalizzati'!Q181</f>
        <v>0</v>
      </c>
      <c r="K181" s="79">
        <f>+'Entrate tot e finalizzati'!R181-'Entrate tot e finalizzati'!S181</f>
        <v>0</v>
      </c>
      <c r="L181" s="79">
        <f>+'Entrate tot e finalizzati'!T181-'Entrate tot e finalizzati'!U181</f>
        <v>0</v>
      </c>
    </row>
    <row r="182" spans="1:12" s="2" customFormat="1" ht="12.75">
      <c r="A182" s="28" t="s">
        <v>137</v>
      </c>
      <c r="B182" s="29"/>
      <c r="C182" s="32"/>
      <c r="D182" s="30">
        <f>+'Entrate tot e finalizzati'!D182-'Entrate tot e finalizzati'!E182</f>
        <v>1885</v>
      </c>
      <c r="E182" s="30">
        <f>+'Entrate tot e finalizzati'!F182-'Entrate tot e finalizzati'!G182</f>
        <v>2010</v>
      </c>
      <c r="F182" s="30">
        <f>+'Entrate tot e finalizzati'!H182-'Entrate tot e finalizzati'!I182</f>
        <v>1893</v>
      </c>
      <c r="G182" s="30">
        <f>+'Entrate tot e finalizzati'!J182-'Entrate tot e finalizzati'!K182</f>
        <v>1693</v>
      </c>
      <c r="H182" s="30">
        <f>+'Entrate tot e finalizzati'!L182-'Entrate tot e finalizzati'!M182</f>
        <v>1861</v>
      </c>
      <c r="I182" s="30">
        <f>+'Entrate tot e finalizzati'!N182-'Entrate tot e finalizzati'!O182</f>
        <v>1447</v>
      </c>
      <c r="J182" s="30">
        <f>+'Entrate tot e finalizzati'!P182-'Entrate tot e finalizzati'!Q182</f>
        <v>1634</v>
      </c>
      <c r="K182" s="30">
        <f>+'Entrate tot e finalizzati'!R182-'Entrate tot e finalizzati'!S182</f>
        <v>1743</v>
      </c>
      <c r="L182" s="30">
        <f>+'Entrate tot e finalizzati'!T182-'Entrate tot e finalizzati'!U182</f>
        <v>1406</v>
      </c>
    </row>
    <row r="183" spans="1:12" s="2" customFormat="1" ht="12.75">
      <c r="A183" s="57"/>
      <c r="B183" s="38" t="s">
        <v>66</v>
      </c>
      <c r="D183" s="70">
        <f>+'Entrate tot e finalizzati'!D183-'Entrate tot e finalizzati'!E183</f>
        <v>0</v>
      </c>
      <c r="E183" s="40">
        <f>+'Entrate tot e finalizzati'!F183-'Entrate tot e finalizzati'!G183</f>
        <v>0</v>
      </c>
      <c r="F183" s="70">
        <f>+'Entrate tot e finalizzati'!H183-'Entrate tot e finalizzati'!I183</f>
        <v>0</v>
      </c>
      <c r="G183" s="70">
        <f>+'Entrate tot e finalizzati'!J183-'Entrate tot e finalizzati'!K183</f>
        <v>0</v>
      </c>
      <c r="H183" s="79">
        <f>+'Entrate tot e finalizzati'!L183-'Entrate tot e finalizzati'!M183</f>
        <v>0</v>
      </c>
      <c r="I183" s="79">
        <f>+'Entrate tot e finalizzati'!N183-'Entrate tot e finalizzati'!O183</f>
        <v>0</v>
      </c>
      <c r="J183" s="79">
        <f>+'Entrate tot e finalizzati'!P183-'Entrate tot e finalizzati'!Q183</f>
        <v>0</v>
      </c>
      <c r="K183" s="79">
        <f>+'Entrate tot e finalizzati'!R183-'Entrate tot e finalizzati'!S183</f>
        <v>0</v>
      </c>
      <c r="L183" s="79">
        <f>+'Entrate tot e finalizzati'!T183-'Entrate tot e finalizzati'!U183</f>
        <v>0</v>
      </c>
    </row>
    <row r="184" spans="1:12" s="2" customFormat="1" ht="12.75">
      <c r="A184" s="57"/>
      <c r="B184" s="38" t="s">
        <v>111</v>
      </c>
      <c r="D184" s="70">
        <f>+'Entrate tot e finalizzati'!D184-'Entrate tot e finalizzati'!E184</f>
        <v>0</v>
      </c>
      <c r="E184" s="40">
        <f>+'Entrate tot e finalizzati'!F184-'Entrate tot e finalizzati'!G184</f>
        <v>0</v>
      </c>
      <c r="F184" s="70">
        <f>+'Entrate tot e finalizzati'!H184-'Entrate tot e finalizzati'!I184</f>
        <v>0</v>
      </c>
      <c r="G184" s="70">
        <f>+'Entrate tot e finalizzati'!J184-'Entrate tot e finalizzati'!K184</f>
        <v>0</v>
      </c>
      <c r="H184" s="79">
        <f>+'Entrate tot e finalizzati'!L184-'Entrate tot e finalizzati'!M184</f>
        <v>0</v>
      </c>
      <c r="I184" s="79">
        <f>+'Entrate tot e finalizzati'!N184-'Entrate tot e finalizzati'!O184</f>
        <v>0</v>
      </c>
      <c r="J184" s="79">
        <f>+'Entrate tot e finalizzati'!P184-'Entrate tot e finalizzati'!Q184</f>
        <v>0</v>
      </c>
      <c r="K184" s="79">
        <f>+'Entrate tot e finalizzati'!R184-'Entrate tot e finalizzati'!S184</f>
        <v>0</v>
      </c>
      <c r="L184" s="79">
        <f>+'Entrate tot e finalizzati'!T184-'Entrate tot e finalizzati'!U184</f>
        <v>0</v>
      </c>
    </row>
    <row r="185" spans="1:12" s="2" customFormat="1" ht="12.75">
      <c r="A185" s="57"/>
      <c r="B185" s="38" t="s">
        <v>72</v>
      </c>
      <c r="D185" s="70">
        <f>+'Entrate tot e finalizzati'!D185-'Entrate tot e finalizzati'!E185</f>
        <v>0</v>
      </c>
      <c r="E185" s="40">
        <f>+'Entrate tot e finalizzati'!F185-'Entrate tot e finalizzati'!G185</f>
        <v>0</v>
      </c>
      <c r="F185" s="70">
        <f>+'Entrate tot e finalizzati'!H185-'Entrate tot e finalizzati'!I185</f>
        <v>0</v>
      </c>
      <c r="G185" s="70">
        <f>+'Entrate tot e finalizzati'!J185-'Entrate tot e finalizzati'!K185</f>
        <v>0</v>
      </c>
      <c r="H185" s="79">
        <f>+'Entrate tot e finalizzati'!L185-'Entrate tot e finalizzati'!M185</f>
        <v>0</v>
      </c>
      <c r="I185" s="79">
        <f>+'Entrate tot e finalizzati'!N185-'Entrate tot e finalizzati'!O185</f>
        <v>0</v>
      </c>
      <c r="J185" s="79">
        <f>+'Entrate tot e finalizzati'!P185-'Entrate tot e finalizzati'!Q185</f>
        <v>0</v>
      </c>
      <c r="K185" s="79">
        <f>+'Entrate tot e finalizzati'!R185-'Entrate tot e finalizzati'!S185</f>
        <v>0</v>
      </c>
      <c r="L185" s="79">
        <f>+'Entrate tot e finalizzati'!T185-'Entrate tot e finalizzati'!U185</f>
        <v>0</v>
      </c>
    </row>
    <row r="186" spans="1:12" s="2" customFormat="1" ht="12.75">
      <c r="A186" s="57"/>
      <c r="B186" s="38" t="s">
        <v>67</v>
      </c>
      <c r="D186" s="70">
        <f>+'Entrate tot e finalizzati'!D186-'Entrate tot e finalizzati'!E186</f>
        <v>0</v>
      </c>
      <c r="E186" s="40">
        <f>+'Entrate tot e finalizzati'!F186-'Entrate tot e finalizzati'!G186</f>
        <v>0</v>
      </c>
      <c r="F186" s="70">
        <f>+'Entrate tot e finalizzati'!H186-'Entrate tot e finalizzati'!I186</f>
        <v>0</v>
      </c>
      <c r="G186" s="70">
        <f>+'Entrate tot e finalizzati'!J186-'Entrate tot e finalizzati'!K186</f>
        <v>0</v>
      </c>
      <c r="H186" s="79">
        <f>+'Entrate tot e finalizzati'!L186-'Entrate tot e finalizzati'!M186</f>
        <v>0</v>
      </c>
      <c r="I186" s="79">
        <f>+'Entrate tot e finalizzati'!N186-'Entrate tot e finalizzati'!O186</f>
        <v>0</v>
      </c>
      <c r="J186" s="79">
        <f>+'Entrate tot e finalizzati'!P186-'Entrate tot e finalizzati'!Q186</f>
        <v>0</v>
      </c>
      <c r="K186" s="79">
        <f>+'Entrate tot e finalizzati'!R186-'Entrate tot e finalizzati'!S186</f>
        <v>0</v>
      </c>
      <c r="L186" s="79">
        <f>+'Entrate tot e finalizzati'!T186-'Entrate tot e finalizzati'!U186</f>
        <v>0</v>
      </c>
    </row>
    <row r="187" spans="1:15" s="2" customFormat="1" ht="12.75">
      <c r="A187" s="57"/>
      <c r="B187" s="38" t="s">
        <v>75</v>
      </c>
      <c r="D187" s="70">
        <f>+'Entrate tot e finalizzati'!D187-'Entrate tot e finalizzati'!E187</f>
        <v>868</v>
      </c>
      <c r="E187" s="40">
        <f>+'Entrate tot e finalizzati'!F187-'Entrate tot e finalizzati'!G187</f>
        <v>853</v>
      </c>
      <c r="F187" s="70">
        <f>+'Entrate tot e finalizzati'!H187-'Entrate tot e finalizzati'!I187</f>
        <v>803</v>
      </c>
      <c r="G187" s="70">
        <f>+'Entrate tot e finalizzati'!J187-'Entrate tot e finalizzati'!K187</f>
        <v>880</v>
      </c>
      <c r="H187" s="79">
        <f>+'Entrate tot e finalizzati'!L187-'Entrate tot e finalizzati'!M187</f>
        <v>1100</v>
      </c>
      <c r="I187" s="79">
        <f>+'Entrate tot e finalizzati'!N187-'Entrate tot e finalizzati'!O187</f>
        <v>884</v>
      </c>
      <c r="J187" s="79">
        <f>+'Entrate tot e finalizzati'!P187-'Entrate tot e finalizzati'!Q187</f>
        <v>989</v>
      </c>
      <c r="K187" s="79">
        <f>+'Entrate tot e finalizzati'!R187-'Entrate tot e finalizzati'!S187</f>
        <v>962</v>
      </c>
      <c r="L187" s="79">
        <f>+'Entrate tot e finalizzati'!T187-'Entrate tot e finalizzati'!U187</f>
        <v>723</v>
      </c>
      <c r="M187" s="2">
        <f>+'Entrate tot e finalizzati'!S186-'Entrate tot e finalizzati'!T186</f>
        <v>58</v>
      </c>
      <c r="N187" s="2">
        <f>+'Entrate tot e finalizzati'!U186-'Entrate tot e finalizzati'!V170</f>
        <v>0</v>
      </c>
      <c r="O187" s="2">
        <f>+'Entrate tot e finalizzati'!W170-'Entrate tot e finalizzati'!X170</f>
        <v>0</v>
      </c>
    </row>
    <row r="188" spans="1:12" s="2" customFormat="1" ht="12.75">
      <c r="A188" s="57"/>
      <c r="B188" s="38" t="s">
        <v>74</v>
      </c>
      <c r="D188" s="70">
        <f>+'Entrate tot e finalizzati'!D188-'Entrate tot e finalizzati'!E188</f>
        <v>236</v>
      </c>
      <c r="E188" s="40">
        <f>+'Entrate tot e finalizzati'!F188-'Entrate tot e finalizzati'!G188</f>
        <v>1045</v>
      </c>
      <c r="F188" s="70">
        <f>+'Entrate tot e finalizzati'!H188-'Entrate tot e finalizzati'!I188</f>
        <v>991</v>
      </c>
      <c r="G188" s="70">
        <f>+'Entrate tot e finalizzati'!J188-'Entrate tot e finalizzati'!K188</f>
        <v>742</v>
      </c>
      <c r="H188" s="79">
        <f>+'Entrate tot e finalizzati'!L188-'Entrate tot e finalizzati'!M188</f>
        <v>689</v>
      </c>
      <c r="I188" s="79">
        <f>+'Entrate tot e finalizzati'!N188-'Entrate tot e finalizzati'!O188</f>
        <v>501</v>
      </c>
      <c r="J188" s="79">
        <f>+'Entrate tot e finalizzati'!P188-'Entrate tot e finalizzati'!Q188</f>
        <v>571</v>
      </c>
      <c r="K188" s="79">
        <f>+'Entrate tot e finalizzati'!R188-'Entrate tot e finalizzati'!S188</f>
        <v>721</v>
      </c>
      <c r="L188" s="79">
        <f>+'Entrate tot e finalizzati'!T188-'Entrate tot e finalizzati'!U188</f>
        <v>562</v>
      </c>
    </row>
    <row r="189" spans="1:12" s="2" customFormat="1" ht="12.75">
      <c r="A189" s="57"/>
      <c r="B189" s="38" t="s">
        <v>17</v>
      </c>
      <c r="D189" s="70">
        <f>+'Entrate tot e finalizzati'!D189-'Entrate tot e finalizzati'!E189</f>
        <v>0</v>
      </c>
      <c r="E189" s="40">
        <f>+'Entrate tot e finalizzati'!F189-'Entrate tot e finalizzati'!G189</f>
        <v>0</v>
      </c>
      <c r="F189" s="70">
        <f>+'Entrate tot e finalizzati'!H189-'Entrate tot e finalizzati'!I189</f>
        <v>0</v>
      </c>
      <c r="G189" s="70">
        <f>+'Entrate tot e finalizzati'!J189-'Entrate tot e finalizzati'!K189</f>
        <v>0</v>
      </c>
      <c r="H189" s="79">
        <f>+'Entrate tot e finalizzati'!L189-'Entrate tot e finalizzati'!M189</f>
        <v>0</v>
      </c>
      <c r="I189" s="79">
        <f>+'Entrate tot e finalizzati'!N189-'Entrate tot e finalizzati'!O189</f>
        <v>0</v>
      </c>
      <c r="J189" s="79">
        <f>+'Entrate tot e finalizzati'!P189-'Entrate tot e finalizzati'!Q189</f>
        <v>0</v>
      </c>
      <c r="K189" s="79">
        <f>+'Entrate tot e finalizzati'!R189-'Entrate tot e finalizzati'!S189</f>
        <v>0</v>
      </c>
      <c r="L189" s="79">
        <f>+'Entrate tot e finalizzati'!T189-'Entrate tot e finalizzati'!U189</f>
        <v>0</v>
      </c>
    </row>
    <row r="190" spans="1:12" s="2" customFormat="1" ht="12.75">
      <c r="A190" s="62"/>
      <c r="B190" s="16" t="s">
        <v>65</v>
      </c>
      <c r="D190" s="70">
        <f>+'Entrate tot e finalizzati'!D190-'Entrate tot e finalizzati'!E190</f>
        <v>781</v>
      </c>
      <c r="E190" s="70">
        <f>+'Entrate tot e finalizzati'!F190-'Entrate tot e finalizzati'!G190</f>
        <v>112</v>
      </c>
      <c r="F190" s="70">
        <f>+'Entrate tot e finalizzati'!H190-'Entrate tot e finalizzati'!I190</f>
        <v>99</v>
      </c>
      <c r="G190" s="70">
        <f>+'Entrate tot e finalizzati'!J190-'Entrate tot e finalizzati'!K190</f>
        <v>71</v>
      </c>
      <c r="H190" s="87">
        <f>+'Entrate tot e finalizzati'!L190-'Entrate tot e finalizzati'!M190</f>
        <v>72</v>
      </c>
      <c r="I190" s="87">
        <f>+'Entrate tot e finalizzati'!N190-'Entrate tot e finalizzati'!O190</f>
        <v>62</v>
      </c>
      <c r="J190" s="87">
        <f>+'Entrate tot e finalizzati'!P190-'Entrate tot e finalizzati'!Q190</f>
        <v>74</v>
      </c>
      <c r="K190" s="87">
        <f>+'Entrate tot e finalizzati'!R190-'Entrate tot e finalizzati'!S190</f>
        <v>60</v>
      </c>
      <c r="L190" s="87">
        <f>+'Entrate tot e finalizzati'!T190-'Entrate tot e finalizzati'!U190</f>
        <v>121</v>
      </c>
    </row>
    <row r="191" spans="1:12" s="2" customFormat="1" ht="12.75">
      <c r="A191" s="28" t="s">
        <v>138</v>
      </c>
      <c r="B191" s="29"/>
      <c r="C191" s="32"/>
      <c r="D191" s="30">
        <f>+'Entrate tot e finalizzati'!D191-'Entrate tot e finalizzati'!E191</f>
        <v>2175</v>
      </c>
      <c r="E191" s="30">
        <f>+'Entrate tot e finalizzati'!F191-'Entrate tot e finalizzati'!G191</f>
        <v>1698</v>
      </c>
      <c r="F191" s="30">
        <f>+'Entrate tot e finalizzati'!H191-'Entrate tot e finalizzati'!I191</f>
        <v>730</v>
      </c>
      <c r="G191" s="30">
        <f>+'Entrate tot e finalizzati'!J191-'Entrate tot e finalizzati'!K191</f>
        <v>727</v>
      </c>
      <c r="H191" s="30">
        <f>+'Entrate tot e finalizzati'!L191-'Entrate tot e finalizzati'!M191</f>
        <v>744</v>
      </c>
      <c r="I191" s="30">
        <f>+'Entrate tot e finalizzati'!N191-'Entrate tot e finalizzati'!O191</f>
        <v>771</v>
      </c>
      <c r="J191" s="30">
        <f>+'Entrate tot e finalizzati'!P191-'Entrate tot e finalizzati'!Q191</f>
        <v>691</v>
      </c>
      <c r="K191" s="30">
        <f>+'Entrate tot e finalizzati'!R191-'Entrate tot e finalizzati'!S191</f>
        <v>559</v>
      </c>
      <c r="L191" s="30">
        <f>+'Entrate tot e finalizzati'!T191-'Entrate tot e finalizzati'!U191</f>
        <v>1219</v>
      </c>
    </row>
    <row r="192" spans="1:12" s="2" customFormat="1" ht="12.75">
      <c r="A192" s="57"/>
      <c r="B192" s="38" t="s">
        <v>17</v>
      </c>
      <c r="D192" s="70">
        <f>+'Entrate tot e finalizzati'!D192-'Entrate tot e finalizzati'!E192</f>
        <v>0</v>
      </c>
      <c r="E192" s="40">
        <f>+'Entrate tot e finalizzati'!F192-'Entrate tot e finalizzati'!G192</f>
        <v>0</v>
      </c>
      <c r="F192" s="70">
        <f>+'Entrate tot e finalizzati'!H192-'Entrate tot e finalizzati'!I192</f>
        <v>0</v>
      </c>
      <c r="G192" s="70">
        <f>+'Entrate tot e finalizzati'!J192-'Entrate tot e finalizzati'!K192</f>
        <v>0</v>
      </c>
      <c r="H192" s="79">
        <f>+'Entrate tot e finalizzati'!L192-'Entrate tot e finalizzati'!M192</f>
        <v>0</v>
      </c>
      <c r="I192" s="79">
        <f>+'Entrate tot e finalizzati'!N192-'Entrate tot e finalizzati'!O192</f>
        <v>0</v>
      </c>
      <c r="J192" s="79">
        <f>+'Entrate tot e finalizzati'!P192-'Entrate tot e finalizzati'!Q192</f>
        <v>0</v>
      </c>
      <c r="K192" s="79">
        <f>+'Entrate tot e finalizzati'!R192-'Entrate tot e finalizzati'!S192</f>
        <v>0</v>
      </c>
      <c r="L192" s="79">
        <f>+'Entrate tot e finalizzati'!T192-'Entrate tot e finalizzati'!U192</f>
        <v>0</v>
      </c>
    </row>
    <row r="193" spans="1:12" s="2" customFormat="1" ht="12.75">
      <c r="A193" s="57"/>
      <c r="B193" s="38" t="s">
        <v>64</v>
      </c>
      <c r="D193" s="70">
        <f>+'Entrate tot e finalizzati'!D193-'Entrate tot e finalizzati'!E193</f>
        <v>2</v>
      </c>
      <c r="E193" s="40">
        <f>+'Entrate tot e finalizzati'!F193-'Entrate tot e finalizzati'!G193</f>
        <v>11</v>
      </c>
      <c r="F193" s="70">
        <f>+'Entrate tot e finalizzati'!H193-'Entrate tot e finalizzati'!I193</f>
        <v>6</v>
      </c>
      <c r="G193" s="70">
        <f>+'Entrate tot e finalizzati'!J193-'Entrate tot e finalizzati'!K193</f>
        <v>10</v>
      </c>
      <c r="H193" s="79">
        <f>+'Entrate tot e finalizzati'!L193-'Entrate tot e finalizzati'!M193</f>
        <v>10</v>
      </c>
      <c r="I193" s="79">
        <f>+'Entrate tot e finalizzati'!N193-'Entrate tot e finalizzati'!O193</f>
        <v>12</v>
      </c>
      <c r="J193" s="79">
        <f>+'Entrate tot e finalizzati'!P193-'Entrate tot e finalizzati'!Q193</f>
        <v>10</v>
      </c>
      <c r="K193" s="79">
        <f>+'Entrate tot e finalizzati'!R193-'Entrate tot e finalizzati'!S193</f>
        <v>11</v>
      </c>
      <c r="L193" s="79">
        <f>+'Entrate tot e finalizzati'!T193-'Entrate tot e finalizzati'!U193</f>
        <v>0</v>
      </c>
    </row>
    <row r="194" spans="1:12" s="2" customFormat="1" ht="12.75">
      <c r="A194" s="57"/>
      <c r="B194" s="38" t="s">
        <v>67</v>
      </c>
      <c r="D194" s="70">
        <f>+'Entrate tot e finalizzati'!D194-'Entrate tot e finalizzati'!E194</f>
        <v>0</v>
      </c>
      <c r="E194" s="40">
        <f>+'Entrate tot e finalizzati'!F194-'Entrate tot e finalizzati'!G194</f>
        <v>0</v>
      </c>
      <c r="F194" s="70">
        <f>+'Entrate tot e finalizzati'!H194-'Entrate tot e finalizzati'!I194</f>
        <v>0</v>
      </c>
      <c r="G194" s="70">
        <f>+'Entrate tot e finalizzati'!J194-'Entrate tot e finalizzati'!K194</f>
        <v>0</v>
      </c>
      <c r="H194" s="79">
        <f>+'Entrate tot e finalizzati'!L194-'Entrate tot e finalizzati'!M194</f>
        <v>0</v>
      </c>
      <c r="I194" s="79">
        <f>+'Entrate tot e finalizzati'!N194-'Entrate tot e finalizzati'!O194</f>
        <v>136</v>
      </c>
      <c r="J194" s="79">
        <f>+'Entrate tot e finalizzati'!P194-'Entrate tot e finalizzati'!Q194</f>
        <v>0</v>
      </c>
      <c r="K194" s="79">
        <f>+'Entrate tot e finalizzati'!R194-'Entrate tot e finalizzati'!S194</f>
        <v>0</v>
      </c>
      <c r="L194" s="79">
        <f>+'Entrate tot e finalizzati'!T194-'Entrate tot e finalizzati'!U194</f>
        <v>0</v>
      </c>
    </row>
    <row r="195" spans="1:12" s="2" customFormat="1" ht="12.75">
      <c r="A195" s="57"/>
      <c r="B195" s="38" t="s">
        <v>66</v>
      </c>
      <c r="D195" s="70">
        <f>+'Entrate tot e finalizzati'!D195-'Entrate tot e finalizzati'!E195</f>
        <v>0</v>
      </c>
      <c r="E195" s="40">
        <f>+'Entrate tot e finalizzati'!F195-'Entrate tot e finalizzati'!G195</f>
        <v>0</v>
      </c>
      <c r="F195" s="70">
        <f>+'Entrate tot e finalizzati'!H195-'Entrate tot e finalizzati'!I195</f>
        <v>0</v>
      </c>
      <c r="G195" s="70">
        <f>+'Entrate tot e finalizzati'!J195-'Entrate tot e finalizzati'!K195</f>
        <v>0</v>
      </c>
      <c r="H195" s="79">
        <f>+'Entrate tot e finalizzati'!L195-'Entrate tot e finalizzati'!M195</f>
        <v>0</v>
      </c>
      <c r="I195" s="79">
        <f>+'Entrate tot e finalizzati'!N195-'Entrate tot e finalizzati'!O195</f>
        <v>0</v>
      </c>
      <c r="J195" s="79">
        <f>+'Entrate tot e finalizzati'!P195-'Entrate tot e finalizzati'!Q195</f>
        <v>0</v>
      </c>
      <c r="K195" s="79">
        <f>+'Entrate tot e finalizzati'!R195-'Entrate tot e finalizzati'!S195</f>
        <v>0</v>
      </c>
      <c r="L195" s="79">
        <f>+'Entrate tot e finalizzati'!T195-'Entrate tot e finalizzati'!U195</f>
        <v>0</v>
      </c>
    </row>
    <row r="196" spans="1:12" s="2" customFormat="1" ht="12.75">
      <c r="A196" s="57"/>
      <c r="B196" s="38" t="s">
        <v>111</v>
      </c>
      <c r="D196" s="70">
        <f>+'Entrate tot e finalizzati'!D196-'Entrate tot e finalizzati'!E196</f>
        <v>0</v>
      </c>
      <c r="E196" s="40">
        <f>+'Entrate tot e finalizzati'!F196-'Entrate tot e finalizzati'!G196</f>
        <v>0</v>
      </c>
      <c r="F196" s="70">
        <f>+'Entrate tot e finalizzati'!H196-'Entrate tot e finalizzati'!I196</f>
        <v>0</v>
      </c>
      <c r="G196" s="70">
        <f>+'Entrate tot e finalizzati'!J196-'Entrate tot e finalizzati'!K196</f>
        <v>0</v>
      </c>
      <c r="H196" s="79">
        <f>+'Entrate tot e finalizzati'!L196-'Entrate tot e finalizzati'!M196</f>
        <v>0</v>
      </c>
      <c r="I196" s="79">
        <f>+'Entrate tot e finalizzati'!N196-'Entrate tot e finalizzati'!O196</f>
        <v>0</v>
      </c>
      <c r="J196" s="79">
        <f>+'Entrate tot e finalizzati'!P196-'Entrate tot e finalizzati'!Q196</f>
        <v>0</v>
      </c>
      <c r="K196" s="79">
        <f>+'Entrate tot e finalizzati'!R196-'Entrate tot e finalizzati'!S196</f>
        <v>0</v>
      </c>
      <c r="L196" s="79">
        <f>+'Entrate tot e finalizzati'!T196-'Entrate tot e finalizzati'!U196</f>
        <v>0</v>
      </c>
    </row>
    <row r="197" spans="1:12" s="2" customFormat="1" ht="12.75">
      <c r="A197" s="57"/>
      <c r="B197" s="38" t="s">
        <v>65</v>
      </c>
      <c r="D197" s="70">
        <f>+'Entrate tot e finalizzati'!D197-'Entrate tot e finalizzati'!E197</f>
        <v>0</v>
      </c>
      <c r="E197" s="40">
        <f>+'Entrate tot e finalizzati'!F197-'Entrate tot e finalizzati'!G197</f>
        <v>0</v>
      </c>
      <c r="F197" s="70">
        <f>+'Entrate tot e finalizzati'!H197-'Entrate tot e finalizzati'!I197</f>
        <v>0</v>
      </c>
      <c r="G197" s="70">
        <f>+'Entrate tot e finalizzati'!J197-'Entrate tot e finalizzati'!K197</f>
        <v>0</v>
      </c>
      <c r="H197" s="79">
        <f>+'Entrate tot e finalizzati'!L197-'Entrate tot e finalizzati'!M197</f>
        <v>0</v>
      </c>
      <c r="I197" s="79">
        <f>+'Entrate tot e finalizzati'!N197-'Entrate tot e finalizzati'!O197</f>
        <v>0</v>
      </c>
      <c r="J197" s="79">
        <f>+'Entrate tot e finalizzati'!P197-'Entrate tot e finalizzati'!Q197</f>
        <v>0</v>
      </c>
      <c r="K197" s="79">
        <f>+'Entrate tot e finalizzati'!R197-'Entrate tot e finalizzati'!S197</f>
        <v>0</v>
      </c>
      <c r="L197" s="79">
        <f>+'Entrate tot e finalizzati'!T197-'Entrate tot e finalizzati'!U197</f>
        <v>0</v>
      </c>
    </row>
    <row r="198" spans="1:12" s="2" customFormat="1" ht="12.75">
      <c r="A198" s="57"/>
      <c r="B198" s="38" t="s">
        <v>109</v>
      </c>
      <c r="D198" s="70">
        <f>+'Entrate tot e finalizzati'!D198-'Entrate tot e finalizzati'!E198</f>
        <v>0</v>
      </c>
      <c r="E198" s="40">
        <f>+'Entrate tot e finalizzati'!F198-'Entrate tot e finalizzati'!G198</f>
        <v>0</v>
      </c>
      <c r="F198" s="70">
        <f>+'Entrate tot e finalizzati'!H198-'Entrate tot e finalizzati'!I198</f>
        <v>0</v>
      </c>
      <c r="G198" s="70">
        <f>+'Entrate tot e finalizzati'!J198-'Entrate tot e finalizzati'!K198</f>
        <v>0</v>
      </c>
      <c r="H198" s="79">
        <f>+'Entrate tot e finalizzati'!L198-'Entrate tot e finalizzati'!M198</f>
        <v>0</v>
      </c>
      <c r="I198" s="79">
        <f>+'Entrate tot e finalizzati'!N198-'Entrate tot e finalizzati'!O198</f>
        <v>0</v>
      </c>
      <c r="J198" s="79">
        <f>+'Entrate tot e finalizzati'!P198-'Entrate tot e finalizzati'!Q198</f>
        <v>0</v>
      </c>
      <c r="K198" s="79">
        <f>+'Entrate tot e finalizzati'!R198-'Entrate tot e finalizzati'!S198</f>
        <v>0</v>
      </c>
      <c r="L198" s="79">
        <f>+'Entrate tot e finalizzati'!T198-'Entrate tot e finalizzati'!U198</f>
        <v>0</v>
      </c>
    </row>
    <row r="199" spans="1:12" s="2" customFormat="1" ht="12.75">
      <c r="A199" s="57"/>
      <c r="B199" s="38" t="s">
        <v>76</v>
      </c>
      <c r="D199" s="70">
        <f>+'Entrate tot e finalizzati'!D199-'Entrate tot e finalizzati'!E199</f>
        <v>2173</v>
      </c>
      <c r="E199" s="40">
        <f>+'Entrate tot e finalizzati'!F199-'Entrate tot e finalizzati'!G199</f>
        <v>1687</v>
      </c>
      <c r="F199" s="70">
        <f>+'Entrate tot e finalizzati'!H199-'Entrate tot e finalizzati'!I199</f>
        <v>724</v>
      </c>
      <c r="G199" s="70">
        <f>+'Entrate tot e finalizzati'!J199-'Entrate tot e finalizzati'!K199</f>
        <v>717</v>
      </c>
      <c r="H199" s="79">
        <f>+'Entrate tot e finalizzati'!L199-'Entrate tot e finalizzati'!M199</f>
        <v>734</v>
      </c>
      <c r="I199" s="79">
        <f>+'Entrate tot e finalizzati'!N199-'Entrate tot e finalizzati'!O199</f>
        <v>623</v>
      </c>
      <c r="J199" s="79">
        <f>+'Entrate tot e finalizzati'!P199-'Entrate tot e finalizzati'!Q199</f>
        <v>681</v>
      </c>
      <c r="K199" s="79">
        <f>+'Entrate tot e finalizzati'!R199-'Entrate tot e finalizzati'!S199</f>
        <v>548</v>
      </c>
      <c r="L199" s="79">
        <f>+'Entrate tot e finalizzati'!T199-'Entrate tot e finalizzati'!U199</f>
        <v>1219</v>
      </c>
    </row>
    <row r="200" spans="1:12" s="2" customFormat="1" ht="12.75">
      <c r="A200" s="28" t="s">
        <v>85</v>
      </c>
      <c r="B200" s="29"/>
      <c r="C200" s="32"/>
      <c r="D200" s="30">
        <f>+'Entrate tot e finalizzati'!D200-'Entrate tot e finalizzati'!E200</f>
        <v>1405</v>
      </c>
      <c r="E200" s="30">
        <f>+'Entrate tot e finalizzati'!F200-'Entrate tot e finalizzati'!G200</f>
        <v>3027</v>
      </c>
      <c r="F200" s="30">
        <f>+'Entrate tot e finalizzati'!H200-'Entrate tot e finalizzati'!I200</f>
        <v>3229</v>
      </c>
      <c r="G200" s="30">
        <f>+'Entrate tot e finalizzati'!J200-'Entrate tot e finalizzati'!K200</f>
        <v>3939</v>
      </c>
      <c r="H200" s="30">
        <f>+'Entrate tot e finalizzati'!L200-'Entrate tot e finalizzati'!M200</f>
        <v>4905</v>
      </c>
      <c r="I200" s="30">
        <f>+'Entrate tot e finalizzati'!N200-'Entrate tot e finalizzati'!O200</f>
        <v>3863</v>
      </c>
      <c r="J200" s="30">
        <f>+'Entrate tot e finalizzati'!P200-'Entrate tot e finalizzati'!Q200</f>
        <v>3111</v>
      </c>
      <c r="K200" s="30">
        <f>+'Entrate tot e finalizzati'!R200-'Entrate tot e finalizzati'!S200</f>
        <v>4225</v>
      </c>
      <c r="L200" s="30">
        <f>+'Entrate tot e finalizzati'!T200-'Entrate tot e finalizzati'!U200</f>
        <v>3702</v>
      </c>
    </row>
    <row r="201" spans="1:12" s="2" customFormat="1" ht="12.75">
      <c r="A201" s="57"/>
      <c r="B201" s="10" t="s">
        <v>65</v>
      </c>
      <c r="D201" s="39">
        <f>+'Entrate tot e finalizzati'!D201-'Entrate tot e finalizzati'!E201</f>
        <v>0</v>
      </c>
      <c r="E201" s="39">
        <f>+'Entrate tot e finalizzati'!F201-'Entrate tot e finalizzati'!G201</f>
        <v>50</v>
      </c>
      <c r="F201" s="39">
        <f>+'Entrate tot e finalizzati'!H201-'Entrate tot e finalizzati'!I201</f>
        <v>2</v>
      </c>
      <c r="G201" s="39">
        <f>+'Entrate tot e finalizzati'!J201-'Entrate tot e finalizzati'!K201</f>
        <v>32</v>
      </c>
      <c r="H201" s="39">
        <f>+'Entrate tot e finalizzati'!L201-'Entrate tot e finalizzati'!M201</f>
        <v>10</v>
      </c>
      <c r="I201" s="39">
        <f>+'Entrate tot e finalizzati'!N201-'Entrate tot e finalizzati'!O201</f>
        <v>2</v>
      </c>
      <c r="J201" s="39">
        <f>+'Entrate tot e finalizzati'!P201-'Entrate tot e finalizzati'!Q201</f>
        <v>0</v>
      </c>
      <c r="K201" s="39">
        <f>+'Entrate tot e finalizzati'!R201-'Entrate tot e finalizzati'!S201</f>
        <v>0</v>
      </c>
      <c r="L201" s="39">
        <f>+'Entrate tot e finalizzati'!T201-'Entrate tot e finalizzati'!U201</f>
        <v>0</v>
      </c>
    </row>
    <row r="202" spans="1:12" s="2" customFormat="1" ht="12.75">
      <c r="A202" s="57"/>
      <c r="B202" s="38" t="s">
        <v>64</v>
      </c>
      <c r="D202" s="39">
        <f>+'Entrate tot e finalizzati'!D202-'Entrate tot e finalizzati'!E202</f>
        <v>0</v>
      </c>
      <c r="E202" s="39">
        <f>+'Entrate tot e finalizzati'!F202-'Entrate tot e finalizzati'!G202</f>
        <v>0</v>
      </c>
      <c r="F202" s="39">
        <f>+'Entrate tot e finalizzati'!H202-'Entrate tot e finalizzati'!I202</f>
        <v>0</v>
      </c>
      <c r="G202" s="39">
        <f>+'Entrate tot e finalizzati'!J202-'Entrate tot e finalizzati'!K202</f>
        <v>1</v>
      </c>
      <c r="H202" s="39">
        <f>+'Entrate tot e finalizzati'!L202-'Entrate tot e finalizzati'!M202</f>
        <v>1</v>
      </c>
      <c r="I202" s="39">
        <f>+'Entrate tot e finalizzati'!N202-'Entrate tot e finalizzati'!O202</f>
        <v>1</v>
      </c>
      <c r="J202" s="39">
        <f>+'Entrate tot e finalizzati'!P202-'Entrate tot e finalizzati'!Q202</f>
        <v>1</v>
      </c>
      <c r="K202" s="39">
        <f>+'Entrate tot e finalizzati'!R202-'Entrate tot e finalizzati'!S202</f>
        <v>1</v>
      </c>
      <c r="L202" s="39">
        <f>+'Entrate tot e finalizzati'!T202-'Entrate tot e finalizzati'!U202</f>
        <v>1</v>
      </c>
    </row>
    <row r="203" spans="1:12" s="2" customFormat="1" ht="12.75">
      <c r="A203" s="57"/>
      <c r="B203" s="38" t="s">
        <v>109</v>
      </c>
      <c r="D203" s="39">
        <f>+'Entrate tot e finalizzati'!D203-'Entrate tot e finalizzati'!E203</f>
        <v>0</v>
      </c>
      <c r="E203" s="39">
        <f>+'Entrate tot e finalizzati'!F203-'Entrate tot e finalizzati'!G203</f>
        <v>0</v>
      </c>
      <c r="F203" s="39">
        <f>+'Entrate tot e finalizzati'!H203-'Entrate tot e finalizzati'!I203</f>
        <v>0</v>
      </c>
      <c r="G203" s="39">
        <f>+'Entrate tot e finalizzati'!J203-'Entrate tot e finalizzati'!K203</f>
        <v>0</v>
      </c>
      <c r="H203" s="39">
        <f>+'Entrate tot e finalizzati'!L203-'Entrate tot e finalizzati'!M203</f>
        <v>0</v>
      </c>
      <c r="I203" s="39">
        <f>+'Entrate tot e finalizzati'!N203-'Entrate tot e finalizzati'!O203</f>
        <v>0</v>
      </c>
      <c r="J203" s="39">
        <f>+'Entrate tot e finalizzati'!P203-'Entrate tot e finalizzati'!Q203</f>
        <v>0</v>
      </c>
      <c r="K203" s="39">
        <f>+'Entrate tot e finalizzati'!R203-'Entrate tot e finalizzati'!S203</f>
        <v>7</v>
      </c>
      <c r="L203" s="39">
        <f>+'Entrate tot e finalizzati'!T203-'Entrate tot e finalizzati'!U203</f>
        <v>31</v>
      </c>
    </row>
    <row r="204" spans="1:12" s="2" customFormat="1" ht="12.75">
      <c r="A204" s="57"/>
      <c r="B204" s="38" t="s">
        <v>114</v>
      </c>
      <c r="D204" s="39">
        <f>+'Entrate tot e finalizzati'!D204-'Entrate tot e finalizzati'!E204</f>
        <v>0</v>
      </c>
      <c r="E204" s="39">
        <f>+'Entrate tot e finalizzati'!F204-'Entrate tot e finalizzati'!G204</f>
        <v>0</v>
      </c>
      <c r="F204" s="39">
        <f>+'Entrate tot e finalizzati'!H204-'Entrate tot e finalizzati'!I204</f>
        <v>0</v>
      </c>
      <c r="G204" s="39">
        <f>+'Entrate tot e finalizzati'!J204-'Entrate tot e finalizzati'!K204</f>
        <v>0</v>
      </c>
      <c r="H204" s="39">
        <f>+'Entrate tot e finalizzati'!L204-'Entrate tot e finalizzati'!M204</f>
        <v>0</v>
      </c>
      <c r="I204" s="39">
        <f>+'Entrate tot e finalizzati'!N204-'Entrate tot e finalizzati'!O204</f>
        <v>10</v>
      </c>
      <c r="J204" s="39">
        <f>+'Entrate tot e finalizzati'!P204-'Entrate tot e finalizzati'!Q204</f>
        <v>0</v>
      </c>
      <c r="K204" s="39">
        <f>+'Entrate tot e finalizzati'!R204-'Entrate tot e finalizzati'!S204</f>
        <v>0</v>
      </c>
      <c r="L204" s="39">
        <f>+'Entrate tot e finalizzati'!T204-'Entrate tot e finalizzati'!U204</f>
        <v>0</v>
      </c>
    </row>
    <row r="205" spans="1:12" s="2" customFormat="1" ht="12.75">
      <c r="A205" s="57"/>
      <c r="B205" s="38" t="s">
        <v>115</v>
      </c>
      <c r="D205" s="39">
        <f>+'Entrate tot e finalizzati'!D205-'Entrate tot e finalizzati'!E205</f>
        <v>0</v>
      </c>
      <c r="E205" s="39">
        <f>+'Entrate tot e finalizzati'!F205-'Entrate tot e finalizzati'!G205</f>
        <v>0</v>
      </c>
      <c r="F205" s="39">
        <f>+'Entrate tot e finalizzati'!H205-'Entrate tot e finalizzati'!I205</f>
        <v>0</v>
      </c>
      <c r="G205" s="39">
        <f>+'Entrate tot e finalizzati'!J205-'Entrate tot e finalizzati'!K205</f>
        <v>0</v>
      </c>
      <c r="H205" s="39">
        <f>+'Entrate tot e finalizzati'!L205-'Entrate tot e finalizzati'!M205</f>
        <v>0</v>
      </c>
      <c r="I205" s="39">
        <f>+'Entrate tot e finalizzati'!N205-'Entrate tot e finalizzati'!O205</f>
        <v>0</v>
      </c>
      <c r="J205" s="39">
        <f>+'Entrate tot e finalizzati'!P205-'Entrate tot e finalizzati'!Q205</f>
        <v>0</v>
      </c>
      <c r="K205" s="39">
        <f>+'Entrate tot e finalizzati'!R205-'Entrate tot e finalizzati'!S205</f>
        <v>0</v>
      </c>
      <c r="L205" s="39">
        <f>+'Entrate tot e finalizzati'!T205-'Entrate tot e finalizzati'!U205</f>
        <v>0</v>
      </c>
    </row>
    <row r="206" spans="1:12" s="2" customFormat="1" ht="12.75">
      <c r="A206" s="57"/>
      <c r="B206" s="38" t="s">
        <v>72</v>
      </c>
      <c r="D206" s="39">
        <f>+'Entrate tot e finalizzati'!D206-'Entrate tot e finalizzati'!E206</f>
        <v>0</v>
      </c>
      <c r="E206" s="39">
        <f>+'Entrate tot e finalizzati'!F206-'Entrate tot e finalizzati'!G206</f>
        <v>0</v>
      </c>
      <c r="F206" s="39">
        <f>+'Entrate tot e finalizzati'!H206-'Entrate tot e finalizzati'!I206</f>
        <v>10</v>
      </c>
      <c r="G206" s="39">
        <f>+'Entrate tot e finalizzati'!J206-'Entrate tot e finalizzati'!K206</f>
        <v>11</v>
      </c>
      <c r="H206" s="39">
        <f>+'Entrate tot e finalizzati'!L206-'Entrate tot e finalizzati'!M206</f>
        <v>11</v>
      </c>
      <c r="I206" s="39">
        <f>+'Entrate tot e finalizzati'!N206-'Entrate tot e finalizzati'!O206</f>
        <v>11</v>
      </c>
      <c r="J206" s="39">
        <f>+'Entrate tot e finalizzati'!P206-'Entrate tot e finalizzati'!Q206</f>
        <v>11</v>
      </c>
      <c r="K206" s="39">
        <f>+'Entrate tot e finalizzati'!R206-'Entrate tot e finalizzati'!S206</f>
        <v>11</v>
      </c>
      <c r="L206" s="39">
        <f>+'Entrate tot e finalizzati'!T206-'Entrate tot e finalizzati'!U206</f>
        <v>12</v>
      </c>
    </row>
    <row r="207" spans="1:12" s="2" customFormat="1" ht="12.75">
      <c r="A207" s="57"/>
      <c r="B207" s="6" t="s">
        <v>67</v>
      </c>
      <c r="D207" s="39">
        <f>+'Entrate tot e finalizzati'!D207-'Entrate tot e finalizzati'!E207</f>
        <v>0</v>
      </c>
      <c r="E207" s="39">
        <f>+'Entrate tot e finalizzati'!F207-'Entrate tot e finalizzati'!G207</f>
        <v>0</v>
      </c>
      <c r="F207" s="39">
        <f>+'Entrate tot e finalizzati'!H207-'Entrate tot e finalizzati'!I207</f>
        <v>0</v>
      </c>
      <c r="G207" s="39">
        <f>+'Entrate tot e finalizzati'!J207-'Entrate tot e finalizzati'!K207</f>
        <v>0</v>
      </c>
      <c r="H207" s="39">
        <f>+'Entrate tot e finalizzati'!L207-'Entrate tot e finalizzati'!M207</f>
        <v>1033</v>
      </c>
      <c r="I207" s="39">
        <f>+'Entrate tot e finalizzati'!N207-'Entrate tot e finalizzati'!O207</f>
        <v>160</v>
      </c>
      <c r="J207" s="39">
        <f>+'Entrate tot e finalizzati'!P207-'Entrate tot e finalizzati'!Q207</f>
        <v>0</v>
      </c>
      <c r="K207" s="39">
        <f>+'Entrate tot e finalizzati'!R207-'Entrate tot e finalizzati'!S207</f>
        <v>0</v>
      </c>
      <c r="L207" s="39">
        <f>+'Entrate tot e finalizzati'!T207-'Entrate tot e finalizzati'!U207</f>
        <v>0</v>
      </c>
    </row>
    <row r="208" spans="1:12" s="2" customFormat="1" ht="12.75">
      <c r="A208" s="57"/>
      <c r="B208" s="38" t="s">
        <v>119</v>
      </c>
      <c r="D208" s="39">
        <f>+'Entrate tot e finalizzati'!D208-'Entrate tot e finalizzati'!E208</f>
        <v>0</v>
      </c>
      <c r="E208" s="39">
        <f>+'Entrate tot e finalizzati'!F208-'Entrate tot e finalizzati'!G208</f>
        <v>0</v>
      </c>
      <c r="F208" s="39">
        <f>+'Entrate tot e finalizzati'!H208-'Entrate tot e finalizzati'!I208</f>
        <v>0</v>
      </c>
      <c r="G208" s="39">
        <f>+'Entrate tot e finalizzati'!J208-'Entrate tot e finalizzati'!K208</f>
        <v>0</v>
      </c>
      <c r="H208" s="39">
        <f>+'Entrate tot e finalizzati'!L208-'Entrate tot e finalizzati'!M208</f>
        <v>0</v>
      </c>
      <c r="I208" s="39">
        <f>+'Entrate tot e finalizzati'!N208-'Entrate tot e finalizzati'!O208</f>
        <v>0</v>
      </c>
      <c r="J208" s="39">
        <f>+'Entrate tot e finalizzati'!P208-'Entrate tot e finalizzati'!Q208</f>
        <v>0</v>
      </c>
      <c r="K208" s="39">
        <f>+'Entrate tot e finalizzati'!R208-'Entrate tot e finalizzati'!S208</f>
        <v>0</v>
      </c>
      <c r="L208" s="39">
        <f>+'Entrate tot e finalizzati'!T208-'Entrate tot e finalizzati'!U208</f>
        <v>108</v>
      </c>
    </row>
    <row r="209" spans="1:12" s="2" customFormat="1" ht="12.75">
      <c r="A209" s="62"/>
      <c r="B209" s="16" t="s">
        <v>77</v>
      </c>
      <c r="D209" s="39">
        <f>+'Entrate tot e finalizzati'!D209-'Entrate tot e finalizzati'!E209</f>
        <v>1405</v>
      </c>
      <c r="E209" s="39">
        <f>+'Entrate tot e finalizzati'!F209-'Entrate tot e finalizzati'!G209</f>
        <v>2977</v>
      </c>
      <c r="F209" s="39">
        <f>+'Entrate tot e finalizzati'!H209-'Entrate tot e finalizzati'!I209</f>
        <v>3217</v>
      </c>
      <c r="G209" s="39">
        <f>+'Entrate tot e finalizzati'!J209-'Entrate tot e finalizzati'!K209</f>
        <v>3895</v>
      </c>
      <c r="H209" s="40">
        <f>+'Entrate tot e finalizzati'!L209-'Entrate tot e finalizzati'!M209</f>
        <v>3850</v>
      </c>
      <c r="I209" s="40">
        <f>+'Entrate tot e finalizzati'!N209-'Entrate tot e finalizzati'!O209</f>
        <v>3679</v>
      </c>
      <c r="J209" s="40">
        <f>+'Entrate tot e finalizzati'!P209-'Entrate tot e finalizzati'!Q209</f>
        <v>3099</v>
      </c>
      <c r="K209" s="40">
        <f>+'Entrate tot e finalizzati'!R209-'Entrate tot e finalizzati'!S209</f>
        <v>4206</v>
      </c>
      <c r="L209" s="40">
        <f>+'Entrate tot e finalizzati'!T209-'Entrate tot e finalizzati'!U209</f>
        <v>3550</v>
      </c>
    </row>
    <row r="210" spans="1:12" s="2" customFormat="1" ht="12.75">
      <c r="A210" s="28" t="s">
        <v>139</v>
      </c>
      <c r="B210" s="29"/>
      <c r="C210" s="32"/>
      <c r="D210" s="30">
        <f>+'Entrate tot e finalizzati'!D210-'Entrate tot e finalizzati'!E210</f>
        <v>7640</v>
      </c>
      <c r="E210" s="30">
        <f>+'Entrate tot e finalizzati'!F210-'Entrate tot e finalizzati'!G210</f>
        <v>7130</v>
      </c>
      <c r="F210" s="30">
        <f>+'Entrate tot e finalizzati'!H210-'Entrate tot e finalizzati'!I210</f>
        <v>6763</v>
      </c>
      <c r="G210" s="30">
        <f>+'Entrate tot e finalizzati'!J210-'Entrate tot e finalizzati'!K210</f>
        <v>6658</v>
      </c>
      <c r="H210" s="30">
        <f>+'Entrate tot e finalizzati'!L210-'Entrate tot e finalizzati'!M210</f>
        <v>657</v>
      </c>
      <c r="I210" s="30">
        <f>+'Entrate tot e finalizzati'!N210-'Entrate tot e finalizzati'!O210</f>
        <v>694</v>
      </c>
      <c r="J210" s="30">
        <f>+'Entrate tot e finalizzati'!P210-'Entrate tot e finalizzati'!Q210</f>
        <v>769</v>
      </c>
      <c r="K210" s="30">
        <f>+'Entrate tot e finalizzati'!R210-'Entrate tot e finalizzati'!S210</f>
        <v>1074</v>
      </c>
      <c r="L210" s="30">
        <f>+'Entrate tot e finalizzati'!T210-'Entrate tot e finalizzati'!U210</f>
        <v>504</v>
      </c>
    </row>
    <row r="211" spans="1:12" s="2" customFormat="1" ht="12.75">
      <c r="A211" s="57"/>
      <c r="B211" s="38" t="s">
        <v>111</v>
      </c>
      <c r="D211" s="39">
        <f>+'Entrate tot e finalizzati'!D211-'Entrate tot e finalizzati'!E211</f>
        <v>0</v>
      </c>
      <c r="E211" s="39">
        <f>+'Entrate tot e finalizzati'!F211-'Entrate tot e finalizzati'!G211</f>
        <v>0</v>
      </c>
      <c r="F211" s="39">
        <f>+'Entrate tot e finalizzati'!H211-'Entrate tot e finalizzati'!I211</f>
        <v>0</v>
      </c>
      <c r="G211" s="39">
        <f>+'Entrate tot e finalizzati'!J211-'Entrate tot e finalizzati'!K211</f>
        <v>0</v>
      </c>
      <c r="H211" s="40">
        <f>+'Entrate tot e finalizzati'!L211-'Entrate tot e finalizzati'!M211</f>
        <v>0</v>
      </c>
      <c r="I211" s="40">
        <f>+'Entrate tot e finalizzati'!N211-'Entrate tot e finalizzati'!O211</f>
        <v>0</v>
      </c>
      <c r="J211" s="40">
        <f>+'Entrate tot e finalizzati'!P211-'Entrate tot e finalizzati'!Q211</f>
        <v>0</v>
      </c>
      <c r="K211" s="40">
        <f>+'Entrate tot e finalizzati'!R211-'Entrate tot e finalizzati'!S211</f>
        <v>0</v>
      </c>
      <c r="L211" s="40">
        <f>+'Entrate tot e finalizzati'!T211-'Entrate tot e finalizzati'!U211</f>
        <v>0</v>
      </c>
    </row>
    <row r="212" spans="1:12" s="2" customFormat="1" ht="12.75">
      <c r="A212" s="57"/>
      <c r="B212" s="38" t="s">
        <v>90</v>
      </c>
      <c r="D212" s="39">
        <f>+'Entrate tot e finalizzati'!D212-'Entrate tot e finalizzati'!E212</f>
        <v>609</v>
      </c>
      <c r="E212" s="39">
        <f>+'Entrate tot e finalizzati'!F212-'Entrate tot e finalizzati'!G212</f>
        <v>664</v>
      </c>
      <c r="F212" s="39">
        <f>+'Entrate tot e finalizzati'!H212-'Entrate tot e finalizzati'!I212</f>
        <v>629</v>
      </c>
      <c r="G212" s="39">
        <f>+'Entrate tot e finalizzati'!J212-'Entrate tot e finalizzati'!K212</f>
        <v>647</v>
      </c>
      <c r="H212" s="40">
        <f>+'Entrate tot e finalizzati'!L212-'Entrate tot e finalizzati'!M212</f>
        <v>652</v>
      </c>
      <c r="I212" s="40">
        <f>+'Entrate tot e finalizzati'!N212-'Entrate tot e finalizzati'!O212</f>
        <v>689</v>
      </c>
      <c r="J212" s="40">
        <f>+'Entrate tot e finalizzati'!P212-'Entrate tot e finalizzati'!Q212</f>
        <v>764</v>
      </c>
      <c r="K212" s="40">
        <f>+'Entrate tot e finalizzati'!R212-'Entrate tot e finalizzati'!S212</f>
        <v>1069</v>
      </c>
      <c r="L212" s="40">
        <f>+'Entrate tot e finalizzati'!T212-'Entrate tot e finalizzati'!U212</f>
        <v>504</v>
      </c>
    </row>
    <row r="213" spans="1:12" s="2" customFormat="1" ht="12.75">
      <c r="A213" s="57"/>
      <c r="B213" s="38" t="s">
        <v>57</v>
      </c>
      <c r="D213" s="39">
        <f>+'Entrate tot e finalizzati'!D213-'Entrate tot e finalizzati'!E213</f>
        <v>7031</v>
      </c>
      <c r="E213" s="39">
        <f>+'Entrate tot e finalizzati'!F213-'Entrate tot e finalizzati'!G213</f>
        <v>6466</v>
      </c>
      <c r="F213" s="39">
        <f>+'Entrate tot e finalizzati'!H213-'Entrate tot e finalizzati'!I213</f>
        <v>6134</v>
      </c>
      <c r="G213" s="39">
        <f>+'Entrate tot e finalizzati'!J213-'Entrate tot e finalizzati'!K213</f>
        <v>6011</v>
      </c>
      <c r="H213" s="40">
        <f>+'Entrate tot e finalizzati'!L213-'Entrate tot e finalizzati'!M213</f>
        <v>5</v>
      </c>
      <c r="I213" s="40">
        <f>+'Entrate tot e finalizzati'!N213-'Entrate tot e finalizzati'!O213</f>
        <v>5</v>
      </c>
      <c r="J213" s="40">
        <f>+'Entrate tot e finalizzati'!P213-'Entrate tot e finalizzati'!Q213</f>
        <v>5</v>
      </c>
      <c r="K213" s="40">
        <f>+'Entrate tot e finalizzati'!R213-'Entrate tot e finalizzati'!S213</f>
        <v>5</v>
      </c>
      <c r="L213" s="40">
        <f>+'Entrate tot e finalizzati'!T213-'Entrate tot e finalizzati'!U213</f>
        <v>0</v>
      </c>
    </row>
    <row r="214" spans="1:12" s="2" customFormat="1" ht="12.75">
      <c r="A214" s="62"/>
      <c r="B214" s="16" t="s">
        <v>116</v>
      </c>
      <c r="D214" s="39">
        <f>+'Entrate tot e finalizzati'!D214-'Entrate tot e finalizzati'!E214</f>
        <v>0</v>
      </c>
      <c r="E214" s="39">
        <f>+'Entrate tot e finalizzati'!F214-'Entrate tot e finalizzati'!G214</f>
        <v>0</v>
      </c>
      <c r="F214" s="39">
        <f>+'Entrate tot e finalizzati'!H214-'Entrate tot e finalizzati'!I214</f>
        <v>0</v>
      </c>
      <c r="G214" s="39">
        <f>+'Entrate tot e finalizzati'!J214-'Entrate tot e finalizzati'!K214</f>
        <v>0</v>
      </c>
      <c r="H214" s="40">
        <f>+'Entrate tot e finalizzati'!L214-'Entrate tot e finalizzati'!M214</f>
        <v>0</v>
      </c>
      <c r="I214" s="40">
        <f>+'Entrate tot e finalizzati'!N214-'Entrate tot e finalizzati'!O214</f>
        <v>0</v>
      </c>
      <c r="J214" s="40">
        <f>+'Entrate tot e finalizzati'!P214-'Entrate tot e finalizzati'!Q214</f>
        <v>0</v>
      </c>
      <c r="K214" s="40">
        <f>+'Entrate tot e finalizzati'!R214-'Entrate tot e finalizzati'!S214</f>
        <v>0</v>
      </c>
      <c r="L214" s="40">
        <f>+'Entrate tot e finalizzati'!T214-'Entrate tot e finalizzati'!U214</f>
        <v>0</v>
      </c>
    </row>
    <row r="215" spans="1:12" s="2" customFormat="1" ht="12.75">
      <c r="A215" s="28" t="s">
        <v>101</v>
      </c>
      <c r="B215" s="29"/>
      <c r="C215" s="32"/>
      <c r="D215" s="30">
        <f>+'Entrate tot e finalizzati'!D215-'Entrate tot e finalizzati'!E215</f>
        <v>0</v>
      </c>
      <c r="E215" s="30">
        <f>+'Entrate tot e finalizzati'!F215-'Entrate tot e finalizzati'!G215</f>
        <v>0</v>
      </c>
      <c r="F215" s="30">
        <f>+'Entrate tot e finalizzati'!H215-'Entrate tot e finalizzati'!I215</f>
        <v>0</v>
      </c>
      <c r="G215" s="30">
        <f>+'Entrate tot e finalizzati'!J215-'Entrate tot e finalizzati'!K215</f>
        <v>0</v>
      </c>
      <c r="H215" s="30">
        <f>+'Entrate tot e finalizzati'!L215-'Entrate tot e finalizzati'!M215</f>
        <v>0</v>
      </c>
      <c r="I215" s="30">
        <f>+'Entrate tot e finalizzati'!N215-'Entrate tot e finalizzati'!O215</f>
        <v>0</v>
      </c>
      <c r="J215" s="30">
        <f>+'Entrate tot e finalizzati'!P215-'Entrate tot e finalizzati'!Q215</f>
        <v>39</v>
      </c>
      <c r="K215" s="30">
        <f>+'Entrate tot e finalizzati'!R215-'Entrate tot e finalizzati'!S215</f>
        <v>19</v>
      </c>
      <c r="L215" s="30">
        <f>+'Entrate tot e finalizzati'!T215-'Entrate tot e finalizzati'!U215</f>
        <v>62</v>
      </c>
    </row>
    <row r="216" spans="1:12" s="2" customFormat="1" ht="12.75">
      <c r="A216" s="57"/>
      <c r="B216" s="38" t="s">
        <v>111</v>
      </c>
      <c r="D216" s="39">
        <f>+'Entrate tot e finalizzati'!D216-'Entrate tot e finalizzati'!E216</f>
        <v>0</v>
      </c>
      <c r="E216" s="39">
        <f>+'Entrate tot e finalizzati'!F216-'Entrate tot e finalizzati'!G216</f>
        <v>0</v>
      </c>
      <c r="F216" s="39">
        <f>+'Entrate tot e finalizzati'!H216-'Entrate tot e finalizzati'!I216</f>
        <v>0</v>
      </c>
      <c r="G216" s="39">
        <f>+'Entrate tot e finalizzati'!J216-'Entrate tot e finalizzati'!K216</f>
        <v>0</v>
      </c>
      <c r="H216" s="39">
        <f>+'Entrate tot e finalizzati'!L216-'Entrate tot e finalizzati'!M216</f>
        <v>0</v>
      </c>
      <c r="I216" s="39">
        <f>+'Entrate tot e finalizzati'!N216-'Entrate tot e finalizzati'!O216</f>
        <v>0</v>
      </c>
      <c r="J216" s="39">
        <f>+'Entrate tot e finalizzati'!P216-'Entrate tot e finalizzati'!Q216</f>
        <v>0</v>
      </c>
      <c r="K216" s="39">
        <f>+'Entrate tot e finalizzati'!R216-'Entrate tot e finalizzati'!S216</f>
        <v>0</v>
      </c>
      <c r="L216" s="39">
        <f>+'Entrate tot e finalizzati'!T216-'Entrate tot e finalizzati'!U216</f>
        <v>42</v>
      </c>
    </row>
    <row r="217" spans="1:12" s="2" customFormat="1" ht="12.75">
      <c r="A217" s="57"/>
      <c r="B217" s="37" t="s">
        <v>17</v>
      </c>
      <c r="D217" s="39">
        <f>+'Entrate tot e finalizzati'!D217-'Entrate tot e finalizzati'!E217</f>
        <v>0</v>
      </c>
      <c r="E217" s="39">
        <f>+'Entrate tot e finalizzati'!F217-'Entrate tot e finalizzati'!G217</f>
        <v>0</v>
      </c>
      <c r="F217" s="39">
        <f>+'Entrate tot e finalizzati'!H217-'Entrate tot e finalizzati'!I217</f>
        <v>0</v>
      </c>
      <c r="G217" s="39">
        <f>+'Entrate tot e finalizzati'!J217-'Entrate tot e finalizzati'!K217</f>
        <v>0</v>
      </c>
      <c r="H217" s="40">
        <f>+'Entrate tot e finalizzati'!L217-'Entrate tot e finalizzati'!M217</f>
        <v>0</v>
      </c>
      <c r="I217" s="40">
        <f>+'Entrate tot e finalizzati'!N217-'Entrate tot e finalizzati'!O217</f>
        <v>0</v>
      </c>
      <c r="J217" s="40">
        <f>+'Entrate tot e finalizzati'!P217-'Entrate tot e finalizzati'!Q217</f>
        <v>0</v>
      </c>
      <c r="K217" s="40">
        <f>+'Entrate tot e finalizzati'!R217-'Entrate tot e finalizzati'!S217</f>
        <v>0</v>
      </c>
      <c r="L217" s="40">
        <f>+'Entrate tot e finalizzati'!T217-'Entrate tot e finalizzati'!U217</f>
        <v>0</v>
      </c>
    </row>
    <row r="218" spans="1:12" s="2" customFormat="1" ht="12.75">
      <c r="A218" s="57"/>
      <c r="B218" s="38" t="s">
        <v>72</v>
      </c>
      <c r="D218" s="39">
        <f>+'Entrate tot e finalizzati'!D218-'Entrate tot e finalizzati'!E218</f>
        <v>0</v>
      </c>
      <c r="E218" s="39">
        <f>+'Entrate tot e finalizzati'!F218-'Entrate tot e finalizzati'!G218</f>
        <v>0</v>
      </c>
      <c r="F218" s="39">
        <f>+'Entrate tot e finalizzati'!H218-'Entrate tot e finalizzati'!I218</f>
        <v>0</v>
      </c>
      <c r="G218" s="39">
        <f>+'Entrate tot e finalizzati'!J218-'Entrate tot e finalizzati'!K218</f>
        <v>0</v>
      </c>
      <c r="H218" s="40">
        <f>+'Entrate tot e finalizzati'!L218-'Entrate tot e finalizzati'!M218</f>
        <v>0</v>
      </c>
      <c r="I218" s="40">
        <f>+'Entrate tot e finalizzati'!N218-'Entrate tot e finalizzati'!O218</f>
        <v>0</v>
      </c>
      <c r="J218" s="40">
        <f>+'Entrate tot e finalizzati'!P218-'Entrate tot e finalizzati'!Q218</f>
        <v>0</v>
      </c>
      <c r="K218" s="40">
        <f>+'Entrate tot e finalizzati'!R218-'Entrate tot e finalizzati'!S218</f>
        <v>0</v>
      </c>
      <c r="L218" s="40">
        <f>+'Entrate tot e finalizzati'!T218-'Entrate tot e finalizzati'!U218</f>
        <v>0</v>
      </c>
    </row>
    <row r="219" spans="1:12" s="2" customFormat="1" ht="12.75">
      <c r="A219" s="57"/>
      <c r="B219" s="38" t="s">
        <v>18</v>
      </c>
      <c r="D219" s="39">
        <f>+'Entrate tot e finalizzati'!D219-'Entrate tot e finalizzati'!E219</f>
        <v>0</v>
      </c>
      <c r="E219" s="39">
        <f>+'Entrate tot e finalizzati'!F219-'Entrate tot e finalizzati'!G219</f>
        <v>0</v>
      </c>
      <c r="F219" s="39">
        <f>+'Entrate tot e finalizzati'!H219-'Entrate tot e finalizzati'!I219</f>
        <v>0</v>
      </c>
      <c r="G219" s="39">
        <f>+'Entrate tot e finalizzati'!J219-'Entrate tot e finalizzati'!K219</f>
        <v>0</v>
      </c>
      <c r="H219" s="40">
        <f>+'Entrate tot e finalizzati'!L219-'Entrate tot e finalizzati'!M219</f>
        <v>0</v>
      </c>
      <c r="I219" s="40">
        <f>+'Entrate tot e finalizzati'!N219-'Entrate tot e finalizzati'!O219</f>
        <v>0</v>
      </c>
      <c r="J219" s="40">
        <f>+'Entrate tot e finalizzati'!P219-'Entrate tot e finalizzati'!Q219</f>
        <v>0</v>
      </c>
      <c r="K219" s="40">
        <f>+'Entrate tot e finalizzati'!R219-'Entrate tot e finalizzati'!S219</f>
        <v>0</v>
      </c>
      <c r="L219" s="40">
        <f>+'Entrate tot e finalizzati'!T219-'Entrate tot e finalizzati'!U219</f>
        <v>0</v>
      </c>
    </row>
    <row r="220" spans="1:12" s="2" customFormat="1" ht="12.75">
      <c r="A220" s="57"/>
      <c r="B220" s="38" t="s">
        <v>109</v>
      </c>
      <c r="D220" s="39">
        <f>+'Entrate tot e finalizzati'!D220-'Entrate tot e finalizzati'!E220</f>
        <v>0</v>
      </c>
      <c r="E220" s="39">
        <f>+'Entrate tot e finalizzati'!F220-'Entrate tot e finalizzati'!G220</f>
        <v>0</v>
      </c>
      <c r="F220" s="39">
        <f>+'Entrate tot e finalizzati'!H220-'Entrate tot e finalizzati'!I220</f>
        <v>0</v>
      </c>
      <c r="G220" s="39">
        <f>+'Entrate tot e finalizzati'!J220-'Entrate tot e finalizzati'!K220</f>
        <v>0</v>
      </c>
      <c r="H220" s="39">
        <f>+'Entrate tot e finalizzati'!L220-'Entrate tot e finalizzati'!M220</f>
        <v>0</v>
      </c>
      <c r="I220" s="39">
        <f>+'Entrate tot e finalizzati'!N220-'Entrate tot e finalizzati'!O220</f>
        <v>0</v>
      </c>
      <c r="J220" s="39">
        <f>+'Entrate tot e finalizzati'!P220-'Entrate tot e finalizzati'!Q220</f>
        <v>0</v>
      </c>
      <c r="K220" s="39">
        <f>+'Entrate tot e finalizzati'!R220-'Entrate tot e finalizzati'!S220</f>
        <v>0</v>
      </c>
      <c r="L220" s="39">
        <f>+'Entrate tot e finalizzati'!T220-'Entrate tot e finalizzati'!U220</f>
        <v>0</v>
      </c>
    </row>
    <row r="221" spans="1:12" s="2" customFormat="1" ht="12.75">
      <c r="A221" s="57"/>
      <c r="B221" s="38" t="s">
        <v>65</v>
      </c>
      <c r="D221" s="39">
        <f>+'Entrate tot e finalizzati'!D221-'Entrate tot e finalizzati'!E221</f>
        <v>0</v>
      </c>
      <c r="E221" s="39">
        <f>+'Entrate tot e finalizzati'!F221-'Entrate tot e finalizzati'!G221</f>
        <v>0</v>
      </c>
      <c r="F221" s="39">
        <f>+'Entrate tot e finalizzati'!H221-'Entrate tot e finalizzati'!I221</f>
        <v>0</v>
      </c>
      <c r="G221" s="39">
        <f>+'Entrate tot e finalizzati'!J221-'Entrate tot e finalizzati'!K221</f>
        <v>0</v>
      </c>
      <c r="H221" s="39">
        <f>+'Entrate tot e finalizzati'!L221-'Entrate tot e finalizzati'!M221</f>
        <v>0</v>
      </c>
      <c r="I221" s="39">
        <f>+'Entrate tot e finalizzati'!N221-'Entrate tot e finalizzati'!O221</f>
        <v>0</v>
      </c>
      <c r="J221" s="39">
        <f>+'Entrate tot e finalizzati'!P221-'Entrate tot e finalizzati'!Q221</f>
        <v>0</v>
      </c>
      <c r="K221" s="39">
        <f>+'Entrate tot e finalizzati'!R221-'Entrate tot e finalizzati'!S221</f>
        <v>0</v>
      </c>
      <c r="L221" s="39">
        <f>+'Entrate tot e finalizzati'!T221-'Entrate tot e finalizzati'!U221</f>
        <v>0</v>
      </c>
    </row>
    <row r="222" spans="1:12" s="2" customFormat="1" ht="12.75">
      <c r="A222" s="57"/>
      <c r="B222" s="38" t="s">
        <v>67</v>
      </c>
      <c r="D222" s="39">
        <f>+'Entrate tot e finalizzati'!D222-'Entrate tot e finalizzati'!E222</f>
        <v>0</v>
      </c>
      <c r="E222" s="39">
        <f>+'Entrate tot e finalizzati'!F222-'Entrate tot e finalizzati'!G222</f>
        <v>0</v>
      </c>
      <c r="F222" s="39">
        <f>+'Entrate tot e finalizzati'!H222-'Entrate tot e finalizzati'!I222</f>
        <v>0</v>
      </c>
      <c r="G222" s="39">
        <f>+'Entrate tot e finalizzati'!J222-'Entrate tot e finalizzati'!K222</f>
        <v>0</v>
      </c>
      <c r="H222" s="39">
        <f>+'Entrate tot e finalizzati'!L222-'Entrate tot e finalizzati'!M222</f>
        <v>0</v>
      </c>
      <c r="I222" s="39">
        <f>+'Entrate tot e finalizzati'!N222-'Entrate tot e finalizzati'!O222</f>
        <v>0</v>
      </c>
      <c r="J222" s="39">
        <f>+'Entrate tot e finalizzati'!P222-'Entrate tot e finalizzati'!Q222</f>
        <v>39</v>
      </c>
      <c r="K222" s="39">
        <f>+'Entrate tot e finalizzati'!R222-'Entrate tot e finalizzati'!S222</f>
        <v>19</v>
      </c>
      <c r="L222" s="39">
        <f>+'Entrate tot e finalizzati'!T222-'Entrate tot e finalizzati'!U222</f>
        <v>15</v>
      </c>
    </row>
    <row r="223" spans="1:12" s="2" customFormat="1" ht="12.75">
      <c r="A223" s="62"/>
      <c r="B223" s="16" t="s">
        <v>113</v>
      </c>
      <c r="D223" s="39">
        <f>+'Entrate tot e finalizzati'!D223-'Entrate tot e finalizzati'!E223</f>
        <v>0</v>
      </c>
      <c r="E223" s="39">
        <f>+'Entrate tot e finalizzati'!F223-'Entrate tot e finalizzati'!G223</f>
        <v>0</v>
      </c>
      <c r="F223" s="39">
        <f>+'Entrate tot e finalizzati'!H223-'Entrate tot e finalizzati'!I223</f>
        <v>0</v>
      </c>
      <c r="G223" s="39">
        <f>+'Entrate tot e finalizzati'!J223-'Entrate tot e finalizzati'!K223</f>
        <v>0</v>
      </c>
      <c r="H223" s="40">
        <f>+'Entrate tot e finalizzati'!L223-'Entrate tot e finalizzati'!M223</f>
        <v>0</v>
      </c>
      <c r="I223" s="40">
        <f>+'Entrate tot e finalizzati'!N223-'Entrate tot e finalizzati'!O223</f>
        <v>0</v>
      </c>
      <c r="J223" s="40">
        <f>+'Entrate tot e finalizzati'!P223-'Entrate tot e finalizzati'!Q223</f>
        <v>0</v>
      </c>
      <c r="K223" s="40">
        <f>+'Entrate tot e finalizzati'!R223-'Entrate tot e finalizzati'!S223</f>
        <v>0</v>
      </c>
      <c r="L223" s="40">
        <f>+'Entrate tot e finalizzati'!T223-'Entrate tot e finalizzati'!U223</f>
        <v>5</v>
      </c>
    </row>
    <row r="224" spans="1:12" s="2" customFormat="1" ht="12.75">
      <c r="A224" s="28" t="s">
        <v>102</v>
      </c>
      <c r="B224" s="29"/>
      <c r="C224" s="32"/>
      <c r="D224" s="30">
        <f>+'Entrate tot e finalizzati'!D224-'Entrate tot e finalizzati'!E224</f>
        <v>811</v>
      </c>
      <c r="E224" s="30">
        <f>+'Entrate tot e finalizzati'!F224-'Entrate tot e finalizzati'!G224</f>
        <v>796</v>
      </c>
      <c r="F224" s="30">
        <f>+'Entrate tot e finalizzati'!H224-'Entrate tot e finalizzati'!I224</f>
        <v>648</v>
      </c>
      <c r="G224" s="30">
        <f>+'Entrate tot e finalizzati'!J224-'Entrate tot e finalizzati'!K224</f>
        <v>583</v>
      </c>
      <c r="H224" s="30">
        <f>+'Entrate tot e finalizzati'!L224-'Entrate tot e finalizzati'!M224</f>
        <v>544</v>
      </c>
      <c r="I224" s="30">
        <f>+'Entrate tot e finalizzati'!N224-'Entrate tot e finalizzati'!O224</f>
        <v>549</v>
      </c>
      <c r="J224" s="30">
        <f>+'Entrate tot e finalizzati'!P224-'Entrate tot e finalizzati'!Q224</f>
        <v>572</v>
      </c>
      <c r="K224" s="30">
        <f>+'Entrate tot e finalizzati'!R224-'Entrate tot e finalizzati'!S224</f>
        <v>504</v>
      </c>
      <c r="L224" s="30">
        <f>+'Entrate tot e finalizzati'!T224-'Entrate tot e finalizzati'!U224</f>
        <v>427</v>
      </c>
    </row>
    <row r="225" spans="1:12" s="2" customFormat="1" ht="12.75">
      <c r="A225" s="9"/>
      <c r="B225" s="38" t="s">
        <v>35</v>
      </c>
      <c r="D225" s="39">
        <f>+'Entrate tot e finalizzati'!D225-'Entrate tot e finalizzati'!E225</f>
        <v>77</v>
      </c>
      <c r="E225" s="39">
        <f>+'Entrate tot e finalizzati'!F225-'Entrate tot e finalizzati'!G225</f>
        <v>207</v>
      </c>
      <c r="F225" s="39">
        <f>+'Entrate tot e finalizzati'!H225-'Entrate tot e finalizzati'!I225</f>
        <v>176</v>
      </c>
      <c r="G225" s="39">
        <f>+'Entrate tot e finalizzati'!J225-'Entrate tot e finalizzati'!K225</f>
        <v>148</v>
      </c>
      <c r="H225" s="40">
        <f>+'Entrate tot e finalizzati'!L225-'Entrate tot e finalizzati'!M225</f>
        <v>120</v>
      </c>
      <c r="I225" s="40">
        <f>+'Entrate tot e finalizzati'!N225-'Entrate tot e finalizzati'!O225</f>
        <v>91</v>
      </c>
      <c r="J225" s="40">
        <f>+'Entrate tot e finalizzati'!P225-'Entrate tot e finalizzati'!Q225</f>
        <v>83</v>
      </c>
      <c r="K225" s="40">
        <f>+'Entrate tot e finalizzati'!R225-'Entrate tot e finalizzati'!S225</f>
        <v>58</v>
      </c>
      <c r="L225" s="40">
        <f>+'Entrate tot e finalizzati'!T225-'Entrate tot e finalizzati'!U225</f>
        <v>0</v>
      </c>
    </row>
    <row r="226" spans="1:12" s="2" customFormat="1" ht="12.75">
      <c r="A226" s="9"/>
      <c r="B226" s="6" t="s">
        <v>78</v>
      </c>
      <c r="D226" s="39">
        <f>+'Entrate tot e finalizzati'!D226-'Entrate tot e finalizzati'!E226</f>
        <v>644</v>
      </c>
      <c r="E226" s="39">
        <f>+'Entrate tot e finalizzati'!F226-'Entrate tot e finalizzati'!G226</f>
        <v>529</v>
      </c>
      <c r="F226" s="39">
        <f>+'Entrate tot e finalizzati'!H226-'Entrate tot e finalizzati'!I226</f>
        <v>455</v>
      </c>
      <c r="G226" s="39">
        <f>+'Entrate tot e finalizzati'!J226-'Entrate tot e finalizzati'!K226</f>
        <v>435</v>
      </c>
      <c r="H226" s="40">
        <f>+'Entrate tot e finalizzati'!L226-'Entrate tot e finalizzati'!M226</f>
        <v>424</v>
      </c>
      <c r="I226" s="40">
        <f>+'Entrate tot e finalizzati'!N226-'Entrate tot e finalizzati'!O226</f>
        <v>454</v>
      </c>
      <c r="J226" s="40">
        <f>+'Entrate tot e finalizzati'!P226-'Entrate tot e finalizzati'!Q226</f>
        <v>489</v>
      </c>
      <c r="K226" s="40">
        <f>+'Entrate tot e finalizzati'!R226-'Entrate tot e finalizzati'!S226</f>
        <v>446</v>
      </c>
      <c r="L226" s="40">
        <f>+'Entrate tot e finalizzati'!T226-'Entrate tot e finalizzati'!U226</f>
        <v>427</v>
      </c>
    </row>
    <row r="227" spans="1:12" s="2" customFormat="1" ht="12.75">
      <c r="A227" s="9"/>
      <c r="B227" s="10" t="s">
        <v>18</v>
      </c>
      <c r="D227" s="39">
        <f>+'Entrate tot e finalizzati'!D227-'Entrate tot e finalizzati'!E227</f>
        <v>90</v>
      </c>
      <c r="E227" s="39">
        <f>+'Entrate tot e finalizzati'!F227-'Entrate tot e finalizzati'!G227</f>
        <v>60</v>
      </c>
      <c r="F227" s="39">
        <f>+'Entrate tot e finalizzati'!H227-'Entrate tot e finalizzati'!I227</f>
        <v>17</v>
      </c>
      <c r="G227" s="39">
        <f>+'Entrate tot e finalizzati'!J227-'Entrate tot e finalizzati'!K227</f>
        <v>0</v>
      </c>
      <c r="H227" s="40">
        <f>+'Entrate tot e finalizzati'!L227-'Entrate tot e finalizzati'!M227</f>
        <v>0</v>
      </c>
      <c r="I227" s="40">
        <f>+'Entrate tot e finalizzati'!N227-'Entrate tot e finalizzati'!O227</f>
        <v>0</v>
      </c>
      <c r="J227" s="40">
        <f>+'Entrate tot e finalizzati'!P227-'Entrate tot e finalizzati'!Q227</f>
        <v>0</v>
      </c>
      <c r="K227" s="40">
        <f>+'Entrate tot e finalizzati'!R227-'Entrate tot e finalizzati'!S227</f>
        <v>0</v>
      </c>
      <c r="L227" s="40">
        <f>+'Entrate tot e finalizzati'!T227-'Entrate tot e finalizzati'!U227</f>
        <v>0</v>
      </c>
    </row>
    <row r="228" spans="1:12" s="2" customFormat="1" ht="12.75">
      <c r="A228" s="62"/>
      <c r="B228" s="63" t="s">
        <v>67</v>
      </c>
      <c r="D228" s="39">
        <f>+'Entrate tot e finalizzati'!D228-'Entrate tot e finalizzati'!E228</f>
        <v>0</v>
      </c>
      <c r="E228" s="39">
        <f>+'Entrate tot e finalizzati'!F228-'Entrate tot e finalizzati'!G228</f>
        <v>0</v>
      </c>
      <c r="F228" s="39">
        <f>+'Entrate tot e finalizzati'!H228-'Entrate tot e finalizzati'!I228</f>
        <v>0</v>
      </c>
      <c r="G228" s="39">
        <f>+'Entrate tot e finalizzati'!J228-'Entrate tot e finalizzati'!K228</f>
        <v>0</v>
      </c>
      <c r="H228" s="39">
        <f>+'Entrate tot e finalizzati'!L228-'Entrate tot e finalizzati'!M228</f>
        <v>0</v>
      </c>
      <c r="I228" s="39">
        <f>+'Entrate tot e finalizzati'!N228-'Entrate tot e finalizzati'!O228</f>
        <v>4</v>
      </c>
      <c r="J228" s="39">
        <f>+'Entrate tot e finalizzati'!P228-'Entrate tot e finalizzati'!Q228</f>
        <v>0</v>
      </c>
      <c r="K228" s="39">
        <f>+'Entrate tot e finalizzati'!R228-'Entrate tot e finalizzati'!S228</f>
        <v>0</v>
      </c>
      <c r="L228" s="39">
        <f>+'Entrate tot e finalizzati'!T228-'Entrate tot e finalizzati'!U228</f>
        <v>0</v>
      </c>
    </row>
    <row r="229" spans="1:21" s="2" customFormat="1" ht="12.75">
      <c r="A229" s="93" t="s">
        <v>13</v>
      </c>
      <c r="B229" s="111"/>
      <c r="C229" s="127"/>
      <c r="D229" s="128">
        <f>+'Entrate tot e finalizzati'!D229-'Entrate tot e finalizzati'!E229</f>
        <v>0</v>
      </c>
      <c r="E229" s="128">
        <f>+'Entrate tot e finalizzati'!F229-'Entrate tot e finalizzati'!G229</f>
        <v>0</v>
      </c>
      <c r="F229" s="128">
        <f>+'Entrate tot e finalizzati'!H229-'Entrate tot e finalizzati'!I229</f>
        <v>0</v>
      </c>
      <c r="G229" s="128">
        <f>+'Entrate tot e finalizzati'!J229-'Entrate tot e finalizzati'!K229</f>
        <v>0</v>
      </c>
      <c r="H229" s="128">
        <f>+'Entrate tot e finalizzati'!L229-'Entrate tot e finalizzati'!M229</f>
        <v>0</v>
      </c>
      <c r="I229" s="128">
        <f>+'Entrate tot e finalizzati'!N229-'Entrate tot e finalizzati'!O229</f>
        <v>1</v>
      </c>
      <c r="J229" s="128">
        <f>+'Entrate tot e finalizzati'!P229-'Entrate tot e finalizzati'!Q229</f>
        <v>0</v>
      </c>
      <c r="K229" s="128">
        <f>+'Entrate tot e finalizzati'!R229-'Entrate tot e finalizzati'!S229</f>
        <v>0</v>
      </c>
      <c r="L229" s="128">
        <f>+'Entrate tot e finalizzati'!T229-'Entrate tot e finalizzati'!U229</f>
        <v>0</v>
      </c>
      <c r="M229" s="128"/>
      <c r="N229" s="128"/>
      <c r="O229" s="128"/>
      <c r="P229" s="128"/>
      <c r="Q229" s="128"/>
      <c r="R229" s="128"/>
      <c r="S229" s="128"/>
      <c r="T229" s="128"/>
      <c r="U229" s="128"/>
    </row>
    <row r="230" spans="1:21" s="2" customFormat="1" ht="12.75">
      <c r="A230" s="91" t="s">
        <v>120</v>
      </c>
      <c r="B230" s="92"/>
      <c r="C230" s="32"/>
      <c r="D230" s="36">
        <f>+'Entrate tot e finalizzati'!D230-'Entrate tot e finalizzati'!E230</f>
        <v>0</v>
      </c>
      <c r="E230" s="36">
        <f>+'Entrate tot e finalizzati'!F230-'Entrate tot e finalizzati'!G230</f>
        <v>0</v>
      </c>
      <c r="F230" s="36">
        <f>+'Entrate tot e finalizzati'!H230-'Entrate tot e finalizzati'!I230</f>
        <v>0</v>
      </c>
      <c r="G230" s="36">
        <f>+'Entrate tot e finalizzati'!J230-'Entrate tot e finalizzati'!K230</f>
        <v>0</v>
      </c>
      <c r="H230" s="36">
        <f>+'Entrate tot e finalizzati'!L230-'Entrate tot e finalizzati'!M230</f>
        <v>0</v>
      </c>
      <c r="I230" s="36">
        <f>+'Entrate tot e finalizzati'!N230-'Entrate tot e finalizzati'!O230</f>
        <v>0</v>
      </c>
      <c r="J230" s="36">
        <f>+'Entrate tot e finalizzati'!P230-'Entrate tot e finalizzati'!Q230</f>
        <v>0</v>
      </c>
      <c r="K230" s="36">
        <f>+'Entrate tot e finalizzati'!R230-'Entrate tot e finalizzati'!S230</f>
        <v>0</v>
      </c>
      <c r="L230" s="36">
        <f>+'Entrate tot e finalizzati'!T230-'Entrate tot e finalizzati'!U230</f>
        <v>0</v>
      </c>
      <c r="M230" s="36"/>
      <c r="N230" s="36"/>
      <c r="O230" s="36"/>
      <c r="P230" s="36"/>
      <c r="Q230" s="36"/>
      <c r="R230" s="36"/>
      <c r="S230" s="36"/>
      <c r="T230" s="36"/>
      <c r="U230" s="36"/>
    </row>
    <row r="231" spans="1:13" s="2" customFormat="1" ht="12.75">
      <c r="A231" s="62"/>
      <c r="B231" s="63" t="s">
        <v>67</v>
      </c>
      <c r="C231" s="65"/>
      <c r="D231" s="71">
        <f>+'Entrate tot e finalizzati'!D231-'Entrate tot e finalizzati'!E231</f>
        <v>0</v>
      </c>
      <c r="E231" s="71">
        <f>+'Entrate tot e finalizzati'!F231-'Entrate tot e finalizzati'!G231</f>
        <v>0</v>
      </c>
      <c r="F231" s="71">
        <f>+'Entrate tot e finalizzati'!H231-'Entrate tot e finalizzati'!I231</f>
        <v>0</v>
      </c>
      <c r="G231" s="71">
        <f>+'Entrate tot e finalizzati'!J231-'Entrate tot e finalizzati'!K231</f>
        <v>0</v>
      </c>
      <c r="H231" s="41">
        <f>+'Entrate tot e finalizzati'!L231-'Entrate tot e finalizzati'!M231</f>
        <v>0</v>
      </c>
      <c r="I231" s="41">
        <f>+'Entrate tot e finalizzati'!N231-'Entrate tot e finalizzati'!O231</f>
        <v>0</v>
      </c>
      <c r="J231" s="41">
        <f>+'Entrate tot e finalizzati'!P231-'Entrate tot e finalizzati'!Q231</f>
        <v>0</v>
      </c>
      <c r="K231" s="41">
        <f>+'Entrate tot e finalizzati'!R231-'Entrate tot e finalizzati'!S231</f>
        <v>0</v>
      </c>
      <c r="L231" s="41">
        <f>+'Entrate tot e finalizzati'!T231-'Entrate tot e finalizzati'!U231</f>
        <v>0</v>
      </c>
      <c r="M231" s="115"/>
    </row>
    <row r="232" spans="1:21" s="2" customFormat="1" ht="12.75">
      <c r="A232" s="91" t="s">
        <v>2</v>
      </c>
      <c r="B232" s="92"/>
      <c r="C232" s="32"/>
      <c r="D232" s="36">
        <f>+'Entrate tot e finalizzati'!D232-'Entrate tot e finalizzati'!E232</f>
        <v>0</v>
      </c>
      <c r="E232" s="36">
        <f>+'Entrate tot e finalizzati'!F232-'Entrate tot e finalizzati'!G232</f>
        <v>0</v>
      </c>
      <c r="F232" s="36">
        <f>+'Entrate tot e finalizzati'!H232-'Entrate tot e finalizzati'!I232</f>
        <v>0</v>
      </c>
      <c r="G232" s="36">
        <f>+'Entrate tot e finalizzati'!J232-'Entrate tot e finalizzati'!K232</f>
        <v>0</v>
      </c>
      <c r="H232" s="36">
        <f>+'Entrate tot e finalizzati'!L232-'Entrate tot e finalizzati'!M232</f>
        <v>0</v>
      </c>
      <c r="I232" s="36">
        <f>+'Entrate tot e finalizzati'!N232-'Entrate tot e finalizzati'!O232</f>
        <v>0</v>
      </c>
      <c r="J232" s="36">
        <f>+'Entrate tot e finalizzati'!P232-'Entrate tot e finalizzati'!Q232</f>
        <v>0</v>
      </c>
      <c r="K232" s="36">
        <f>+'Entrate tot e finalizzati'!R232-'Entrate tot e finalizzati'!S232</f>
        <v>0</v>
      </c>
      <c r="L232" s="36">
        <f>+'Entrate tot e finalizzati'!T232-'Entrate tot e finalizzati'!U232</f>
        <v>0</v>
      </c>
      <c r="M232" s="36"/>
      <c r="N232" s="36"/>
      <c r="O232" s="36"/>
      <c r="P232" s="36"/>
      <c r="Q232" s="36"/>
      <c r="R232" s="36"/>
      <c r="S232" s="36"/>
      <c r="T232" s="36"/>
      <c r="U232" s="36"/>
    </row>
    <row r="233" spans="1:12" s="2" customFormat="1" ht="12.75">
      <c r="A233" s="9"/>
      <c r="B233" s="10" t="s">
        <v>111</v>
      </c>
      <c r="D233" s="39">
        <f>+'Entrate tot e finalizzati'!D233-'Entrate tot e finalizzati'!E233</f>
        <v>0</v>
      </c>
      <c r="E233" s="39">
        <f>+'Entrate tot e finalizzati'!F233-'Entrate tot e finalizzati'!G233</f>
        <v>0</v>
      </c>
      <c r="F233" s="39">
        <f>+'Entrate tot e finalizzati'!H233-'Entrate tot e finalizzati'!I233</f>
        <v>0</v>
      </c>
      <c r="G233" s="39">
        <f>+'Entrate tot e finalizzati'!J233-'Entrate tot e finalizzati'!K233</f>
        <v>0</v>
      </c>
      <c r="H233" s="40">
        <f>+'Entrate tot e finalizzati'!L233-'Entrate tot e finalizzati'!M233</f>
        <v>0</v>
      </c>
      <c r="I233" s="40">
        <f>+'Entrate tot e finalizzati'!N233-'Entrate tot e finalizzati'!O233</f>
        <v>0</v>
      </c>
      <c r="J233" s="40">
        <f>+'Entrate tot e finalizzati'!P233-'Entrate tot e finalizzati'!Q233</f>
        <v>0</v>
      </c>
      <c r="K233" s="40">
        <f>+'Entrate tot e finalizzati'!R233-'Entrate tot e finalizzati'!S233</f>
        <v>0</v>
      </c>
      <c r="L233" s="40">
        <f>+'Entrate tot e finalizzati'!T233-'Entrate tot e finalizzati'!U233</f>
        <v>0</v>
      </c>
    </row>
    <row r="234" spans="1:12" s="2" customFormat="1" ht="12.75">
      <c r="A234" s="9"/>
      <c r="B234" s="10" t="s">
        <v>67</v>
      </c>
      <c r="D234" s="39">
        <f>+'Entrate tot e finalizzati'!D234-'Entrate tot e finalizzati'!E234</f>
        <v>0</v>
      </c>
      <c r="E234" s="39">
        <f>+'Entrate tot e finalizzati'!F234-'Entrate tot e finalizzati'!G234</f>
        <v>0</v>
      </c>
      <c r="F234" s="39">
        <f>+'Entrate tot e finalizzati'!H234-'Entrate tot e finalizzati'!I234</f>
        <v>0</v>
      </c>
      <c r="G234" s="39">
        <f>+'Entrate tot e finalizzati'!J234-'Entrate tot e finalizzati'!K234</f>
        <v>0</v>
      </c>
      <c r="H234" s="40">
        <f>+'Entrate tot e finalizzati'!L234-'Entrate tot e finalizzati'!M234</f>
        <v>0</v>
      </c>
      <c r="I234" s="40">
        <f>+'Entrate tot e finalizzati'!N234-'Entrate tot e finalizzati'!O234</f>
        <v>0</v>
      </c>
      <c r="J234" s="40">
        <f>+'Entrate tot e finalizzati'!P234-'Entrate tot e finalizzati'!Q234</f>
        <v>0</v>
      </c>
      <c r="K234" s="40">
        <f>+'Entrate tot e finalizzati'!R234-'Entrate tot e finalizzati'!S234</f>
        <v>0</v>
      </c>
      <c r="L234" s="40">
        <f>+'Entrate tot e finalizzati'!T234-'Entrate tot e finalizzati'!U234</f>
        <v>0</v>
      </c>
    </row>
    <row r="235" spans="1:13" s="2" customFormat="1" ht="12.75">
      <c r="A235" s="62"/>
      <c r="B235" s="63" t="s">
        <v>117</v>
      </c>
      <c r="C235" s="65"/>
      <c r="D235" s="71">
        <f>+'Entrate tot e finalizzati'!D235-'Entrate tot e finalizzati'!E235</f>
        <v>0</v>
      </c>
      <c r="E235" s="71">
        <f>+'Entrate tot e finalizzati'!F235-'Entrate tot e finalizzati'!G235</f>
        <v>0</v>
      </c>
      <c r="F235" s="71">
        <f>+'Entrate tot e finalizzati'!H235-'Entrate tot e finalizzati'!I235</f>
        <v>0</v>
      </c>
      <c r="G235" s="71">
        <f>+'Entrate tot e finalizzati'!J235-'Entrate tot e finalizzati'!K235</f>
        <v>0</v>
      </c>
      <c r="H235" s="41">
        <f>+'Entrate tot e finalizzati'!L235-'Entrate tot e finalizzati'!M235</f>
        <v>0</v>
      </c>
      <c r="I235" s="41">
        <f>+'Entrate tot e finalizzati'!N235-'Entrate tot e finalizzati'!O235</f>
        <v>0</v>
      </c>
      <c r="J235" s="41">
        <f>+'Entrate tot e finalizzati'!P235-'Entrate tot e finalizzati'!Q235</f>
        <v>0</v>
      </c>
      <c r="K235" s="41">
        <f>+'Entrate tot e finalizzati'!R235-'Entrate tot e finalizzati'!S235</f>
        <v>0</v>
      </c>
      <c r="L235" s="41">
        <f>+'Entrate tot e finalizzati'!T235-'Entrate tot e finalizzati'!U235</f>
        <v>0</v>
      </c>
      <c r="M235" s="115"/>
    </row>
    <row r="236" spans="1:21" s="2" customFormat="1" ht="12.75">
      <c r="A236" s="91" t="s">
        <v>3</v>
      </c>
      <c r="B236" s="92"/>
      <c r="C236" s="32"/>
      <c r="D236" s="36">
        <f>+'Entrate tot e finalizzati'!D236-'Entrate tot e finalizzati'!E236</f>
        <v>0</v>
      </c>
      <c r="E236" s="36">
        <f>+'Entrate tot e finalizzati'!F236-'Entrate tot e finalizzati'!G236</f>
        <v>0</v>
      </c>
      <c r="F236" s="36">
        <f>+'Entrate tot e finalizzati'!H236-'Entrate tot e finalizzati'!I236</f>
        <v>0</v>
      </c>
      <c r="G236" s="36">
        <f>+'Entrate tot e finalizzati'!J236-'Entrate tot e finalizzati'!K236</f>
        <v>0</v>
      </c>
      <c r="H236" s="36">
        <f>+'Entrate tot e finalizzati'!L236-'Entrate tot e finalizzati'!M236</f>
        <v>0</v>
      </c>
      <c r="I236" s="36">
        <f>+'Entrate tot e finalizzati'!N236-'Entrate tot e finalizzati'!O236</f>
        <v>0</v>
      </c>
      <c r="J236" s="36">
        <f>+'Entrate tot e finalizzati'!P236-'Entrate tot e finalizzati'!Q236</f>
        <v>0</v>
      </c>
      <c r="K236" s="36">
        <f>+'Entrate tot e finalizzati'!R236-'Entrate tot e finalizzati'!S236</f>
        <v>0</v>
      </c>
      <c r="L236" s="36">
        <f>+'Entrate tot e finalizzati'!T236-'Entrate tot e finalizzati'!U236</f>
        <v>0</v>
      </c>
      <c r="M236" s="36"/>
      <c r="N236" s="36"/>
      <c r="O236" s="36"/>
      <c r="P236" s="36"/>
      <c r="Q236" s="36"/>
      <c r="R236" s="36"/>
      <c r="S236" s="36"/>
      <c r="T236" s="36"/>
      <c r="U236" s="36"/>
    </row>
    <row r="237" spans="1:12" s="2" customFormat="1" ht="12.75">
      <c r="A237" s="9"/>
      <c r="B237" s="10" t="s">
        <v>67</v>
      </c>
      <c r="D237" s="39">
        <f>+'Entrate tot e finalizzati'!D237-'Entrate tot e finalizzati'!E237</f>
        <v>0</v>
      </c>
      <c r="E237" s="39">
        <f>+'Entrate tot e finalizzati'!F237-'Entrate tot e finalizzati'!G237</f>
        <v>0</v>
      </c>
      <c r="F237" s="39">
        <f>+'Entrate tot e finalizzati'!H237-'Entrate tot e finalizzati'!I237</f>
        <v>0</v>
      </c>
      <c r="G237" s="39">
        <f>+'Entrate tot e finalizzati'!J237-'Entrate tot e finalizzati'!K237</f>
        <v>0</v>
      </c>
      <c r="H237" s="40">
        <f>+'Entrate tot e finalizzati'!L237-'Entrate tot e finalizzati'!M237</f>
        <v>0</v>
      </c>
      <c r="I237" s="40">
        <f>+'Entrate tot e finalizzati'!N237-'Entrate tot e finalizzati'!O237</f>
        <v>0</v>
      </c>
      <c r="J237" s="40">
        <f>+'Entrate tot e finalizzati'!P237-'Entrate tot e finalizzati'!Q237</f>
        <v>0</v>
      </c>
      <c r="K237" s="40">
        <f>+'Entrate tot e finalizzati'!R237-'Entrate tot e finalizzati'!S237</f>
        <v>0</v>
      </c>
      <c r="L237" s="40">
        <f>+'Entrate tot e finalizzati'!T237-'Entrate tot e finalizzati'!U237</f>
        <v>0</v>
      </c>
    </row>
    <row r="238" spans="1:13" s="2" customFormat="1" ht="12.75">
      <c r="A238" s="62"/>
      <c r="B238" s="63" t="s">
        <v>111</v>
      </c>
      <c r="C238" s="65"/>
      <c r="D238" s="71">
        <f>+'Entrate tot e finalizzati'!D238-'Entrate tot e finalizzati'!E238</f>
        <v>0</v>
      </c>
      <c r="E238" s="71">
        <f>+'Entrate tot e finalizzati'!F238-'Entrate tot e finalizzati'!G238</f>
        <v>0</v>
      </c>
      <c r="F238" s="71">
        <f>+'Entrate tot e finalizzati'!H238-'Entrate tot e finalizzati'!I238</f>
        <v>0</v>
      </c>
      <c r="G238" s="71">
        <f>+'Entrate tot e finalizzati'!J238-'Entrate tot e finalizzati'!K238</f>
        <v>0</v>
      </c>
      <c r="H238" s="41">
        <f>+'Entrate tot e finalizzati'!L238-'Entrate tot e finalizzati'!M238</f>
        <v>0</v>
      </c>
      <c r="I238" s="41">
        <f>+'Entrate tot e finalizzati'!N238-'Entrate tot e finalizzati'!O238</f>
        <v>0</v>
      </c>
      <c r="J238" s="41">
        <f>+'Entrate tot e finalizzati'!P238-'Entrate tot e finalizzati'!Q238</f>
        <v>0</v>
      </c>
      <c r="K238" s="41">
        <f>+'Entrate tot e finalizzati'!R238-'Entrate tot e finalizzati'!S238</f>
        <v>0</v>
      </c>
      <c r="L238" s="41">
        <f>+'Entrate tot e finalizzati'!T238-'Entrate tot e finalizzati'!U238</f>
        <v>0</v>
      </c>
      <c r="M238" s="115"/>
    </row>
    <row r="239" spans="1:21" s="2" customFormat="1" ht="12.75">
      <c r="A239" s="91" t="s">
        <v>4</v>
      </c>
      <c r="B239" s="92"/>
      <c r="C239" s="32"/>
      <c r="D239" s="36">
        <f>+'Entrate tot e finalizzati'!D239-'Entrate tot e finalizzati'!E239</f>
        <v>0</v>
      </c>
      <c r="E239" s="36">
        <f>+'Entrate tot e finalizzati'!F239-'Entrate tot e finalizzati'!G239</f>
        <v>0</v>
      </c>
      <c r="F239" s="36">
        <f>+'Entrate tot e finalizzati'!H239-'Entrate tot e finalizzati'!I239</f>
        <v>0</v>
      </c>
      <c r="G239" s="36">
        <f>+'Entrate tot e finalizzati'!J239-'Entrate tot e finalizzati'!K239</f>
        <v>0</v>
      </c>
      <c r="H239" s="36">
        <f>+'Entrate tot e finalizzati'!L239-'Entrate tot e finalizzati'!M239</f>
        <v>0</v>
      </c>
      <c r="I239" s="36">
        <f>+'Entrate tot e finalizzati'!N239-'Entrate tot e finalizzati'!O239</f>
        <v>0</v>
      </c>
      <c r="J239" s="36">
        <f>+'Entrate tot e finalizzati'!P239-'Entrate tot e finalizzati'!Q239</f>
        <v>0</v>
      </c>
      <c r="K239" s="36">
        <f>+'Entrate tot e finalizzati'!R239-'Entrate tot e finalizzati'!S239</f>
        <v>0</v>
      </c>
      <c r="L239" s="36">
        <f>+'Entrate tot e finalizzati'!T239-'Entrate tot e finalizzati'!U239</f>
        <v>0</v>
      </c>
      <c r="M239" s="36"/>
      <c r="N239" s="36"/>
      <c r="O239" s="36"/>
      <c r="P239" s="36"/>
      <c r="Q239" s="36"/>
      <c r="R239" s="36"/>
      <c r="S239" s="36"/>
      <c r="T239" s="36"/>
      <c r="U239" s="36"/>
    </row>
    <row r="240" spans="1:12" s="2" customFormat="1" ht="12.75">
      <c r="A240" s="107"/>
      <c r="B240" s="37" t="s">
        <v>67</v>
      </c>
      <c r="C240"/>
      <c r="D240" s="25">
        <f>+'Entrate tot e finalizzati'!D240-'Entrate tot e finalizzati'!E240</f>
        <v>0</v>
      </c>
      <c r="E240" s="23">
        <f>+'Entrate tot e finalizzati'!F240-'Entrate tot e finalizzati'!G240</f>
        <v>0</v>
      </c>
      <c r="F240" s="25">
        <f>+'Entrate tot e finalizzati'!H240-'Entrate tot e finalizzati'!I240</f>
        <v>0</v>
      </c>
      <c r="G240" s="25">
        <f>+'Entrate tot e finalizzati'!J240-'Entrate tot e finalizzati'!K240</f>
        <v>0</v>
      </c>
      <c r="H240" s="25">
        <f>+'Entrate tot e finalizzati'!L240-'Entrate tot e finalizzati'!M240</f>
        <v>0</v>
      </c>
      <c r="I240" s="25">
        <f>+'Entrate tot e finalizzati'!N240-'Entrate tot e finalizzati'!O240</f>
        <v>0</v>
      </c>
      <c r="J240" s="25">
        <f>+'Entrate tot e finalizzati'!P240-'Entrate tot e finalizzati'!Q240</f>
        <v>0</v>
      </c>
      <c r="K240" s="25">
        <f>+'Entrate tot e finalizzati'!R240-'Entrate tot e finalizzati'!S240</f>
        <v>0</v>
      </c>
      <c r="L240" s="25">
        <f>+'Entrate tot e finalizzati'!T240-'Entrate tot e finalizzati'!U240</f>
        <v>0</v>
      </c>
    </row>
    <row r="241" spans="1:12" s="2" customFormat="1" ht="12.75">
      <c r="A241" s="107"/>
      <c r="B241" s="38" t="s">
        <v>111</v>
      </c>
      <c r="C241"/>
      <c r="D241" s="25">
        <f>+'Entrate tot e finalizzati'!D241-'Entrate tot e finalizzati'!E241</f>
        <v>0</v>
      </c>
      <c r="E241" s="25">
        <f>+'Entrate tot e finalizzati'!F241-'Entrate tot e finalizzati'!G241</f>
        <v>0</v>
      </c>
      <c r="F241" s="25">
        <f>+'Entrate tot e finalizzati'!H241-'Entrate tot e finalizzati'!I241</f>
        <v>0</v>
      </c>
      <c r="G241" s="25">
        <f>+'Entrate tot e finalizzati'!J241-'Entrate tot e finalizzati'!K241</f>
        <v>0</v>
      </c>
      <c r="H241" s="25">
        <f>+'Entrate tot e finalizzati'!L241-'Entrate tot e finalizzati'!M241</f>
        <v>0</v>
      </c>
      <c r="I241" s="25">
        <f>+'Entrate tot e finalizzati'!N241-'Entrate tot e finalizzati'!O241</f>
        <v>0</v>
      </c>
      <c r="J241" s="25">
        <f>+'Entrate tot e finalizzati'!P241-'Entrate tot e finalizzati'!Q241</f>
        <v>0</v>
      </c>
      <c r="K241" s="25">
        <f>+'Entrate tot e finalizzati'!R241-'Entrate tot e finalizzati'!S241</f>
        <v>0</v>
      </c>
      <c r="L241" s="25">
        <f>+'Entrate tot e finalizzati'!T241-'Entrate tot e finalizzati'!U241</f>
        <v>0</v>
      </c>
    </row>
    <row r="242" spans="1:12" s="2" customFormat="1" ht="12.75">
      <c r="A242" s="107"/>
      <c r="B242" s="38" t="s">
        <v>117</v>
      </c>
      <c r="C242"/>
      <c r="D242" s="25">
        <f>+'Entrate tot e finalizzati'!D242-'Entrate tot e finalizzati'!E242</f>
        <v>0</v>
      </c>
      <c r="E242" s="25">
        <f>+'Entrate tot e finalizzati'!F242-'Entrate tot e finalizzati'!G242</f>
        <v>0</v>
      </c>
      <c r="F242" s="25">
        <f>+'Entrate tot e finalizzati'!H242-'Entrate tot e finalizzati'!I242</f>
        <v>0</v>
      </c>
      <c r="G242" s="25">
        <f>+'Entrate tot e finalizzati'!J242-'Entrate tot e finalizzati'!K242</f>
        <v>0</v>
      </c>
      <c r="H242" s="25">
        <f>+'Entrate tot e finalizzati'!L242-'Entrate tot e finalizzati'!M242</f>
        <v>0</v>
      </c>
      <c r="I242" s="25">
        <f>+'Entrate tot e finalizzati'!N242-'Entrate tot e finalizzati'!O242</f>
        <v>0</v>
      </c>
      <c r="J242" s="25">
        <f>+'Entrate tot e finalizzati'!P242-'Entrate tot e finalizzati'!Q242</f>
        <v>0</v>
      </c>
      <c r="K242" s="25">
        <f>+'Entrate tot e finalizzati'!R242-'Entrate tot e finalizzati'!S242</f>
        <v>0</v>
      </c>
      <c r="L242" s="25">
        <f>+'Entrate tot e finalizzati'!T242-'Entrate tot e finalizzati'!U242</f>
        <v>0</v>
      </c>
    </row>
    <row r="243" spans="1:13" s="2" customFormat="1" ht="12.75">
      <c r="A243" s="62"/>
      <c r="B243" s="63" t="s">
        <v>17</v>
      </c>
      <c r="C243" s="65"/>
      <c r="D243" s="71">
        <f>+'Entrate tot e finalizzati'!D243-'Entrate tot e finalizzati'!E243</f>
        <v>0</v>
      </c>
      <c r="E243" s="71">
        <f>+'Entrate tot e finalizzati'!F243-'Entrate tot e finalizzati'!G243</f>
        <v>0</v>
      </c>
      <c r="F243" s="71">
        <f>+'Entrate tot e finalizzati'!H243-'Entrate tot e finalizzati'!I243</f>
        <v>0</v>
      </c>
      <c r="G243" s="71">
        <f>+'Entrate tot e finalizzati'!J243-'Entrate tot e finalizzati'!K243</f>
        <v>0</v>
      </c>
      <c r="H243" s="41">
        <f>+'Entrate tot e finalizzati'!L243-'Entrate tot e finalizzati'!M243</f>
        <v>0</v>
      </c>
      <c r="I243" s="41">
        <f>+'Entrate tot e finalizzati'!N243-'Entrate tot e finalizzati'!O243</f>
        <v>0</v>
      </c>
      <c r="J243" s="41">
        <f>+'Entrate tot e finalizzati'!P243-'Entrate tot e finalizzati'!Q243</f>
        <v>0</v>
      </c>
      <c r="K243" s="41">
        <f>+'Entrate tot e finalizzati'!R243-'Entrate tot e finalizzati'!S243</f>
        <v>0</v>
      </c>
      <c r="L243" s="41">
        <f>+'Entrate tot e finalizzati'!T243-'Entrate tot e finalizzati'!U243</f>
        <v>0</v>
      </c>
      <c r="M243" s="115"/>
    </row>
    <row r="244" spans="1:21" s="2" customFormat="1" ht="12.75">
      <c r="A244" s="91" t="s">
        <v>121</v>
      </c>
      <c r="B244" s="92"/>
      <c r="C244" s="32"/>
      <c r="D244" s="36">
        <f>+'Entrate tot e finalizzati'!D244-'Entrate tot e finalizzati'!E244</f>
        <v>0</v>
      </c>
      <c r="E244" s="36">
        <f>+'Entrate tot e finalizzati'!F244-'Entrate tot e finalizzati'!G244</f>
        <v>0</v>
      </c>
      <c r="F244" s="36">
        <f>+'Entrate tot e finalizzati'!H244-'Entrate tot e finalizzati'!I244</f>
        <v>0</v>
      </c>
      <c r="G244" s="36">
        <f>+'Entrate tot e finalizzati'!J244-'Entrate tot e finalizzati'!K244</f>
        <v>0</v>
      </c>
      <c r="H244" s="36">
        <f>+'Entrate tot e finalizzati'!L244-'Entrate tot e finalizzati'!M244</f>
        <v>0</v>
      </c>
      <c r="I244" s="36">
        <f>+'Entrate tot e finalizzati'!N244-'Entrate tot e finalizzati'!O244</f>
        <v>0</v>
      </c>
      <c r="J244" s="36">
        <f>+'Entrate tot e finalizzati'!P244-'Entrate tot e finalizzati'!Q244</f>
        <v>0</v>
      </c>
      <c r="K244" s="36">
        <f>+'Entrate tot e finalizzati'!R244-'Entrate tot e finalizzati'!S244</f>
        <v>0</v>
      </c>
      <c r="L244" s="36">
        <f>+'Entrate tot e finalizzati'!T244-'Entrate tot e finalizzati'!U244</f>
        <v>0</v>
      </c>
      <c r="M244" s="36"/>
      <c r="N244" s="36"/>
      <c r="O244" s="36"/>
      <c r="P244" s="36"/>
      <c r="Q244" s="36"/>
      <c r="R244" s="36"/>
      <c r="S244" s="36"/>
      <c r="T244" s="36"/>
      <c r="U244" s="36"/>
    </row>
    <row r="245" spans="1:13" s="2" customFormat="1" ht="12.75">
      <c r="A245" s="62"/>
      <c r="B245" s="63" t="s">
        <v>67</v>
      </c>
      <c r="C245" s="22"/>
      <c r="D245" s="26">
        <f>+'Entrate tot e finalizzati'!D245-'Entrate tot e finalizzati'!E245</f>
        <v>0</v>
      </c>
      <c r="E245" s="26">
        <f>+'Entrate tot e finalizzati'!F245-'Entrate tot e finalizzati'!G245</f>
        <v>0</v>
      </c>
      <c r="F245" s="26">
        <f>+'Entrate tot e finalizzati'!H245-'Entrate tot e finalizzati'!I245</f>
        <v>0</v>
      </c>
      <c r="G245" s="26">
        <f>+'Entrate tot e finalizzati'!J245-'Entrate tot e finalizzati'!K245</f>
        <v>0</v>
      </c>
      <c r="H245" s="26">
        <f>+'Entrate tot e finalizzati'!L245-'Entrate tot e finalizzati'!M245</f>
        <v>0</v>
      </c>
      <c r="I245" s="26">
        <f>+'Entrate tot e finalizzati'!N245-'Entrate tot e finalizzati'!O245</f>
        <v>0</v>
      </c>
      <c r="J245" s="26">
        <f>+'Entrate tot e finalizzati'!P245-'Entrate tot e finalizzati'!Q245</f>
        <v>0</v>
      </c>
      <c r="K245" s="26">
        <f>+'Entrate tot e finalizzati'!R245-'Entrate tot e finalizzati'!S245</f>
        <v>0</v>
      </c>
      <c r="L245" s="26">
        <f>+'Entrate tot e finalizzati'!T245-'Entrate tot e finalizzati'!U245</f>
        <v>0</v>
      </c>
      <c r="M245" s="65"/>
    </row>
    <row r="246" spans="1:21" s="2" customFormat="1" ht="12.75">
      <c r="A246" s="91" t="s">
        <v>110</v>
      </c>
      <c r="B246" s="92"/>
      <c r="C246" s="32"/>
      <c r="D246" s="36">
        <f>+'Entrate tot e finalizzati'!D246-'Entrate tot e finalizzati'!E246</f>
        <v>0</v>
      </c>
      <c r="E246" s="36">
        <f>+'Entrate tot e finalizzati'!F246-'Entrate tot e finalizzati'!G246</f>
        <v>0</v>
      </c>
      <c r="F246" s="36">
        <f>+'Entrate tot e finalizzati'!H246-'Entrate tot e finalizzati'!I246</f>
        <v>0</v>
      </c>
      <c r="G246" s="36">
        <f>+'Entrate tot e finalizzati'!J246-'Entrate tot e finalizzati'!K246</f>
        <v>0</v>
      </c>
      <c r="H246" s="36">
        <f>+'Entrate tot e finalizzati'!L246-'Entrate tot e finalizzati'!M246</f>
        <v>0</v>
      </c>
      <c r="I246" s="36">
        <f>+'Entrate tot e finalizzati'!N246-'Entrate tot e finalizzati'!O246</f>
        <v>0</v>
      </c>
      <c r="J246" s="36">
        <f>+'Entrate tot e finalizzati'!P246-'Entrate tot e finalizzati'!Q246</f>
        <v>0</v>
      </c>
      <c r="K246" s="36">
        <f>+'Entrate tot e finalizzati'!R246-'Entrate tot e finalizzati'!S246</f>
        <v>0</v>
      </c>
      <c r="L246" s="36">
        <f>+'Entrate tot e finalizzati'!T246-'Entrate tot e finalizzati'!U246</f>
        <v>0</v>
      </c>
      <c r="M246" s="36"/>
      <c r="N246" s="36"/>
      <c r="O246" s="36"/>
      <c r="P246" s="36"/>
      <c r="Q246" s="36"/>
      <c r="R246" s="36"/>
      <c r="S246" s="36"/>
      <c r="T246" s="36"/>
      <c r="U246" s="36"/>
    </row>
    <row r="247" spans="1:12" s="2" customFormat="1" ht="12.75">
      <c r="A247" s="107"/>
      <c r="B247" s="37" t="s">
        <v>117</v>
      </c>
      <c r="C247"/>
      <c r="D247" s="25">
        <f>+'Entrate tot e finalizzati'!D247-'Entrate tot e finalizzati'!E247</f>
        <v>0</v>
      </c>
      <c r="E247" s="23">
        <f>+'Entrate tot e finalizzati'!F247-'Entrate tot e finalizzati'!G247</f>
        <v>0</v>
      </c>
      <c r="F247" s="25">
        <f>+'Entrate tot e finalizzati'!H247-'Entrate tot e finalizzati'!I247</f>
        <v>0</v>
      </c>
      <c r="G247" s="25">
        <f>+'Entrate tot e finalizzati'!J247-'Entrate tot e finalizzati'!K247</f>
        <v>0</v>
      </c>
      <c r="H247" s="23">
        <f>+'Entrate tot e finalizzati'!L247-'Entrate tot e finalizzati'!M247</f>
        <v>0</v>
      </c>
      <c r="I247" s="23">
        <f>+'Entrate tot e finalizzati'!N247-'Entrate tot e finalizzati'!O247</f>
        <v>0</v>
      </c>
      <c r="J247" s="23">
        <f>+'Entrate tot e finalizzati'!P247-'Entrate tot e finalizzati'!Q247</f>
        <v>0</v>
      </c>
      <c r="K247" s="23">
        <f>+'Entrate tot e finalizzati'!R247-'Entrate tot e finalizzati'!S247</f>
        <v>0</v>
      </c>
      <c r="L247" s="23">
        <f>+'Entrate tot e finalizzati'!T247-'Entrate tot e finalizzati'!U247</f>
        <v>0</v>
      </c>
    </row>
    <row r="248" spans="1:13" s="2" customFormat="1" ht="12.75">
      <c r="A248" s="62"/>
      <c r="B248" s="63" t="s">
        <v>67</v>
      </c>
      <c r="C248" s="65"/>
      <c r="D248" s="71">
        <f>+'Entrate tot e finalizzati'!D248-'Entrate tot e finalizzati'!E248</f>
        <v>0</v>
      </c>
      <c r="E248" s="71">
        <f>+'Entrate tot e finalizzati'!F248-'Entrate tot e finalizzati'!G248</f>
        <v>0</v>
      </c>
      <c r="F248" s="71">
        <f>+'Entrate tot e finalizzati'!H248-'Entrate tot e finalizzati'!I248</f>
        <v>0</v>
      </c>
      <c r="G248" s="71">
        <f>+'Entrate tot e finalizzati'!J248-'Entrate tot e finalizzati'!K248</f>
        <v>0</v>
      </c>
      <c r="H248" s="41">
        <f>+'Entrate tot e finalizzati'!L248-'Entrate tot e finalizzati'!M248</f>
        <v>0</v>
      </c>
      <c r="I248" s="41">
        <f>+'Entrate tot e finalizzati'!N248-'Entrate tot e finalizzati'!O248</f>
        <v>0</v>
      </c>
      <c r="J248" s="41">
        <f>+'Entrate tot e finalizzati'!P248-'Entrate tot e finalizzati'!Q248</f>
        <v>0</v>
      </c>
      <c r="K248" s="41">
        <f>+'Entrate tot e finalizzati'!R248-'Entrate tot e finalizzati'!S248</f>
        <v>0</v>
      </c>
      <c r="L248" s="41">
        <f>+'Entrate tot e finalizzati'!T248-'Entrate tot e finalizzati'!U248</f>
        <v>0</v>
      </c>
      <c r="M248" s="115"/>
    </row>
    <row r="249" spans="1:21" s="2" customFormat="1" ht="12.75">
      <c r="A249" s="91" t="s">
        <v>122</v>
      </c>
      <c r="B249" s="92"/>
      <c r="C249" s="32"/>
      <c r="D249" s="36">
        <f>+'Entrate tot e finalizzati'!D249-'Entrate tot e finalizzati'!E249</f>
        <v>0</v>
      </c>
      <c r="E249" s="36">
        <f>+'Entrate tot e finalizzati'!F249-'Entrate tot e finalizzati'!G249</f>
        <v>0</v>
      </c>
      <c r="F249" s="36">
        <f>+'Entrate tot e finalizzati'!H249-'Entrate tot e finalizzati'!I249</f>
        <v>0</v>
      </c>
      <c r="G249" s="36">
        <f>+'Entrate tot e finalizzati'!J249-'Entrate tot e finalizzati'!K249</f>
        <v>0</v>
      </c>
      <c r="H249" s="36">
        <f>+'Entrate tot e finalizzati'!L249-'Entrate tot e finalizzati'!M249</f>
        <v>0</v>
      </c>
      <c r="I249" s="36">
        <f>+'Entrate tot e finalizzati'!N249-'Entrate tot e finalizzati'!O249</f>
        <v>0</v>
      </c>
      <c r="J249" s="36">
        <f>+'Entrate tot e finalizzati'!P249-'Entrate tot e finalizzati'!Q249</f>
        <v>0</v>
      </c>
      <c r="K249" s="36">
        <f>+'Entrate tot e finalizzati'!R249-'Entrate tot e finalizzati'!S249</f>
        <v>0</v>
      </c>
      <c r="L249" s="36">
        <f>+'Entrate tot e finalizzati'!T249-'Entrate tot e finalizzati'!U249</f>
        <v>0</v>
      </c>
      <c r="M249" s="36"/>
      <c r="N249" s="36"/>
      <c r="O249" s="36"/>
      <c r="P249" s="36"/>
      <c r="Q249" s="36"/>
      <c r="R249" s="36"/>
      <c r="S249" s="36"/>
      <c r="T249" s="36"/>
      <c r="U249" s="36"/>
    </row>
    <row r="250" spans="1:13" s="2" customFormat="1" ht="12.75">
      <c r="A250" s="62"/>
      <c r="B250" s="63" t="s">
        <v>67</v>
      </c>
      <c r="C250" s="65"/>
      <c r="D250" s="71">
        <f>+'Entrate tot e finalizzati'!D250-'Entrate tot e finalizzati'!E250</f>
        <v>0</v>
      </c>
      <c r="E250" s="71">
        <f>+'Entrate tot e finalizzati'!F250-'Entrate tot e finalizzati'!G250</f>
        <v>0</v>
      </c>
      <c r="F250" s="71">
        <f>+'Entrate tot e finalizzati'!H250-'Entrate tot e finalizzati'!I250</f>
        <v>0</v>
      </c>
      <c r="G250" s="71">
        <f>+'Entrate tot e finalizzati'!J250-'Entrate tot e finalizzati'!K250</f>
        <v>0</v>
      </c>
      <c r="H250" s="41">
        <f>+'Entrate tot e finalizzati'!L250-'Entrate tot e finalizzati'!M250</f>
        <v>0</v>
      </c>
      <c r="I250" s="41">
        <f>+'Entrate tot e finalizzati'!N250-'Entrate tot e finalizzati'!O250</f>
        <v>0</v>
      </c>
      <c r="J250" s="41">
        <f>+'Entrate tot e finalizzati'!P250-'Entrate tot e finalizzati'!Q250</f>
        <v>0</v>
      </c>
      <c r="K250" s="41">
        <f>+'Entrate tot e finalizzati'!R250-'Entrate tot e finalizzati'!S250</f>
        <v>0</v>
      </c>
      <c r="L250" s="41">
        <f>+'Entrate tot e finalizzati'!T250-'Entrate tot e finalizzati'!U250</f>
        <v>0</v>
      </c>
      <c r="M250" s="115"/>
    </row>
    <row r="251" spans="1:21" s="2" customFormat="1" ht="12.75">
      <c r="A251" s="91" t="s">
        <v>5</v>
      </c>
      <c r="B251" s="92"/>
      <c r="C251" s="32"/>
      <c r="D251" s="36">
        <f>+'Entrate tot e finalizzati'!D251-'Entrate tot e finalizzati'!E251</f>
        <v>0</v>
      </c>
      <c r="E251" s="36">
        <f>+'Entrate tot e finalizzati'!F251-'Entrate tot e finalizzati'!G251</f>
        <v>0</v>
      </c>
      <c r="F251" s="36">
        <f>+'Entrate tot e finalizzati'!H251-'Entrate tot e finalizzati'!I251</f>
        <v>0</v>
      </c>
      <c r="G251" s="36">
        <f>+'Entrate tot e finalizzati'!J251-'Entrate tot e finalizzati'!K251</f>
        <v>0</v>
      </c>
      <c r="H251" s="36">
        <f>+'Entrate tot e finalizzati'!L251-'Entrate tot e finalizzati'!M251</f>
        <v>0</v>
      </c>
      <c r="I251" s="36">
        <f>+'Entrate tot e finalizzati'!N251-'Entrate tot e finalizzati'!O251</f>
        <v>1</v>
      </c>
      <c r="J251" s="36">
        <f>+'Entrate tot e finalizzati'!P251-'Entrate tot e finalizzati'!Q251</f>
        <v>0</v>
      </c>
      <c r="K251" s="36">
        <f>+'Entrate tot e finalizzati'!R251-'Entrate tot e finalizzati'!S251</f>
        <v>0</v>
      </c>
      <c r="L251" s="36">
        <f>+'Entrate tot e finalizzati'!T251-'Entrate tot e finalizzati'!U251</f>
        <v>0</v>
      </c>
      <c r="M251" s="36"/>
      <c r="N251" s="36"/>
      <c r="O251" s="36"/>
      <c r="P251" s="36"/>
      <c r="Q251" s="36"/>
      <c r="R251" s="36"/>
      <c r="S251" s="36"/>
      <c r="T251" s="36"/>
      <c r="U251" s="36"/>
    </row>
    <row r="252" spans="1:12" s="2" customFormat="1" ht="12.75">
      <c r="A252" s="107"/>
      <c r="B252" s="37" t="s">
        <v>36</v>
      </c>
      <c r="C252"/>
      <c r="D252" s="25">
        <f>+'Entrate tot e finalizzati'!D252-'Entrate tot e finalizzati'!E252</f>
        <v>0</v>
      </c>
      <c r="E252" s="25">
        <f>+'Entrate tot e finalizzati'!F252-'Entrate tot e finalizzati'!G252</f>
        <v>0</v>
      </c>
      <c r="F252" s="25">
        <f>+'Entrate tot e finalizzati'!H252-'Entrate tot e finalizzati'!I252</f>
        <v>0</v>
      </c>
      <c r="G252" s="25">
        <f>+'Entrate tot e finalizzati'!J252-'Entrate tot e finalizzati'!K252</f>
        <v>0</v>
      </c>
      <c r="H252" s="23">
        <f>+'Entrate tot e finalizzati'!L252-'Entrate tot e finalizzati'!M252</f>
        <v>0</v>
      </c>
      <c r="I252" s="23">
        <f>+'Entrate tot e finalizzati'!N252-'Entrate tot e finalizzati'!O252</f>
        <v>1</v>
      </c>
      <c r="J252" s="23">
        <f>+'Entrate tot e finalizzati'!P252-'Entrate tot e finalizzati'!Q252</f>
        <v>0</v>
      </c>
      <c r="K252" s="23">
        <f>+'Entrate tot e finalizzati'!R252-'Entrate tot e finalizzati'!S252</f>
        <v>0</v>
      </c>
      <c r="L252" s="23">
        <f>+'Entrate tot e finalizzati'!T252-'Entrate tot e finalizzati'!U252</f>
        <v>0</v>
      </c>
    </row>
    <row r="253" spans="1:13" s="2" customFormat="1" ht="12.75">
      <c r="A253" s="62"/>
      <c r="B253" s="63" t="s">
        <v>67</v>
      </c>
      <c r="C253" s="65"/>
      <c r="D253" s="71">
        <f>+'Entrate tot e finalizzati'!D253-'Entrate tot e finalizzati'!E253</f>
        <v>0</v>
      </c>
      <c r="E253" s="71">
        <f>+'Entrate tot e finalizzati'!F253-'Entrate tot e finalizzati'!G253</f>
        <v>0</v>
      </c>
      <c r="F253" s="71">
        <f>+'Entrate tot e finalizzati'!H253-'Entrate tot e finalizzati'!I253</f>
        <v>0</v>
      </c>
      <c r="G253" s="71">
        <f>+'Entrate tot e finalizzati'!J253-'Entrate tot e finalizzati'!K253</f>
        <v>0</v>
      </c>
      <c r="H253" s="41">
        <f>+'Entrate tot e finalizzati'!L253-'Entrate tot e finalizzati'!M253</f>
        <v>0</v>
      </c>
      <c r="I253" s="41">
        <f>+'Entrate tot e finalizzati'!N253-'Entrate tot e finalizzati'!O253</f>
        <v>0</v>
      </c>
      <c r="J253" s="41">
        <f>+'Entrate tot e finalizzati'!P253-'Entrate tot e finalizzati'!Q253</f>
        <v>0</v>
      </c>
      <c r="K253" s="41">
        <f>+'Entrate tot e finalizzati'!R253-'Entrate tot e finalizzati'!S253</f>
        <v>0</v>
      </c>
      <c r="L253" s="41">
        <f>+'Entrate tot e finalizzati'!T253-'Entrate tot e finalizzati'!U253</f>
        <v>0</v>
      </c>
      <c r="M253" s="115"/>
    </row>
    <row r="254" spans="1:12" s="2" customFormat="1" ht="15.75">
      <c r="A254" s="130" t="s">
        <v>7</v>
      </c>
      <c r="B254" s="131"/>
      <c r="D254" s="96">
        <f>+'Entrate tot e finalizzati'!D254-'Entrate tot e finalizzati'!E254</f>
        <v>410706</v>
      </c>
      <c r="E254" s="96">
        <f>+'Entrate tot e finalizzati'!F254-'Entrate tot e finalizzati'!G254</f>
        <v>408658</v>
      </c>
      <c r="F254" s="96">
        <f>+'Entrate tot e finalizzati'!H254-'Entrate tot e finalizzati'!I254</f>
        <v>418336</v>
      </c>
      <c r="G254" s="96">
        <f>+'Entrate tot e finalizzati'!J254-'Entrate tot e finalizzati'!K254</f>
        <v>435757</v>
      </c>
      <c r="H254" s="96">
        <f>+'Entrate tot e finalizzati'!L254-'Entrate tot e finalizzati'!M254</f>
        <v>450297</v>
      </c>
      <c r="I254" s="96">
        <f>+'Entrate tot e finalizzati'!N254-'Entrate tot e finalizzati'!O254</f>
        <v>472194</v>
      </c>
      <c r="J254" s="96">
        <f>+'Entrate tot e finalizzati'!P254-'Entrate tot e finalizzati'!Q254</f>
        <v>476074</v>
      </c>
      <c r="K254" s="96">
        <f>+'Entrate tot e finalizzati'!R254-'Entrate tot e finalizzati'!S254</f>
        <v>487815</v>
      </c>
      <c r="L254" s="96">
        <f>+'Entrate tot e finalizzati'!T254-'Entrate tot e finalizzati'!U254</f>
        <v>476782</v>
      </c>
    </row>
    <row r="255" spans="2:12" s="2" customFormat="1" ht="20.25" customHeight="1">
      <c r="B255" s="77"/>
      <c r="C255" s="68"/>
      <c r="D255" s="78"/>
      <c r="E255" s="78"/>
      <c r="F255" s="78"/>
      <c r="G255" s="78"/>
      <c r="H255" s="78"/>
      <c r="I255" s="78"/>
      <c r="J255" s="78"/>
      <c r="K255" s="78"/>
      <c r="L255" s="78"/>
    </row>
    <row r="256" ht="12.75">
      <c r="A256" s="105" t="s">
        <v>84</v>
      </c>
    </row>
    <row r="259" ht="12.75">
      <c r="H259" s="4"/>
    </row>
    <row r="441" ht="12.75">
      <c r="D441" s="4" t="s">
        <v>8</v>
      </c>
    </row>
  </sheetData>
  <printOptions/>
  <pageMargins left="0.51" right="0.21" top="0.42" bottom="0.36" header="0.26" footer="0.19"/>
  <pageSetup horizontalDpi="600" verticalDpi="600" orientation="landscape" paperSize="9" scale="95" r:id="rId1"/>
  <rowBreaks count="6" manualBreakCount="6">
    <brk id="46" max="13" man="1"/>
    <brk id="75" max="13" man="1"/>
    <brk id="109" max="13" man="1"/>
    <brk id="144" max="13" man="1"/>
    <brk id="182" max="13" man="1"/>
    <brk id="22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rcorsini</cp:lastModifiedBy>
  <cp:lastPrinted>2006-06-07T07:27:48Z</cp:lastPrinted>
  <dcterms:created xsi:type="dcterms:W3CDTF">2000-04-21T08:37:10Z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