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activeTab="0"/>
  </bookViews>
  <sheets>
    <sheet name="Cons spec tot e finalizzati" sheetId="1" r:id="rId1"/>
    <sheet name="Cons spec netti " sheetId="2" r:id="rId2"/>
    <sheet name="DIR GEN" sheetId="3" r:id="rId3"/>
    <sheet name="Staff politico isti" sheetId="4" r:id="rId4"/>
    <sheet name="Gabinetto" sheetId="5" r:id="rId5"/>
    <sheet name="Staff del Consiglio" sheetId="6" r:id="rId6"/>
    <sheet name="Partecipazione soc" sheetId="7" r:id="rId7"/>
    <sheet name="Segreteria Generale" sheetId="8" r:id="rId8"/>
    <sheet name="Settori di staff" sheetId="9" r:id="rId9"/>
    <sheet name="Amministrativo " sheetId="10" r:id="rId10"/>
    <sheet name="Legale" sheetId="11" r:id="rId11"/>
    <sheet name="Affari ist" sheetId="12" r:id="rId12"/>
    <sheet name="Acquisti" sheetId="13" r:id="rId13"/>
    <sheet name="Personale " sheetId="14" r:id="rId14"/>
    <sheet name="P&amp;C" sheetId="15" r:id="rId15"/>
    <sheet name="Sistemi info" sheetId="16" r:id="rId16"/>
    <sheet name="Ragioneria" sheetId="17" r:id="rId17"/>
    <sheet name="Coord Quartieri" sheetId="18" r:id="rId18"/>
    <sheet name="Comunicazione " sheetId="19" r:id="rId19"/>
    <sheet name="Settori di line" sheetId="20" r:id="rId20"/>
    <sheet name="LLPP" sheetId="21" r:id="rId21"/>
    <sheet name="PM" sheetId="22" r:id="rId22"/>
    <sheet name="Entrate" sheetId="23" r:id="rId23"/>
    <sheet name="Patrimonio" sheetId="24" r:id="rId24"/>
    <sheet name="Sociale e salute" sheetId="25" r:id="rId25"/>
    <sheet name="Istruzione" sheetId="26" r:id="rId26"/>
    <sheet name="Cultura" sheetId="27" r:id="rId27"/>
    <sheet name="Attività produttive" sheetId="28" r:id="rId28"/>
    <sheet name="Sport" sheetId="29" r:id="rId29"/>
    <sheet name="Territorio" sheetId="30" r:id="rId30"/>
    <sheet name="Mobilità" sheetId="31" r:id="rId31"/>
    <sheet name="Casa" sheetId="32" r:id="rId32"/>
    <sheet name="Ambiente " sheetId="33" r:id="rId33"/>
    <sheet name="Servizi demografici" sheetId="34" r:id="rId34"/>
    <sheet name="Quartieri" sheetId="35" r:id="rId35"/>
    <sheet name="Q.Borgo" sheetId="36" r:id="rId36"/>
    <sheet name="Q.Navile" sheetId="37" r:id="rId37"/>
    <sheet name="Q.Porto" sheetId="38" r:id="rId38"/>
    <sheet name="Q.Reno" sheetId="39" r:id="rId39"/>
    <sheet name="Q.SDonato" sheetId="40" r:id="rId40"/>
    <sheet name="Q.SStefano" sheetId="41" r:id="rId41"/>
    <sheet name="Q.SVitale" sheetId="42" r:id="rId42"/>
    <sheet name="Q.Saragozza" sheetId="43" r:id="rId43"/>
    <sheet name="Q.Savena" sheetId="44" r:id="rId44"/>
    <sheet name="TOTALE CS" sheetId="45" r:id="rId45"/>
  </sheets>
  <externalReferences>
    <externalReference r:id="rId48"/>
  </externalReferences>
  <definedNames>
    <definedName name="_xlnm.Print_Area" localSheetId="12">'Acquisti'!$I$1:$W$17</definedName>
    <definedName name="_xlnm.Print_Area" localSheetId="11">'Affari ist'!$I$1:$W$17</definedName>
    <definedName name="_xlnm.Print_Area" localSheetId="32">'Ambiente '!$I$1:$W$17</definedName>
    <definedName name="_xlnm.Print_Area" localSheetId="9">'Amministrativo '!$I$1:$W$17</definedName>
    <definedName name="_xlnm.Print_Area" localSheetId="27">'Attività produttive'!$I$1:$W$17</definedName>
    <definedName name="_xlnm.Print_Area" localSheetId="31">'Casa'!$I$1:$W$17</definedName>
    <definedName name="_xlnm.Print_Area" localSheetId="18">'Comunicazione '!$I$1:$W$17</definedName>
    <definedName name="_xlnm.Print_Area" localSheetId="1">'Cons spec netti '!$A$1:$L$228</definedName>
    <definedName name="_xlnm.Print_Area" localSheetId="0">'Cons spec tot e finalizzati'!$A$1:$T$228</definedName>
    <definedName name="_xlnm.Print_Area" localSheetId="17">'Coord Quartieri'!$I$1:$W$17</definedName>
    <definedName name="_xlnm.Print_Area" localSheetId="26">'Cultura'!$I$1:$W$17</definedName>
    <definedName name="_xlnm.Print_Area" localSheetId="2">'DIR GEN'!$I$1:$W$17</definedName>
    <definedName name="_xlnm.Print_Area" localSheetId="22">'Entrate'!$I$1:$W$17</definedName>
    <definedName name="_xlnm.Print_Area" localSheetId="4">'Gabinetto'!$I$1:$W$17</definedName>
    <definedName name="_xlnm.Print_Area" localSheetId="25">'Istruzione'!$I$1:$W$17</definedName>
    <definedName name="_xlnm.Print_Area" localSheetId="10">'Legale'!$I$1:$W$17</definedName>
    <definedName name="_xlnm.Print_Area" localSheetId="20">'LLPP'!$I$1:$W$17</definedName>
    <definedName name="_xlnm.Print_Area" localSheetId="30">'Mobilità'!$I$1:$W$17</definedName>
    <definedName name="_xlnm.Print_Area" localSheetId="14">'P&amp;C'!$I$1:$W$17</definedName>
    <definedName name="_xlnm.Print_Area" localSheetId="6">'Partecipazione soc'!$I$1:$W$17</definedName>
    <definedName name="_xlnm.Print_Area" localSheetId="23">'Patrimonio'!$I$1:$W$17</definedName>
    <definedName name="_xlnm.Print_Area" localSheetId="13">'Personale '!$I$1:$W$17</definedName>
    <definedName name="_xlnm.Print_Area" localSheetId="21">'PM'!$I$1:$W$17</definedName>
    <definedName name="_xlnm.Print_Area" localSheetId="35">'Q.Borgo'!$I$1:$W$17</definedName>
    <definedName name="_xlnm.Print_Area" localSheetId="36">'Q.Navile'!$I$1:$W$17</definedName>
    <definedName name="_xlnm.Print_Area" localSheetId="37">'Q.Porto'!$I$1:$W$17</definedName>
    <definedName name="_xlnm.Print_Area" localSheetId="38">'Q.Reno'!$I$1:$W$17</definedName>
    <definedName name="_xlnm.Print_Area" localSheetId="42">'Q.Saragozza'!$I$1:$W$17</definedName>
    <definedName name="_xlnm.Print_Area" localSheetId="43">'Q.Savena'!$I$1:$W$17</definedName>
    <definedName name="_xlnm.Print_Area" localSheetId="39">'Q.SDonato'!$I$1:$W$17</definedName>
    <definedName name="_xlnm.Print_Area" localSheetId="40">'Q.SStefano'!$I$1:$W$17</definedName>
    <definedName name="_xlnm.Print_Area" localSheetId="41">'Q.SVitale'!$I$1:$W$17</definedName>
    <definedName name="_xlnm.Print_Area" localSheetId="34">'Quartieri'!$I$1:$W$17</definedName>
    <definedName name="_xlnm.Print_Area" localSheetId="16">'Ragioneria'!$I$1:$W$17</definedName>
    <definedName name="_xlnm.Print_Area" localSheetId="7">'Segreteria Generale'!$I$1:$W$17</definedName>
    <definedName name="_xlnm.Print_Area" localSheetId="33">'Servizi demografici'!$I$1:$W$17</definedName>
    <definedName name="_xlnm.Print_Area" localSheetId="19">'Settori di line'!$I$1:$W$17</definedName>
    <definedName name="_xlnm.Print_Area" localSheetId="8">'Settori di staff'!$I$1:$W$17</definedName>
    <definedName name="_xlnm.Print_Area" localSheetId="15">'Sistemi info'!$I$1:$W$17</definedName>
    <definedName name="_xlnm.Print_Area" localSheetId="24">'Sociale e salute'!$I$1:$W$17</definedName>
    <definedName name="_xlnm.Print_Area" localSheetId="28">'Sport'!$I$1:$W$17</definedName>
    <definedName name="_xlnm.Print_Area" localSheetId="5">'Staff del Consiglio'!$I$1:$W$17</definedName>
    <definedName name="_xlnm.Print_Area" localSheetId="3">'Staff politico isti'!$I$1:$W$17</definedName>
    <definedName name="_xlnm.Print_Area" localSheetId="29">'Territorio'!$I$1:$W$17</definedName>
    <definedName name="_xlnm.Print_Area" localSheetId="44">'TOTALE CS'!$I$1:$W$17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<sst xmlns="http://schemas.openxmlformats.org/spreadsheetml/2006/main" count="743" uniqueCount="187">
  <si>
    <t>DIREZIONE GENERALE</t>
  </si>
  <si>
    <t>GABINETTO</t>
  </si>
  <si>
    <t>UFFICIO STAMPA</t>
  </si>
  <si>
    <t>CERIMONIALE</t>
  </si>
  <si>
    <t>STAFF CONSIGLIO</t>
  </si>
  <si>
    <t>PROTEZIONE CIVILE</t>
  </si>
  <si>
    <t>DIREZIONE, AMMINISTRAZIONE/ALTRO</t>
  </si>
  <si>
    <t>PROTOCOLLO ARCHIVIO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</si>
  <si>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</si>
  <si>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</si>
  <si>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</si>
  <si>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</si>
  <si>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</si>
  <si>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</si>
  <si>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</si>
  <si>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</si>
  <si>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</si>
  <si>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</si>
  <si>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</si>
  <si>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</si>
  <si>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</si>
  <si>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</si>
  <si>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</si>
  <si>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</si>
  <si>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</si>
  <si>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</si>
  <si>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</si>
  <si>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DIREZIONE, AMMINISTRAZIONE E CDG/ALTRO</t>
  </si>
  <si>
    <t>SANITA' E IGIENE PUBBLICA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</si>
  <si>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</si>
  <si>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</si>
  <si>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</si>
  <si>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</si>
  <si>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</si>
  <si>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</si>
  <si>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</si>
  <si>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</si>
  <si>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</si>
  <si>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</si>
  <si>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</si>
  <si>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</si>
  <si>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</si>
  <si>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</si>
  <si>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</si>
  <si>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</si>
  <si>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</si>
  <si>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</si>
  <si>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</si>
  <si>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</si>
  <si>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</si>
  <si>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</si>
  <si>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</si>
  <si>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CONTROLLO E SEGNALETICA</t>
  </si>
  <si>
    <t>CONS</t>
  </si>
  <si>
    <t>Consumi specifici finalizzati</t>
  </si>
  <si>
    <t>Indice consumi specifici netti</t>
  </si>
  <si>
    <t>STATISTICA</t>
  </si>
  <si>
    <t>UNITA' GIURIDICO-AMINISTRATIVA</t>
  </si>
  <si>
    <t>EDILIZIA</t>
  </si>
  <si>
    <t>Consumi specifici netti</t>
  </si>
  <si>
    <t>AUTORIZZAZIONI, LICENZE E COORDINAMENTO INTERVENTI</t>
  </si>
  <si>
    <t>SEGRETERIE DELL'ESECUTIVO</t>
  </si>
  <si>
    <t>ENTRATE</t>
  </si>
  <si>
    <t>QUALITA'</t>
  </si>
  <si>
    <t>PROGRAMMAZIONE, CONTROLLI E STATISTICA</t>
  </si>
  <si>
    <t>TECNOLOGIE ED ESERCIZIO</t>
  </si>
  <si>
    <t>SERVIZI ALL'INFANZIA</t>
  </si>
  <si>
    <t>FORMAZIONE PROFESSIONALE</t>
  </si>
  <si>
    <t>QUARTIERI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</si>
  <si>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</si>
  <si>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</si>
  <si>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</si>
  <si>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</si>
  <si>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</si>
  <si>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</si>
  <si>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</si>
  <si>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</si>
  <si>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</si>
  <si>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</si>
  <si>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</si>
  <si>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</si>
  <si>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</si>
  <si>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</si>
  <si>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</si>
  <si>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>NOTA RELATIVE ALLE MODIFICHE ORGANIZZATIVE E CONSEGUENTE RIALLOCAZIONE DELLE RISORSE:</t>
  </si>
  <si>
    <t xml:space="preserve">SERVIZI SOCIALI ANZIANI E DISABILI </t>
  </si>
  <si>
    <t>PROGRAMMAZIONE E CONTROLLI</t>
  </si>
  <si>
    <t xml:space="preserve">INFRASTRUTTURE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</si>
  <si>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</si>
  <si>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</si>
  <si>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</si>
  <si>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</si>
  <si>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</si>
  <si>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</si>
  <si>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</si>
  <si>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</si>
  <si>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</si>
  <si>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</si>
  <si>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</si>
  <si>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</si>
  <si>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</si>
  <si>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</si>
  <si>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</si>
  <si>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</si>
  <si>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</si>
  <si>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</si>
  <si>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</si>
  <si>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</si>
  <si>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</si>
  <si>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SPORTELLO IMPRESE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</si>
  <si>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</si>
  <si>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</si>
  <si>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</si>
  <si>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</si>
  <si>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</si>
  <si>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(**) Il 2001 è al netto di contributi (€ 37.640 mgl) per trasporto pubblico locale da stato e regione trasferiti ad ATC</t>
  </si>
  <si>
    <t>MOBILITA' URBANA (**)</t>
  </si>
  <si>
    <t>DIREZIONE, AMMINISTRAZIONE, CDG/ALTRO (**)</t>
  </si>
  <si>
    <t>PARTECIPAZIONI SOCIETARIE</t>
  </si>
  <si>
    <t>POLITICHE PER LA SICUREZZA</t>
  </si>
  <si>
    <t>STAFF AMMINISTRATIVO GARE E CONTRATTI</t>
  </si>
  <si>
    <t>PATRIMONIO</t>
  </si>
  <si>
    <t>LAVORI PUBBLICI</t>
  </si>
  <si>
    <t>POLIZIA MUNICIPALE E PROTEZIONE CIVILE</t>
  </si>
  <si>
    <t>MUSEO INTERNAZIONALE E BIBLIOTECA MUSICALE DI BOLOGNA</t>
  </si>
  <si>
    <t>AMBIENTE E VERDE URBANO</t>
  </si>
  <si>
    <t>SERVIZI DEMOGRAFICI</t>
  </si>
  <si>
    <t>DIRITTO ALLO STUDIO E ALTRE STRUTTURE EDUCATIVE</t>
  </si>
  <si>
    <t>CULTURA/GIOVANI/SPORT</t>
  </si>
  <si>
    <t>CULTURA E RAPPORTI CON L'UNIVERSITA'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</si>
  <si>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</si>
  <si>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</si>
  <si>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POLIZIA MORTUARIA/SERVIZI CIMITERIALI</t>
  </si>
  <si>
    <t>INNOV. AMM.VA/REGOLAMENTI/CITTA' METROPOLITANA</t>
  </si>
  <si>
    <t>DIREZIONE, AMMINISTRAZIONE, CDG, /ALTRO</t>
  </si>
  <si>
    <t xml:space="preserve">SICUREZZA ED IMPIANTI </t>
  </si>
  <si>
    <t>URBANIZZAZIONI E PARTERNARIATO</t>
  </si>
  <si>
    <t>CONTRATTI SPECIALI</t>
  </si>
  <si>
    <t>MANUTENZIONE</t>
  </si>
  <si>
    <t>SERVIZI AUSILIARI MANUTENZIONE</t>
  </si>
  <si>
    <t>GESTIONE CONTRATTO HERA</t>
  </si>
  <si>
    <t>PROGRAMMAZIONE E SVILUPPO DI IMPRESA</t>
  </si>
  <si>
    <t>PIANIFICAZIONE COMMERCIALE</t>
  </si>
  <si>
    <t>PROGR. E COORD. SERVIZI PER IL LAVORO E PER IL CONSUMATORE</t>
  </si>
  <si>
    <t>PROMOZIONE TURISTICA</t>
  </si>
  <si>
    <t>PIANO STRUTTURALE COMUNALE</t>
  </si>
  <si>
    <t>STAFF DEL CONSIGLIO</t>
  </si>
  <si>
    <t>LEGALE</t>
  </si>
  <si>
    <t>SEGRETERIA GENERALE</t>
  </si>
  <si>
    <t>ACQUISTI</t>
  </si>
  <si>
    <t>PERSONALE ED ORGANIZZAZIONE</t>
  </si>
  <si>
    <t>SISTEMI INFORMATIVI</t>
  </si>
  <si>
    <t>MOBILITA' URBANA</t>
  </si>
  <si>
    <t>TOTALE CONSUMI SPECIFICI</t>
  </si>
  <si>
    <t>ASS</t>
  </si>
  <si>
    <t xml:space="preserve">CONSUMI SPECIFICI: SERIE STORICA RICLASSIFICATA (1998- 2006) </t>
  </si>
  <si>
    <t xml:space="preserve">RELAZIONI SINDACALI </t>
  </si>
  <si>
    <t>ORGANIZZAZIONE E SVILUPPO RISORSE UMANE</t>
  </si>
  <si>
    <t>EDILIZIA SCOLASTICA</t>
  </si>
  <si>
    <t>GABINETTO E STAFF DEL SINDACO</t>
  </si>
  <si>
    <t>DIRETTORE GENERALE</t>
  </si>
  <si>
    <t>DIREZIONE OPERATIVA</t>
  </si>
  <si>
    <t>SETTORI DI STAFF POLITICO-ISTITUZIONALE</t>
  </si>
  <si>
    <t>SETTORI DI STAFF</t>
  </si>
  <si>
    <t>AFFARI ISTITUZIONALI E DECENTRAMENTO</t>
  </si>
  <si>
    <t>COORDINAMENTO AMMINISTRATIVO QUARTIERI</t>
  </si>
  <si>
    <t xml:space="preserve"> ACQUISTI BENI E SERVIZI</t>
  </si>
  <si>
    <t xml:space="preserve">FINANZA E RAGIONERIA </t>
  </si>
  <si>
    <t>SETTORI DI LINE</t>
  </si>
  <si>
    <t>COORDINAMENTO SOCIALE E SALUTE</t>
  </si>
  <si>
    <t>ISTRUZIONE E POLITICHE DELLE DIFFERENZE</t>
  </si>
  <si>
    <t>POLITICHE DELLE DIFFERENZE</t>
  </si>
  <si>
    <t xml:space="preserve">ATTIVITA' PRODUTTIVE E COMMERCIALI </t>
  </si>
  <si>
    <t>SPORT, GIOVANI E TURISMO</t>
  </si>
  <si>
    <t>TERRITORIO E URBANISTICA</t>
  </si>
  <si>
    <t>POLITICHE ABITATIVE</t>
  </si>
  <si>
    <t>NUOVE ISTITUZIONI MUSEALI</t>
  </si>
  <si>
    <t>SETTORI DI STAFF POLITICO ISTITUZIONALE</t>
  </si>
  <si>
    <t xml:space="preserve">SETTORI DI STAFF </t>
  </si>
  <si>
    <t>SETTORE AMMINISTRATIVO LAVORI E OPERE PUBBLICHE</t>
  </si>
  <si>
    <t>AFFARI ISTITUZIONALE E DECENTRAMENTO</t>
  </si>
  <si>
    <t>FINANZA E RAGIONERIA</t>
  </si>
  <si>
    <t>ATTIVITA' PRODUTTIVE E COMMERCIALI</t>
  </si>
  <si>
    <t>QUARTIERE SAN DONATO</t>
  </si>
  <si>
    <t>QUARTIERE SANTO STEFANO</t>
  </si>
  <si>
    <t>QUARTIERE SAN VITALE</t>
  </si>
  <si>
    <t>TORNA ALLA PRIMA PAGINA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</si>
</sst>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  <numFmt numFmtId="182" formatCode="#,##0.0"/>
    <numFmt numFmtId="183" formatCode="#,##0_ ;\-#,##0\ 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14.25"/>
      <name val="Arial"/>
      <family val="0"/>
    </font>
    <font>
      <sz val="8.25"/>
      <name val="Arial"/>
      <family val="2"/>
    </font>
    <font>
      <b/>
      <sz val="14.5"/>
      <name val="Arial"/>
      <family val="0"/>
    </font>
    <font>
      <b/>
      <sz val="14.75"/>
      <name val="Arial"/>
      <family val="0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12" fillId="0" borderId="0" xfId="0" applyFont="1" applyAlignment="1">
      <alignment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5" xfId="18" applyFont="1" applyFill="1" applyBorder="1" applyAlignment="1">
      <alignment horizontal="right"/>
    </xf>
    <xf numFmtId="41" fontId="1" fillId="0" borderId="4" xfId="18" applyFont="1" applyFill="1" applyBorder="1" applyAlignment="1">
      <alignment horizontal="right"/>
    </xf>
    <xf numFmtId="41" fontId="1" fillId="0" borderId="4" xfId="18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41" fontId="1" fillId="0" borderId="5" xfId="18" applyFont="1" applyFill="1" applyBorder="1" applyAlignment="1">
      <alignment/>
    </xf>
    <xf numFmtId="41" fontId="1" fillId="0" borderId="4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5" xfId="18" applyFont="1" applyBorder="1" applyAlignment="1">
      <alignment/>
    </xf>
    <xf numFmtId="0" fontId="0" fillId="3" borderId="0" xfId="0" applyFill="1" applyAlignment="1">
      <alignment/>
    </xf>
    <xf numFmtId="0" fontId="9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41" fontId="9" fillId="0" borderId="7" xfId="18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8" fillId="0" borderId="0" xfId="18" applyFont="1" applyBorder="1" applyAlignment="1">
      <alignment horizontal="centerContinuous"/>
    </xf>
    <xf numFmtId="41" fontId="2" fillId="4" borderId="8" xfId="18" applyFont="1" applyFill="1" applyBorder="1" applyAlignment="1">
      <alignment horizontal="centerContinuous"/>
    </xf>
    <xf numFmtId="41" fontId="2" fillId="2" borderId="9" xfId="18" applyFont="1" applyFill="1" applyBorder="1" applyAlignment="1">
      <alignment/>
    </xf>
    <xf numFmtId="41" fontId="9" fillId="0" borderId="5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2" fillId="2" borderId="8" xfId="18" applyFont="1" applyFill="1" applyBorder="1" applyAlignment="1">
      <alignment/>
    </xf>
    <xf numFmtId="41" fontId="2" fillId="2" borderId="5" xfId="18" applyFont="1" applyFill="1" applyBorder="1" applyAlignment="1">
      <alignment/>
    </xf>
    <xf numFmtId="41" fontId="1" fillId="0" borderId="5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1" fillId="0" borderId="7" xfId="18" applyFont="1" applyFill="1" applyBorder="1" applyAlignment="1">
      <alignment horizontal="right"/>
    </xf>
    <xf numFmtId="41" fontId="2" fillId="0" borderId="5" xfId="18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5" xfId="18" applyFont="1" applyBorder="1" applyAlignment="1">
      <alignment/>
    </xf>
    <xf numFmtId="41" fontId="3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1" fillId="0" borderId="6" xfId="18" applyFont="1" applyBorder="1" applyAlignment="1">
      <alignment/>
    </xf>
    <xf numFmtId="41" fontId="2" fillId="2" borderId="10" xfId="18" applyFont="1" applyFill="1" applyBorder="1" applyAlignment="1">
      <alignment/>
    </xf>
    <xf numFmtId="41" fontId="2" fillId="2" borderId="8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0" xfId="18" applyFont="1" applyFill="1" applyAlignment="1">
      <alignment/>
    </xf>
    <xf numFmtId="41" fontId="12" fillId="0" borderId="0" xfId="18" applyFont="1" applyFill="1" applyAlignment="1">
      <alignment/>
    </xf>
    <xf numFmtId="41" fontId="14" fillId="0" borderId="0" xfId="18" applyFont="1" applyFill="1" applyBorder="1" applyAlignment="1">
      <alignment horizontal="left"/>
    </xf>
    <xf numFmtId="41" fontId="13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1" fillId="4" borderId="3" xfId="18" applyFont="1" applyFill="1" applyBorder="1" applyAlignment="1">
      <alignment horizontal="centerContinuous"/>
    </xf>
    <xf numFmtId="41" fontId="11" fillId="4" borderId="6" xfId="18" applyFont="1" applyFill="1" applyBorder="1" applyAlignment="1">
      <alignment horizontal="centerContinuous"/>
    </xf>
    <xf numFmtId="41" fontId="9" fillId="0" borderId="5" xfId="18" applyFont="1" applyFill="1" applyBorder="1" applyAlignment="1">
      <alignment horizontal="right"/>
    </xf>
    <xf numFmtId="41" fontId="9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" fillId="0" borderId="6" xfId="18" applyFont="1" applyBorder="1" applyAlignment="1">
      <alignment horizontal="right"/>
    </xf>
    <xf numFmtId="41" fontId="2" fillId="2" borderId="10" xfId="18" applyFont="1" applyFill="1" applyBorder="1" applyAlignment="1">
      <alignment/>
    </xf>
    <xf numFmtId="41" fontId="9" fillId="0" borderId="4" xfId="18" applyFont="1" applyFill="1" applyBorder="1" applyAlignment="1">
      <alignment/>
    </xf>
    <xf numFmtId="41" fontId="9" fillId="0" borderId="5" xfId="18" applyFont="1" applyBorder="1" applyAlignment="1">
      <alignment/>
    </xf>
    <xf numFmtId="41" fontId="1" fillId="0" borderId="6" xfId="18" applyFont="1" applyFill="1" applyBorder="1" applyAlignment="1">
      <alignment horizontal="right"/>
    </xf>
    <xf numFmtId="41" fontId="1" fillId="0" borderId="0" xfId="18" applyFont="1" applyFill="1" applyBorder="1" applyAlignment="1">
      <alignment/>
    </xf>
    <xf numFmtId="41" fontId="1" fillId="0" borderId="0" xfId="18" applyFont="1" applyFill="1" applyBorder="1" applyAlignment="1">
      <alignment horizontal="right"/>
    </xf>
    <xf numFmtId="41" fontId="2" fillId="0" borderId="0" xfId="18" applyFont="1" applyFill="1" applyAlignment="1">
      <alignment/>
    </xf>
    <xf numFmtId="41" fontId="9" fillId="0" borderId="7" xfId="18" applyFont="1" applyFill="1" applyBorder="1" applyAlignment="1">
      <alignment horizontal="right"/>
    </xf>
    <xf numFmtId="41" fontId="9" fillId="0" borderId="6" xfId="18" applyFont="1" applyFill="1" applyBorder="1" applyAlignment="1">
      <alignment horizontal="right"/>
    </xf>
    <xf numFmtId="41" fontId="9" fillId="0" borderId="7" xfId="18" applyFont="1" applyBorder="1" applyAlignment="1">
      <alignment/>
    </xf>
    <xf numFmtId="41" fontId="10" fillId="0" borderId="0" xfId="18" applyFont="1" applyFill="1" applyAlignment="1">
      <alignment/>
    </xf>
    <xf numFmtId="41" fontId="0" fillId="3" borderId="0" xfId="18" applyFill="1" applyAlignment="1">
      <alignment/>
    </xf>
    <xf numFmtId="41" fontId="2" fillId="0" borderId="4" xfId="18" applyFont="1" applyFill="1" applyBorder="1" applyAlignment="1">
      <alignment/>
    </xf>
    <xf numFmtId="41" fontId="2" fillId="0" borderId="0" xfId="18" applyFont="1" applyFill="1" applyBorder="1" applyAlignment="1">
      <alignment/>
    </xf>
    <xf numFmtId="41" fontId="1" fillId="0" borderId="0" xfId="18" applyFont="1" applyBorder="1" applyAlignment="1">
      <alignment horizontal="right"/>
    </xf>
    <xf numFmtId="41" fontId="9" fillId="0" borderId="0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41" fontId="1" fillId="0" borderId="0" xfId="18" applyFont="1" applyFill="1" applyBorder="1" applyAlignment="1">
      <alignment/>
    </xf>
    <xf numFmtId="41" fontId="1" fillId="0" borderId="5" xfId="18" applyFont="1" applyBorder="1" applyAlignment="1">
      <alignment horizontal="left"/>
    </xf>
    <xf numFmtId="41" fontId="1" fillId="0" borderId="4" xfId="18" applyFont="1" applyBorder="1" applyAlignment="1">
      <alignment/>
    </xf>
    <xf numFmtId="0" fontId="11" fillId="4" borderId="11" xfId="18" applyNumberFormat="1" applyFont="1" applyFill="1" applyBorder="1" applyAlignment="1">
      <alignment horizontal="centerContinuous"/>
    </xf>
    <xf numFmtId="0" fontId="11" fillId="4" borderId="12" xfId="18" applyNumberFormat="1" applyFont="1" applyFill="1" applyBorder="1" applyAlignment="1">
      <alignment horizontal="centerContinuous"/>
    </xf>
    <xf numFmtId="0" fontId="2" fillId="4" borderId="12" xfId="18" applyNumberFormat="1" applyFont="1" applyFill="1" applyBorder="1" applyAlignment="1">
      <alignment horizontal="centerContinuous"/>
    </xf>
    <xf numFmtId="0" fontId="15" fillId="0" borderId="1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6" fillId="2" borderId="11" xfId="15" applyFill="1" applyBorder="1" applyAlignment="1">
      <alignment/>
    </xf>
    <xf numFmtId="0" fontId="16" fillId="2" borderId="13" xfId="15" applyFill="1" applyBorder="1" applyAlignment="1">
      <alignment/>
    </xf>
    <xf numFmtId="0" fontId="16" fillId="2" borderId="1" xfId="15" applyFill="1" applyBorder="1" applyAlignment="1">
      <alignment/>
    </xf>
    <xf numFmtId="0" fontId="16" fillId="2" borderId="0" xfId="15" applyFill="1" applyBorder="1" applyAlignment="1">
      <alignment/>
    </xf>
    <xf numFmtId="0" fontId="16" fillId="3" borderId="13" xfId="15" applyFill="1" applyBorder="1" applyAlignment="1">
      <alignment/>
    </xf>
    <xf numFmtId="0" fontId="16" fillId="0" borderId="14" xfId="15" applyBorder="1" applyAlignment="1">
      <alignment/>
    </xf>
    <xf numFmtId="0" fontId="16" fillId="0" borderId="15" xfId="15" applyBorder="1" applyAlignment="1">
      <alignment/>
    </xf>
    <xf numFmtId="0" fontId="16" fillId="0" borderId="10" xfId="15" applyBorder="1" applyAlignment="1">
      <alignment/>
    </xf>
    <xf numFmtId="0" fontId="16" fillId="2" borderId="11" xfId="15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41" fontId="5" fillId="0" borderId="0" xfId="18" applyFont="1" applyFill="1" applyAlignment="1">
      <alignment/>
    </xf>
    <xf numFmtId="41" fontId="11" fillId="4" borderId="3" xfId="18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1" xfId="0" applyFont="1" applyFill="1" applyBorder="1" applyAlignment="1">
      <alignment/>
    </xf>
    <xf numFmtId="41" fontId="18" fillId="0" borderId="5" xfId="18" applyFont="1" applyBorder="1" applyAlignment="1">
      <alignment/>
    </xf>
    <xf numFmtId="41" fontId="18" fillId="0" borderId="0" xfId="18" applyFont="1" applyFill="1" applyAlignment="1">
      <alignment/>
    </xf>
    <xf numFmtId="0" fontId="18" fillId="0" borderId="0" xfId="0" applyFont="1" applyBorder="1" applyAlignment="1">
      <alignment/>
    </xf>
    <xf numFmtId="41" fontId="18" fillId="0" borderId="4" xfId="18" applyFont="1" applyBorder="1" applyAlignment="1">
      <alignment/>
    </xf>
    <xf numFmtId="0" fontId="16" fillId="0" borderId="1" xfId="15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41" fontId="20" fillId="0" borderId="5" xfId="18" applyFont="1" applyBorder="1" applyAlignment="1">
      <alignment/>
    </xf>
    <xf numFmtId="41" fontId="20" fillId="0" borderId="4" xfId="18" applyFont="1" applyBorder="1" applyAlignment="1">
      <alignment/>
    </xf>
    <xf numFmtId="0" fontId="19" fillId="0" borderId="3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Fill="1" applyBorder="1" applyAlignment="1">
      <alignment/>
    </xf>
    <xf numFmtId="41" fontId="20" fillId="0" borderId="7" xfId="18" applyFont="1" applyBorder="1" applyAlignment="1">
      <alignment/>
    </xf>
    <xf numFmtId="41" fontId="20" fillId="0" borderId="6" xfId="18" applyFont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0" fontId="11" fillId="4" borderId="9" xfId="18" applyNumberFormat="1" applyFont="1" applyFill="1" applyBorder="1" applyAlignment="1">
      <alignment horizontal="centerContinuous"/>
    </xf>
    <xf numFmtId="41" fontId="11" fillId="4" borderId="7" xfId="18" applyFont="1" applyFill="1" applyBorder="1" applyAlignment="1">
      <alignment horizontal="center"/>
    </xf>
    <xf numFmtId="178" fontId="0" fillId="0" borderId="0" xfId="18" applyNumberFormat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6" fillId="2" borderId="1" xfId="15" applyFont="1" applyFill="1" applyBorder="1" applyAlignment="1">
      <alignment/>
    </xf>
    <xf numFmtId="0" fontId="0" fillId="3" borderId="13" xfId="0" applyFill="1" applyBorder="1" applyAlignment="1">
      <alignment/>
    </xf>
    <xf numFmtId="41" fontId="5" fillId="3" borderId="9" xfId="18" applyFont="1" applyFill="1" applyBorder="1" applyAlignment="1">
      <alignment/>
    </xf>
    <xf numFmtId="0" fontId="16" fillId="3" borderId="11" xfId="15" applyFont="1" applyFill="1" applyBorder="1" applyAlignment="1">
      <alignment/>
    </xf>
    <xf numFmtId="41" fontId="2" fillId="2" borderId="7" xfId="18" applyFont="1" applyFill="1" applyBorder="1" applyAlignment="1">
      <alignment/>
    </xf>
    <xf numFmtId="41" fontId="2" fillId="2" borderId="7" xfId="18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6" fillId="2" borderId="14" xfId="15" applyFill="1" applyBorder="1" applyAlignment="1">
      <alignment/>
    </xf>
    <xf numFmtId="0" fontId="16" fillId="2" borderId="15" xfId="15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2" xfId="0" applyFill="1" applyBorder="1" applyAlignment="1">
      <alignment/>
    </xf>
    <xf numFmtId="41" fontId="1" fillId="0" borderId="7" xfId="18" applyFont="1" applyFill="1" applyBorder="1" applyAlignment="1">
      <alignment/>
    </xf>
    <xf numFmtId="0" fontId="16" fillId="3" borderId="11" xfId="15" applyFill="1" applyBorder="1" applyAlignment="1">
      <alignment/>
    </xf>
    <xf numFmtId="0" fontId="16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875"/>
          <c:w val="0.961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GEN'!$B$2:$J$2</c:f>
              <c:numCache/>
            </c:numRef>
          </c:cat>
          <c:val>
            <c:numRef>
              <c:f>'DIR GEN'!$B$3:$J$3</c:f>
              <c:numCache/>
            </c:numRef>
          </c:val>
        </c:ser>
        <c:ser>
          <c:idx val="0"/>
          <c:order val="1"/>
          <c:tx>
            <c:strRef>
              <c:f>'DIR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GEN'!$B$2:$J$2</c:f>
              <c:numCache/>
            </c:numRef>
          </c:cat>
          <c:val>
            <c:numRef>
              <c:f>'DIR GEN'!$B$4:$J$4</c:f>
              <c:numCache/>
            </c:numRef>
          </c:val>
        </c:ser>
        <c:overlap val="100"/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0"/>
        <c:lblOffset val="100"/>
        <c:noMultiLvlLbl val="0"/>
      </c:catAx>
      <c:valAx>
        <c:axId val="2140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54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'Partecipazione soc'!$A$6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soc'!$B$2:$J$2</c:f>
              <c:numCache/>
            </c:numRef>
          </c:cat>
          <c:val>
            <c:numRef>
              <c:f>'Partecipazione soc'!$B$6:$J$6</c:f>
              <c:numCache/>
            </c:numRef>
          </c:val>
          <c:smooth val="0"/>
        </c:ser>
        <c:ser>
          <c:idx val="1"/>
          <c:order val="1"/>
          <c:tx>
            <c:strRef>
              <c:f>'Partecipazione soc'!$A$7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'Partecipazione soc'!$B$2:$J$2</c:f>
              <c:numCache/>
            </c:numRef>
          </c:cat>
          <c:val>
            <c:numRef>
              <c:f>'Partecipazione soc'!$B$7:$J$7</c:f>
              <c:numCache/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At val="30"/>
        <c:auto val="1"/>
        <c:lblOffset val="100"/>
        <c:noMultiLvlLbl val="0"/>
      </c:catAx>
      <c:valAx>
        <c:axId val="39190414"/>
        <c:scaling>
          <c:orientation val="minMax"/>
          <c:max val="17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Generale'!$B$2:$J$2</c:f>
              <c:numCache/>
            </c:numRef>
          </c:cat>
          <c:val>
            <c:numRef>
              <c:f>'Segreteria Generale'!$B$3:$J$3</c:f>
              <c:numCache/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Generale'!$B$2:$J$2</c:f>
              <c:numCache/>
            </c:numRef>
          </c:cat>
          <c:val>
            <c:numRef>
              <c:f>'Segreteria Generale'!$B$4:$J$4</c:f>
              <c:numCache/>
            </c:numRef>
          </c:val>
        </c:ser>
        <c:overlap val="10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0"/>
        <c:lblOffset val="100"/>
        <c:noMultiLvlLbl val="0"/>
      </c:catAx>
      <c:valAx>
        <c:axId val="20306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staff'!$A$3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staff'!$B$2:$J$2</c:f>
              <c:numCache/>
            </c:numRef>
          </c:cat>
          <c:val>
            <c:numRef>
              <c:f>'Settori di staff'!$B$3:$J$3</c:f>
              <c:numCache/>
            </c:numRef>
          </c:val>
        </c:ser>
        <c:ser>
          <c:idx val="0"/>
          <c:order val="1"/>
          <c:tx>
            <c:strRef>
              <c:f>'Settori di staff'!$A$4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staff'!$B$2:$J$2</c:f>
              <c:numCache/>
            </c:numRef>
          </c:cat>
          <c:val>
            <c:numRef>
              <c:f>'Settori di staff'!$B$4:$J$4</c:f>
              <c:numCache/>
            </c:numRef>
          </c:val>
        </c:ser>
        <c:overlap val="10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At val="0"/>
        <c:auto val="0"/>
        <c:lblOffset val="100"/>
        <c:noMultiLvlLbl val="0"/>
      </c:catAx>
      <c:valAx>
        <c:axId val="34249090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  <c:majorUnit val="3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staff'!$A$6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staff'!$B$2:$J$2</c:f>
              <c:numCache/>
            </c:numRef>
          </c:cat>
          <c:val>
            <c:numRef>
              <c:f>'Settori di staff'!$B$6:$J$6</c:f>
              <c:numCache/>
            </c:numRef>
          </c:val>
          <c:smooth val="0"/>
        </c:ser>
        <c:ser>
          <c:idx val="1"/>
          <c:order val="1"/>
          <c:tx>
            <c:strRef>
              <c:f>'Settori di staff'!$A$7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staff'!$B$2:$J$2</c:f>
              <c:numCache/>
            </c:numRef>
          </c:cat>
          <c:val>
            <c:numRef>
              <c:f>'Settori di staff'!$B$7:$J$7</c:f>
              <c:numCache/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At val="60"/>
        <c:auto val="1"/>
        <c:lblOffset val="100"/>
        <c:noMultiLvlLbl val="0"/>
      </c:catAx>
      <c:valAx>
        <c:axId val="22712876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SETTORE AMMINISTRATIVO LAVORI E OPERE PUBBLICHE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325"/>
          <c:w val="0.96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'Amministrativo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'!$B$2:$J$2</c:f>
              <c:numCache/>
            </c:numRef>
          </c:cat>
          <c:val>
            <c:numRef>
              <c:f>'Amministrativo '!$B$3:$J$3</c:f>
              <c:numCache/>
            </c:numRef>
          </c:val>
        </c:ser>
        <c:ser>
          <c:idx val="0"/>
          <c:order val="1"/>
          <c:tx>
            <c:strRef>
              <c:f>'Amministrativo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'Amministrativo '!$B$2:$J$2</c:f>
              <c:numCache/>
            </c:numRef>
          </c:cat>
          <c:val>
            <c:numRef>
              <c:f>'Amministrativo '!$B$4:$J$4</c:f>
              <c:numCache/>
            </c:numRef>
          </c:val>
        </c:ser>
        <c:overlap val="100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0"/>
        <c:lblOffset val="100"/>
        <c:noMultiLvlLbl val="0"/>
      </c:catAx>
      <c:valAx>
        <c:axId val="278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Legale!$A$3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Legale!$B$2:$J$2</c:f>
              <c:numCache/>
            </c:numRef>
          </c:cat>
          <c:val>
            <c:numRef>
              <c:f>Legale!$B$3:$J$3</c:f>
              <c:numCache/>
            </c:numRef>
          </c:val>
        </c:ser>
        <c:ser>
          <c:idx val="0"/>
          <c:order val="1"/>
          <c:tx>
            <c:strRef>
              <c:f>Legale!$A$4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Legale!$B$2:$J$2</c:f>
              <c:numCache/>
            </c:numRef>
          </c:cat>
          <c:val>
            <c:numRef>
              <c:f>Legale!$B$4:$J$4</c:f>
              <c:numCache/>
            </c:numRef>
          </c:val>
        </c:ser>
        <c:overlap val="100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0"/>
        <c:lblOffset val="100"/>
        <c:noMultiLvlLbl val="0"/>
      </c:catAx>
      <c:valAx>
        <c:axId val="37502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Legale!$A$6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Legale!$B$2:$J$2</c:f>
              <c:numCache/>
            </c:numRef>
          </c:cat>
          <c:val>
            <c:numRef>
              <c:f>Legale!$B$6:$J$6</c:f>
              <c:numCache/>
            </c:numRef>
          </c:val>
          <c:smooth val="0"/>
        </c:ser>
        <c:ser>
          <c:idx val="1"/>
          <c:order val="1"/>
          <c:tx>
            <c:strRef>
              <c:f>Legale!$A$7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Legale!$B$2:$J$2</c:f>
              <c:numCache/>
            </c:numRef>
          </c:cat>
          <c:val>
            <c:numRef>
              <c:f>Legale!$B$7:$J$7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At val="70"/>
        <c:auto val="1"/>
        <c:lblOffset val="100"/>
        <c:noMultiLvlLbl val="0"/>
      </c:catAx>
      <c:valAx>
        <c:axId val="17777386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ISTITUZIONALE E DECENTRAMENTO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375"/>
          <c:w val="0.9622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ist'!$B$2:$J$2</c:f>
              <c:numCache/>
            </c:numRef>
          </c:cat>
          <c:val>
            <c:numRef>
              <c:f>'Affari ist'!$B$3:$J$3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ist'!$B$2:$J$2</c:f>
              <c:numCache/>
            </c:numRef>
          </c:cat>
          <c:val>
            <c:numRef>
              <c:f>'Affari ist'!$B$4:$J$4</c:f>
              <c:numCache/>
            </c:numRef>
          </c:val>
        </c:ser>
        <c:overlap val="100"/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0"/>
        <c:lblOffset val="100"/>
        <c:noMultiLvlLbl val="0"/>
      </c:catAx>
      <c:valAx>
        <c:axId val="3068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45"/>
          <c:w val="0.9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ist'!$B$2:$J$2</c:f>
              <c:numCache/>
            </c:numRef>
          </c:cat>
          <c:val>
            <c:numRef>
              <c:f>'Affari ist'!$B$6:$J$6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ist'!$B$2:$J$2</c:f>
              <c:numCache/>
            </c:numRef>
          </c:cat>
          <c:val>
            <c:numRef>
              <c:f>'Affari ist'!$B$7:$J$7</c:f>
              <c:numCache/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At val="0"/>
        <c:auto val="1"/>
        <c:lblOffset val="100"/>
        <c:noMultiLvlLbl val="0"/>
      </c:catAx>
      <c:valAx>
        <c:axId val="222473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 BENI E SERVIZI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Acquisti!$A$3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Acquisti!$B$2:$J$2</c:f>
              <c:numCache/>
            </c:numRef>
          </c:cat>
          <c:val>
            <c:numRef>
              <c:f>Acquisti!$B$3:$J$3</c:f>
              <c:numCache/>
            </c:numRef>
          </c:val>
        </c:ser>
        <c:ser>
          <c:idx val="0"/>
          <c:order val="1"/>
          <c:tx>
            <c:strRef>
              <c:f>Acquisti!$A$4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Acquisti!$B$2:$J$2</c:f>
              <c:numCache/>
            </c:numRef>
          </c:cat>
          <c:val>
            <c:numRef>
              <c:f>Acquisti!$B$4:$J$4</c:f>
              <c:numCache/>
            </c:numRef>
          </c:val>
        </c:ser>
        <c:overlap val="100"/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0"/>
        <c:lblOffset val="100"/>
        <c:noMultiLvlLbl val="0"/>
      </c:catAx>
      <c:valAx>
        <c:axId val="4598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775"/>
          <c:w val="0.9537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'DIR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GEN'!$B$2:$J$2</c:f>
              <c:numCache/>
            </c:numRef>
          </c:cat>
          <c:val>
            <c:numRef>
              <c:f>'DIR GEN'!$B$6:$J$6</c:f>
              <c:numCache/>
            </c:numRef>
          </c:val>
          <c:smooth val="0"/>
        </c:ser>
        <c:ser>
          <c:idx val="1"/>
          <c:order val="1"/>
          <c:tx>
            <c:strRef>
              <c:f>'DIR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GEN'!$B$2:$J$2</c:f>
              <c:numCache/>
            </c:numRef>
          </c:cat>
          <c:val>
            <c:numRef>
              <c:f>'DIR GEN'!$B$7:$J$7</c:f>
              <c:numCache/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At val="100"/>
        <c:auto val="1"/>
        <c:lblOffset val="100"/>
        <c:noMultiLvlLbl val="0"/>
      </c:catAx>
      <c:valAx>
        <c:axId val="56480958"/>
        <c:scaling>
          <c:orientation val="minMax"/>
          <c:max val="4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Acquisti!$A$6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Acquisti!$B$2:$J$2</c:f>
              <c:numCache/>
            </c:numRef>
          </c:cat>
          <c:val>
            <c:numRef>
              <c:f>Acquisti!$B$6:$J$6</c:f>
              <c:numCache/>
            </c:numRef>
          </c:val>
          <c:smooth val="0"/>
        </c:ser>
        <c:ser>
          <c:idx val="1"/>
          <c:order val="1"/>
          <c:tx>
            <c:strRef>
              <c:f>Acquisti!$A$7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Acquisti!$B$2:$J$2</c:f>
              <c:numCache/>
            </c:numRef>
          </c:cat>
          <c:val>
            <c:numRef>
              <c:f>Acquisti!$B$7:$J$7</c:f>
              <c:numCache/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At val="0"/>
        <c:auto val="1"/>
        <c:lblOffset val="100"/>
        <c:noMultiLvlLbl val="0"/>
      </c:catAx>
      <c:valAx>
        <c:axId val="33857106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ED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'!$B$2:$J$2</c:f>
              <c:numCache/>
            </c:numRef>
          </c:cat>
          <c:val>
            <c:numRef>
              <c:f>'Personale '!$B$3:$J$3</c:f>
              <c:numCache/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'!$B$2:$J$2</c:f>
              <c:numCache/>
            </c:numRef>
          </c:cat>
          <c:val>
            <c:numRef>
              <c:f>'Personale '!$B$4:$J$4</c:f>
              <c:numCache/>
            </c:numRef>
          </c:val>
        </c:ser>
        <c:overlap val="100"/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auto val="0"/>
        <c:lblOffset val="100"/>
        <c:noMultiLvlLbl val="0"/>
      </c:catAx>
      <c:val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'!$B$2:$J$2</c:f>
              <c:numCache/>
            </c:numRef>
          </c:cat>
          <c:val>
            <c:numRef>
              <c:f>'Personale '!$B$6:$J$6</c:f>
              <c:numCache/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'!$B$2:$J$2</c:f>
              <c:numCache/>
            </c:numRef>
          </c:cat>
          <c:val>
            <c:numRef>
              <c:f>'Personale '!$B$7:$J$7</c:f>
              <c:numCache/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At val="30"/>
        <c:auto val="1"/>
        <c:lblOffset val="100"/>
        <c:noMultiLvlLbl val="0"/>
      </c:catAx>
      <c:valAx>
        <c:axId val="6133446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25"/>
          <c:w val="0.96325"/>
          <c:h val="0.6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'P&amp;C'!$A$3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'P&amp;C'!$B$2:$J$2</c:f>
              <c:numCache/>
            </c:numRef>
          </c:cat>
          <c:val>
            <c:numRef>
              <c:f>'P&amp;C'!$B$3:$J$3</c:f>
              <c:numCache/>
            </c:numRef>
          </c:val>
        </c:ser>
        <c:ser>
          <c:idx val="0"/>
          <c:order val="1"/>
          <c:tx>
            <c:strRef>
              <c:f>'P&amp;C'!$A$4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'P&amp;C'!$B$2:$J$2</c:f>
              <c:numCache/>
            </c:numRef>
          </c:cat>
          <c:val>
            <c:numRef>
              <c:f>'P&amp;C'!$B$4:$J$4</c:f>
              <c:numCache/>
            </c:numRef>
          </c:val>
        </c:ser>
        <c:overlap val="100"/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0"/>
        <c:lblOffset val="100"/>
        <c:noMultiLvlLbl val="0"/>
      </c:catAx>
      <c:valAx>
        <c:axId val="27047088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'P&amp;C'!$A$6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'P&amp;C'!$B$2:$J$2</c:f>
              <c:numCache/>
            </c:numRef>
          </c:cat>
          <c:val>
            <c:numRef>
              <c:f>'P&amp;C'!$B$6:$J$6</c:f>
              <c:numCache/>
            </c:numRef>
          </c:val>
          <c:smooth val="0"/>
        </c:ser>
        <c:ser>
          <c:idx val="1"/>
          <c:order val="1"/>
          <c:tx>
            <c:strRef>
              <c:f>'P&amp;C'!$A$7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'P&amp;C'!$B$2:$J$2</c:f>
              <c:numCache/>
            </c:numRef>
          </c:cat>
          <c:val>
            <c:numRef>
              <c:f>'P&amp;C'!$B$7:$J$7</c:f>
              <c:numCache/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At val="40"/>
        <c:auto val="1"/>
        <c:lblOffset val="100"/>
        <c:noMultiLvlLbl val="0"/>
      </c:catAx>
      <c:valAx>
        <c:axId val="43330490"/>
        <c:scaling>
          <c:orientation val="minMax"/>
          <c:max val="15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info'!$B$2:$J$2</c:f>
              <c:numCache/>
            </c:numRef>
          </c:cat>
          <c:val>
            <c:numRef>
              <c:f>'Sistemi info'!$B$3:$J$3</c:f>
              <c:numCache/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info'!$B$2:$J$2</c:f>
              <c:numCache/>
            </c:numRef>
          </c:cat>
          <c:val>
            <c:numRef>
              <c:f>'Sistemi info'!$B$4:$J$4</c:f>
              <c:numCache/>
            </c:numRef>
          </c:val>
        </c:ser>
        <c:overlap val="100"/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auto val="0"/>
        <c:lblOffset val="100"/>
        <c:noMultiLvlLbl val="0"/>
      </c:catAx>
      <c:valAx>
        <c:axId val="20108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6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info'!$B$2:$J$2</c:f>
              <c:numCache/>
            </c:numRef>
          </c:cat>
          <c:val>
            <c:numRef>
              <c:f>'Sistemi info'!$B$6:$J$6</c:f>
              <c:numCache/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info'!$B$2:$J$2</c:f>
              <c:numCache/>
            </c:numRef>
          </c:cat>
          <c:val>
            <c:numRef>
              <c:f>'Sistemi info'!$B$7:$J$7</c:f>
              <c:numCache/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At val="70"/>
        <c:auto val="1"/>
        <c:lblOffset val="100"/>
        <c:noMultiLvlLbl val="0"/>
      </c:catAx>
      <c:valAx>
        <c:axId val="18197806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FINANZA E RAGIONERIA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Ragioneria!$A$3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Ragioneria!$B$2:$J$2</c:f>
              <c:numCache/>
            </c:numRef>
          </c:cat>
          <c:val>
            <c:numRef>
              <c:f>Ragioneria!$B$3:$J$3</c:f>
              <c:numCache/>
            </c:numRef>
          </c:val>
        </c:ser>
        <c:ser>
          <c:idx val="0"/>
          <c:order val="1"/>
          <c:tx>
            <c:strRef>
              <c:f>Ragioneria!$A$4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Ragioneria!$B$2:$J$2</c:f>
              <c:numCache/>
            </c:numRef>
          </c:cat>
          <c:val>
            <c:numRef>
              <c:f>Ragioneria!$B$4:$J$4</c:f>
              <c:numCache/>
            </c:numRef>
          </c:val>
        </c:ser>
        <c:overlap val="100"/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Ragioneria!$A$6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Ragioneria!$B$2:$J$2</c:f>
              <c:numCache/>
            </c:numRef>
          </c:cat>
          <c:val>
            <c:numRef>
              <c:f>Ragioneria!$B$6:$J$6</c:f>
              <c:numCache/>
            </c:numRef>
          </c:val>
          <c:smooth val="0"/>
        </c:ser>
        <c:ser>
          <c:idx val="1"/>
          <c:order val="1"/>
          <c:tx>
            <c:strRef>
              <c:f>Ragioneria!$A$7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Ragioneria!$B$2:$J$2</c:f>
              <c:numCache/>
            </c:numRef>
          </c:cat>
          <c:val>
            <c:numRef>
              <c:f>Ragioneria!$B$7:$J$7</c:f>
              <c:numCache/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36930"/>
        <c:crossesAt val="100"/>
        <c:auto val="1"/>
        <c:lblOffset val="100"/>
        <c:noMultiLvlLbl val="0"/>
      </c:catAx>
      <c:valAx>
        <c:axId val="9136930"/>
        <c:scaling>
          <c:orientation val="minMax"/>
          <c:max val="2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AMMINISTRATIVO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Quartieri'!$B$2:$J$2</c:f>
              <c:numCache/>
            </c:numRef>
          </c:cat>
          <c:val>
            <c:numRef>
              <c:f>'Coord Quartieri'!$B$3:$J$3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Quartieri'!$B$2:$J$2</c:f>
              <c:numCache/>
            </c:numRef>
          </c:cat>
          <c:val>
            <c:numRef>
              <c:f>'Coord Quartieri'!$B$4:$J$4</c:f>
              <c:numCache/>
            </c:numRef>
          </c:val>
        </c:ser>
        <c:overlap val="100"/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auto val="0"/>
        <c:lblOffset val="100"/>
        <c:noMultiLvlLbl val="0"/>
      </c:catAx>
      <c:valAx>
        <c:axId val="1893836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crossAx val="15123507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POLITICO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isti'!$B$2:$J$2</c:f>
              <c:numCache/>
            </c:numRef>
          </c:cat>
          <c:val>
            <c:numRef>
              <c:f>'Staff politico isti'!$B$3:$J$3</c:f>
              <c:numCache/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isti'!$B$2:$J$2</c:f>
              <c:numCache/>
            </c:numRef>
          </c:cat>
          <c:val>
            <c:numRef>
              <c:f>'Staff politico isti'!$B$4:$J$4</c:f>
              <c:numCache/>
            </c:numRef>
          </c:val>
        </c:ser>
        <c:overlap val="100"/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0"/>
        <c:lblOffset val="100"/>
        <c:noMultiLvlLbl val="0"/>
      </c:catAx>
      <c:valAx>
        <c:axId val="11554856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  <c:maj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Quartieri'!$B$2:$J$2</c:f>
              <c:numCache/>
            </c:numRef>
          </c:cat>
          <c:val>
            <c:numRef>
              <c:f>'Coord Quartieri'!$B$6:$J$6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Quartieri'!$B$2:$J$2</c:f>
              <c:numCache/>
            </c:numRef>
          </c:cat>
          <c:val>
            <c:numRef>
              <c:f>'Coord Quartieri'!$B$7:$J$7</c:f>
              <c:numCache/>
            </c:numRef>
          </c:val>
          <c:smooth val="0"/>
        </c:ser>
        <c:marker val="1"/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At val="100"/>
        <c:auto val="1"/>
        <c:lblOffset val="100"/>
        <c:noMultiLvlLbl val="0"/>
      </c:catAx>
      <c:valAx>
        <c:axId val="19182998"/>
        <c:scaling>
          <c:orientation val="minMax"/>
          <c:max val="4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  <c:majorUnit val="4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E RAPPORTI CON I CITTADINI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'!$B$2:$J$2</c:f>
              <c:numCache/>
            </c:numRef>
          </c:cat>
          <c:val>
            <c:numRef>
              <c:f>'Comunicazione '!$B$3:$J$3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'!$B$2:$J$2</c:f>
              <c:numCache/>
            </c:numRef>
          </c:cat>
          <c:val>
            <c:numRef>
              <c:f>'Comunicazione '!$B$4:$J$4</c:f>
              <c:numCache/>
            </c:numRef>
          </c:val>
        </c:ser>
        <c:overlap val="100"/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0"/>
        <c:lblOffset val="100"/>
        <c:noMultiLvlLbl val="0"/>
      </c:catAx>
      <c:val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292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'!$B$2:$J$2</c:f>
              <c:numCache/>
            </c:numRef>
          </c:cat>
          <c:val>
            <c:numRef>
              <c:f>'Comunicazione '!$B$6:$J$6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'!$B$2:$J$2</c:f>
              <c:numCache/>
            </c:numRef>
          </c:cat>
          <c:val>
            <c:numRef>
              <c:f>'Comunicazione '!$B$7:$J$7</c:f>
              <c:numCache/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At val="30"/>
        <c:auto val="1"/>
        <c:lblOffset val="100"/>
        <c:noMultiLvlLbl val="0"/>
      </c:catAx>
      <c:valAx>
        <c:axId val="30530698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'Settori di line'!$A$3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line'!$B$2:$J$2</c:f>
              <c:numCache/>
            </c:numRef>
          </c:cat>
          <c:val>
            <c:numRef>
              <c:f>'Settori di line'!$B$3:$J$3</c:f>
              <c:numCache/>
            </c:numRef>
          </c:val>
        </c:ser>
        <c:ser>
          <c:idx val="0"/>
          <c:order val="1"/>
          <c:tx>
            <c:strRef>
              <c:f>'Settori di line'!$A$4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'Settori di line'!$B$2:$J$2</c:f>
              <c:numCache/>
            </c:numRef>
          </c:cat>
          <c:val>
            <c:numRef>
              <c:f>'Settori di line'!$B$4:$J$4</c:f>
              <c:numCache/>
            </c:numRef>
          </c:val>
        </c:ser>
        <c:overlap val="100"/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At val="0"/>
        <c:auto val="0"/>
        <c:lblOffset val="100"/>
        <c:noMultiLvlLbl val="0"/>
      </c:catAx>
      <c:valAx>
        <c:axId val="57067444"/>
        <c:scaling>
          <c:orientation val="minMax"/>
          <c:max val="1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40827"/>
        <c:crossesAt val="1"/>
        <c:crossBetween val="between"/>
        <c:dispUnits/>
        <c:majorUnit val="2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6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'Settori di line'!$A$6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line'!$B$2:$J$2</c:f>
              <c:numCache/>
            </c:numRef>
          </c:cat>
          <c:val>
            <c:numRef>
              <c:f>'Settori di line'!$B$6:$J$6</c:f>
              <c:numCache/>
            </c:numRef>
          </c:val>
          <c:smooth val="0"/>
        </c:ser>
        <c:ser>
          <c:idx val="1"/>
          <c:order val="1"/>
          <c:tx>
            <c:strRef>
              <c:f>'Settori di line'!$A$7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'Settori di line'!$B$2:$J$2</c:f>
              <c:numCache/>
            </c:numRef>
          </c:cat>
          <c:val>
            <c:numRef>
              <c:f>'Settori di line'!$B$7:$J$7</c:f>
              <c:numCache/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At val="80"/>
        <c:auto val="1"/>
        <c:lblOffset val="100"/>
        <c:noMultiLvlLbl val="0"/>
      </c:catAx>
      <c:valAx>
        <c:axId val="5906022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LLPP!$B$2:$J$2</c:f>
              <c:numCache/>
            </c:numRef>
          </c:cat>
          <c:val>
            <c:numRef>
              <c:f>LLPP!$B$3:$J$3</c:f>
              <c:numCache/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LLPP!$B$2:$J$2</c:f>
              <c:numCache/>
            </c:numRef>
          </c:cat>
          <c:val>
            <c:numRef>
              <c:f>LLPP!$B$4:$J$4</c:f>
              <c:numCache/>
            </c:numRef>
          </c:val>
        </c:ser>
        <c:overlap val="100"/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auto val="0"/>
        <c:lblOffset val="100"/>
        <c:noMultiLvlLbl val="0"/>
      </c:catAx>
      <c:val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99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LLPP!$B$2:$J$2</c:f>
              <c:numCache/>
            </c:numRef>
          </c:cat>
          <c:val>
            <c:numRef>
              <c:f>LLPP!$B$6:$J$6</c:f>
              <c:numCache/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LLPP!$B$2:$J$2</c:f>
              <c:numCache/>
            </c:numRef>
          </c:cat>
          <c:val>
            <c:numRef>
              <c:f>LLPP!$B$7:$J$7</c:f>
              <c:numCache/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60"/>
        <c:auto val="1"/>
        <c:lblOffset val="100"/>
        <c:noMultiLvlLbl val="0"/>
      </c:catAx>
      <c:valAx>
        <c:axId val="7536626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E PROTEZIONE CIVILE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95"/>
          <c:w val="0.965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PM!$B$2:$J$2</c:f>
              <c:numCache/>
            </c:numRef>
          </c:cat>
          <c:val>
            <c:numRef>
              <c:f>PM!$B$3:$J$3</c:f>
              <c:numCache/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PM!$B$2:$J$2</c:f>
              <c:numCache/>
            </c:numRef>
          </c:cat>
          <c:val>
            <c:numRef>
              <c:f>PM!$B$4:$J$4</c:f>
              <c:numCache/>
            </c:numRef>
          </c:val>
        </c:ser>
        <c:overlap val="100"/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0"/>
        <c:lblOffset val="100"/>
        <c:noMultiLvlLbl val="0"/>
      </c:catAx>
      <c:valAx>
        <c:axId val="6486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PM!$B$2:$J$2</c:f>
              <c:numCache/>
            </c:numRef>
          </c:cat>
          <c:val>
            <c:numRef>
              <c:f>PM!$B$6:$J$6</c:f>
              <c:numCache/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PM!$B$2:$J$2</c:f>
              <c:numCache/>
            </c:numRef>
          </c:cat>
          <c:val>
            <c:numRef>
              <c:f>PM!$B$7:$J$7</c:f>
              <c:numCache/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100"/>
        <c:auto val="1"/>
        <c:lblOffset val="100"/>
        <c:noMultiLvlLbl val="0"/>
      </c:catAx>
      <c:valAx>
        <c:axId val="55680102"/>
        <c:scaling>
          <c:orientation val="minMax"/>
          <c:max val="4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Entrate!$B$2:$J$2</c:f>
              <c:numCache/>
            </c:numRef>
          </c:cat>
          <c:val>
            <c:numRef>
              <c:f>Entrate!$B$3:$J$3</c:f>
              <c:numCache/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Entrate!$B$2:$J$2</c:f>
              <c:numCache/>
            </c:numRef>
          </c:cat>
          <c:val>
            <c:numRef>
              <c:f>Entrate!$B$4:$J$4</c:f>
              <c:numCache/>
            </c:numRef>
          </c:val>
        </c:ser>
        <c:overlap val="100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0"/>
        <c:lblOffset val="100"/>
        <c:noMultiLvlLbl val="0"/>
      </c:catAx>
      <c:valAx>
        <c:axId val="13794384"/>
        <c:scaling>
          <c:orientation val="minMax"/>
          <c:max val="5000"/>
        </c:scaling>
        <c:axPos val="l"/>
        <c:delete val="0"/>
        <c:numFmt formatCode="General" sourceLinked="1"/>
        <c:majorTickMark val="out"/>
        <c:minorTickMark val="none"/>
        <c:tickLblPos val="nextTo"/>
        <c:crossAx val="313588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25"/>
          <c:w val="0.956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isti'!$B$2:$J$2</c:f>
              <c:numCache/>
            </c:numRef>
          </c:cat>
          <c:val>
            <c:numRef>
              <c:f>'Staff politico isti'!$B$6:$J$6</c:f>
              <c:numCache/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isti'!$B$2:$J$2</c:f>
              <c:numCache/>
            </c:numRef>
          </c:cat>
          <c:val>
            <c:numRef>
              <c:f>'Staff politico isti'!$B$7:$J$7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At val="90"/>
        <c:auto val="1"/>
        <c:lblOffset val="100"/>
        <c:noMultiLvlLbl val="0"/>
      </c:catAx>
      <c:valAx>
        <c:axId val="63528114"/>
        <c:scaling>
          <c:orientation val="minMax"/>
          <c:max val="20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crossBetween val="between"/>
        <c:dispUnits/>
        <c:majorUnit val="1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Entrate!$B$2:$J$2</c:f>
              <c:numCache/>
            </c:numRef>
          </c:cat>
          <c:val>
            <c:numRef>
              <c:f>Entrate!$B$6:$J$6</c:f>
              <c:numCache/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Entrate!$B$2:$J$2</c:f>
              <c:numCache/>
            </c:numRef>
          </c:cat>
          <c:val>
            <c:numRef>
              <c:f>Entrate!$B$7:$J$7</c:f>
              <c:numCache/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At val="100"/>
        <c:auto val="1"/>
        <c:lblOffset val="100"/>
        <c:noMultiLvlLbl val="0"/>
      </c:catAx>
      <c:valAx>
        <c:axId val="43603290"/>
        <c:scaling>
          <c:orientation val="minMax"/>
          <c:max val="7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Patrimonio!$B$2:$J$2</c:f>
              <c:numCache/>
            </c:numRef>
          </c:cat>
          <c:val>
            <c:numRef>
              <c:f>Patrimonio!$B$3:$J$3</c:f>
              <c:numCache/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Patrimonio!$B$2:$J$2</c:f>
              <c:numCache/>
            </c:numRef>
          </c:cat>
          <c:val>
            <c:numRef>
              <c:f>Patrimonio!$B$4:$J$4</c:f>
              <c:numCache/>
            </c:numRef>
          </c:val>
        </c:ser>
        <c:overlap val="100"/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0"/>
        <c:lblOffset val="100"/>
        <c:noMultiLvlLbl val="0"/>
      </c:catAx>
      <c:valAx>
        <c:axId val="4220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Patrimonio!$B$2:$J$2</c:f>
              <c:numCache/>
            </c:numRef>
          </c:cat>
          <c:val>
            <c:numRef>
              <c:f>Patrimonio!$B$6:$J$6</c:f>
              <c:numCache/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Patrimonio!$B$2:$J$2</c:f>
              <c:numCache/>
            </c:numRef>
          </c:cat>
          <c:val>
            <c:numRef>
              <c:f>Patrimonio!$B$7:$J$7</c:f>
              <c:numCache/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At val="70"/>
        <c:auto val="1"/>
        <c:lblOffset val="100"/>
        <c:noMultiLvlLbl val="0"/>
      </c:catAx>
      <c:valAx>
        <c:axId val="63208142"/>
        <c:scaling>
          <c:orientation val="minMax"/>
          <c:max val="16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salute'!$B$2:$J$2</c:f>
              <c:numCache/>
            </c:numRef>
          </c:cat>
          <c:val>
            <c:numRef>
              <c:f>'Sociale e salute'!$B$3:$J$3</c:f>
              <c:numCache/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salute'!$B$2:$J$2</c:f>
              <c:numCache/>
            </c:numRef>
          </c:cat>
          <c:val>
            <c:numRef>
              <c:f>'Sociale e salute'!$B$4:$J$4</c:f>
              <c:numCache/>
            </c:numRef>
          </c:val>
        </c:ser>
        <c:overlap val="100"/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0"/>
        <c:lblOffset val="100"/>
        <c:noMultiLvlLbl val="0"/>
      </c:catAx>
      <c:valAx>
        <c:axId val="1958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salute'!$B$2:$J$2</c:f>
              <c:numCache/>
            </c:numRef>
          </c:cat>
          <c:val>
            <c:numRef>
              <c:f>'Sociale e salute'!$B$6:$J$6</c:f>
              <c:numCache/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salute'!$B$2:$J$2</c:f>
              <c:numCache/>
            </c:numRef>
          </c:cat>
          <c:val>
            <c:numRef>
              <c:f>'Sociale e salute'!$B$7:$J$7</c:f>
              <c:numCache/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At val="100"/>
        <c:auto val="1"/>
        <c:lblOffset val="100"/>
        <c:noMultiLvlLbl val="0"/>
      </c:catAx>
      <c:valAx>
        <c:axId val="42949826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490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E POLITICHE DELLE DIFFERENZE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Istruzione!$B$2:$J$2</c:f>
              <c:numCache/>
            </c:numRef>
          </c:cat>
          <c:val>
            <c:numRef>
              <c:f>Istruzione!$B$3:$J$3</c:f>
              <c:numCache/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Istruzione!$B$2:$J$2</c:f>
              <c:numCache/>
            </c:numRef>
          </c:cat>
          <c:val>
            <c:numRef>
              <c:f>Istruzione!$B$4:$J$4</c:f>
              <c:numCache/>
            </c:numRef>
          </c:val>
        </c:ser>
        <c:overlap val="100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0"/>
        <c:lblOffset val="100"/>
        <c:noMultiLvlLbl val="0"/>
      </c:catAx>
      <c:valAx>
        <c:axId val="5638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1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Istruzione!$B$2:$J$2</c:f>
              <c:numCache/>
            </c:numRef>
          </c:cat>
          <c:val>
            <c:numRef>
              <c:f>Istruzione!$B$6:$J$6</c:f>
              <c:numCache/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Istruzione!$B$2:$J$2</c:f>
              <c:numCache/>
            </c:numRef>
          </c:cat>
          <c:val>
            <c:numRef>
              <c:f>Istruzione!$B$7:$J$7</c:f>
              <c:numCache/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At val="100"/>
        <c:auto val="1"/>
        <c:lblOffset val="100"/>
        <c:noMultiLvlLbl val="0"/>
      </c:catAx>
      <c:valAx>
        <c:axId val="3689270"/>
        <c:scaling>
          <c:orientation val="minMax"/>
          <c:max val="4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E RAPPORTI CON L'UNIVERSITA'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Cultura!$B$2:$J$2</c:f>
              <c:numCache/>
            </c:numRef>
          </c:cat>
          <c:val>
            <c:numRef>
              <c:f>Cultura!$B$3:$J$3</c:f>
              <c:numCache/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Cultura!$B$2:$J$2</c:f>
              <c:numCache/>
            </c:numRef>
          </c:cat>
          <c:val>
            <c:numRef>
              <c:f>Cultura!$B$4:$J$4</c:f>
              <c:numCache/>
            </c:numRef>
          </c:val>
        </c:ser>
        <c:overlap val="100"/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0"/>
        <c:lblOffset val="100"/>
        <c:noMultiLvlLbl val="0"/>
      </c:catAx>
      <c:valAx>
        <c:axId val="3039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Cultura!$B$2:$J$2</c:f>
              <c:numCache/>
            </c:numRef>
          </c:cat>
          <c:val>
            <c:numRef>
              <c:f>Cultura!$B$6:$J$6</c:f>
              <c:numCache/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Cultura!$B$2:$J$2</c:f>
              <c:numCache/>
            </c:numRef>
          </c:cat>
          <c:val>
            <c:numRef>
              <c:f>Cultura!$B$7:$J$7</c:f>
              <c:numCache/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At val="60"/>
        <c:auto val="1"/>
        <c:lblOffset val="100"/>
        <c:noMultiLvlLbl val="0"/>
      </c:catAx>
      <c:valAx>
        <c:axId val="46110250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ATTIVITA' PRODUTTIVE E COMMERCIALI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'Attività produttive'!$A$3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produttive'!$B$2:$J$2</c:f>
              <c:numCache/>
            </c:numRef>
          </c:cat>
          <c:val>
            <c:numRef>
              <c:f>'Attività produttive'!$B$3:$J$3</c:f>
              <c:numCache/>
            </c:numRef>
          </c:val>
        </c:ser>
        <c:ser>
          <c:idx val="0"/>
          <c:order val="1"/>
          <c:tx>
            <c:strRef>
              <c:f>'Attività produttive'!$A$4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'Attività produttive'!$B$2:$J$2</c:f>
              <c:numCache/>
            </c:numRef>
          </c:cat>
          <c:val>
            <c:numRef>
              <c:f>'Attività produttive'!$B$4:$J$4</c:f>
              <c:numCache/>
            </c:numRef>
          </c:val>
        </c:ser>
        <c:overlap val="100"/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e staff del Sindaco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Gabinetto!$B$2:$J$2</c:f>
              <c:numCache/>
            </c:numRef>
          </c:cat>
          <c:val>
            <c:numRef>
              <c:f>Gabinetto!$B$3:$J$3</c:f>
              <c:numCache/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Gabinetto!$B$2:$J$2</c:f>
              <c:numCache/>
            </c:numRef>
          </c:cat>
          <c:val>
            <c:numRef>
              <c:f>Gabinetto!$B$4:$J$4</c:f>
              <c:numCache/>
            </c:numRef>
          </c:val>
        </c:ser>
        <c:overlap val="100"/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0"/>
        <c:lblOffset val="100"/>
        <c:noMultiLvlLbl val="0"/>
      </c:catAx>
      <c:valAx>
        <c:axId val="45503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'Attività produttive'!$A$6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produttive'!$B$2:$J$2</c:f>
              <c:numCache/>
            </c:numRef>
          </c:cat>
          <c:val>
            <c:numRef>
              <c:f>'Attività produttive'!$B$6:$J$6</c:f>
              <c:numCache/>
            </c:numRef>
          </c:val>
          <c:smooth val="0"/>
        </c:ser>
        <c:ser>
          <c:idx val="1"/>
          <c:order val="1"/>
          <c:tx>
            <c:strRef>
              <c:f>'Attività produttive'!$A$7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'Attività produttive'!$B$2:$J$2</c:f>
              <c:numCache/>
            </c:numRef>
          </c:cat>
          <c:val>
            <c:numRef>
              <c:f>'Attività produttive'!$B$7:$J$7</c:f>
              <c:numCache/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At val="60"/>
        <c:auto val="1"/>
        <c:lblOffset val="100"/>
        <c:noMultiLvlLbl val="0"/>
      </c:catAx>
      <c:valAx>
        <c:axId val="2592158"/>
        <c:scaling>
          <c:orientation val="minMax"/>
          <c:max val="20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SPORT, GIOVANI E TURISMO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Sport!$A$3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Sport!$B$2:$J$2</c:f>
              <c:numCache/>
            </c:numRef>
          </c:cat>
          <c:val>
            <c:numRef>
              <c:f>Sport!$B$3:$J$3</c:f>
              <c:numCache/>
            </c:numRef>
          </c:val>
        </c:ser>
        <c:ser>
          <c:idx val="0"/>
          <c:order val="1"/>
          <c:tx>
            <c:strRef>
              <c:f>Sport!$A$4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Sport!$B$2:$J$2</c:f>
              <c:numCache/>
            </c:numRef>
          </c:cat>
          <c:val>
            <c:numRef>
              <c:f>Sport!$B$4:$J$4</c:f>
              <c:numCache/>
            </c:numRef>
          </c:val>
        </c:ser>
        <c:overlap val="100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0"/>
        <c:lblOffset val="100"/>
        <c:noMultiLvlLbl val="0"/>
      </c:catAx>
      <c:valAx>
        <c:axId val="8638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Sport!$A$6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Sport!$B$2:$J$2</c:f>
              <c:numCache/>
            </c:numRef>
          </c:cat>
          <c:val>
            <c:numRef>
              <c:f>Sport!$B$6:$J$6</c:f>
              <c:numCache/>
            </c:numRef>
          </c:val>
          <c:smooth val="0"/>
        </c:ser>
        <c:ser>
          <c:idx val="1"/>
          <c:order val="1"/>
          <c:tx>
            <c:strRef>
              <c:f>Sport!$A$7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Sport!$B$2:$J$2</c:f>
              <c:numCache/>
            </c:numRef>
          </c:cat>
          <c:val>
            <c:numRef>
              <c:f>Sport!$B$7:$J$7</c:f>
              <c:numCache/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At val="80"/>
        <c:auto val="1"/>
        <c:lblOffset val="100"/>
        <c:noMultiLvlLbl val="0"/>
      </c:catAx>
      <c:valAx>
        <c:axId val="28606866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TERRITORIO E 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Territorio!$A$3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Territorio!$B$2:$J$2</c:f>
              <c:numCache/>
            </c:numRef>
          </c:cat>
          <c:val>
            <c:numRef>
              <c:f>Territorio!$B$3:$J$3</c:f>
              <c:numCache/>
            </c:numRef>
          </c:val>
        </c:ser>
        <c:ser>
          <c:idx val="0"/>
          <c:order val="1"/>
          <c:tx>
            <c:strRef>
              <c:f>Territorio!$A$4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Territorio!$B$2:$J$2</c:f>
              <c:numCache/>
            </c:numRef>
          </c:cat>
          <c:val>
            <c:numRef>
              <c:f>Territorio!$B$4:$J$4</c:f>
              <c:numCache/>
            </c:numRef>
          </c:val>
        </c:ser>
        <c:overlap val="100"/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0"/>
        <c:lblOffset val="100"/>
        <c:noMultiLvlLbl val="0"/>
      </c:catAx>
      <c:valAx>
        <c:axId val="35454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Territorio!$A$6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Territorio!$B$2:$J$2</c:f>
              <c:numCache/>
            </c:numRef>
          </c:cat>
          <c:val>
            <c:numRef>
              <c:f>Territorio!$B$6:$J$6</c:f>
              <c:numCache/>
            </c:numRef>
          </c:val>
          <c:smooth val="0"/>
        </c:ser>
        <c:ser>
          <c:idx val="1"/>
          <c:order val="1"/>
          <c:tx>
            <c:strRef>
              <c:f>Territorio!$A$7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Territorio!$B$2:$J$2</c:f>
              <c:numCache/>
            </c:numRef>
          </c:cat>
          <c:val>
            <c:numRef>
              <c:f>Territorio!$B$7:$J$7</c:f>
              <c:numCache/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At val="10"/>
        <c:auto val="1"/>
        <c:lblOffset val="100"/>
        <c:noMultiLvlLbl val="0"/>
      </c:catAx>
      <c:valAx>
        <c:axId val="53264902"/>
        <c:scaling>
          <c:orientation val="minMax"/>
          <c:max val="1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65"/>
          <c:w val="0.965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Mobilità!$B$2:$J$2</c:f>
              <c:numCache/>
            </c:numRef>
          </c:cat>
          <c:val>
            <c:numRef>
              <c:f>Mobilità!$B$3:$J$3</c:f>
              <c:numCache/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Mobilità!$B$2:$J$2</c:f>
              <c:numCache/>
            </c:numRef>
          </c:cat>
          <c:val>
            <c:numRef>
              <c:f>Mobilità!$B$4:$J$4</c:f>
              <c:numCache/>
            </c:numRef>
          </c:val>
        </c:ser>
        <c:overlap val="100"/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0"/>
        <c:lblOffset val="100"/>
        <c:noMultiLvlLbl val="0"/>
      </c:catAx>
      <c:val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Mobilità!$B$2:$J$2</c:f>
              <c:numCache/>
            </c:numRef>
          </c:cat>
          <c:val>
            <c:numRef>
              <c:f>Mobilità!$B$6:$J$6</c:f>
              <c:numCache/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Mobilità!$B$2:$J$2</c:f>
              <c:numCache/>
            </c:numRef>
          </c:cat>
          <c:val>
            <c:numRef>
              <c:f>Mobilità!$B$7:$J$7</c:f>
              <c:numCache/>
            </c:numRef>
          </c:val>
          <c:smooth val="0"/>
        </c:ser>
        <c:marker val="1"/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At val="90"/>
        <c:auto val="1"/>
        <c:lblOffset val="100"/>
        <c:noMultiLvlLbl val="0"/>
      </c:catAx>
      <c:valAx>
        <c:axId val="35167994"/>
        <c:scaling>
          <c:orientation val="minMax"/>
          <c:max val="3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At val="1"/>
        <c:crossBetween val="between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ABITATIVE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Casa!$B$2:$J$2</c:f>
              <c:numCache/>
            </c:numRef>
          </c:cat>
          <c:val>
            <c:numRef>
              <c:f>Casa!$B$3:$J$3</c:f>
              <c:numCache/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Casa!$B$2:$J$2</c:f>
              <c:numCache/>
            </c:numRef>
          </c:cat>
          <c:val>
            <c:numRef>
              <c:f>Casa!$B$4:$J$4</c:f>
              <c:numCache/>
            </c:numRef>
          </c:val>
        </c:ser>
        <c:overlap val="100"/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0"/>
        <c:lblOffset val="100"/>
        <c:noMultiLvlLbl val="0"/>
      </c:catAx>
      <c:valAx>
        <c:axId val="30035236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Casa!$B$2:$J$2</c:f>
              <c:numCache/>
            </c:numRef>
          </c:cat>
          <c:val>
            <c:numRef>
              <c:f>Casa!$B$6:$J$6</c:f>
              <c:numCache/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Casa!$B$2:$J$2</c:f>
              <c:numCache/>
            </c:numRef>
          </c:cat>
          <c:val>
            <c:numRef>
              <c:f>Casa!$B$7:$J$7</c:f>
              <c:numCache/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0"/>
        <c:auto val="1"/>
        <c:lblOffset val="100"/>
        <c:noMultiLvlLbl val="0"/>
      </c:catAx>
      <c:valAx>
        <c:axId val="16935022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E VERDE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'!$B$2:$J$2</c:f>
              <c:numCache/>
            </c:numRef>
          </c:cat>
          <c:val>
            <c:numRef>
              <c:f>'Ambiente '!$B$3:$J$3</c:f>
              <c:numCache/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'!$B$2:$J$2</c:f>
              <c:numCache/>
            </c:numRef>
          </c:cat>
          <c:val>
            <c:numRef>
              <c:f>'Ambiente '!$B$4:$J$4</c:f>
              <c:numCache/>
            </c:numRef>
          </c:val>
        </c:ser>
        <c:overlap val="100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0"/>
        <c:lblOffset val="100"/>
        <c:noMultiLvlLbl val="0"/>
      </c:catAx>
      <c:valAx>
        <c:axId val="29559512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775"/>
          <c:w val="0.9537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Gabinetto!$B$2:$J$2</c:f>
              <c:numCache/>
            </c:numRef>
          </c:cat>
          <c:val>
            <c:numRef>
              <c:f>Gabinetto!$B$6:$J$6</c:f>
              <c:numCache/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Gabinetto!$B$2:$J$2</c:f>
              <c:numCache/>
            </c:numRef>
          </c:cat>
          <c:val>
            <c:numRef>
              <c:f>Gabinetto!$B$7:$J$7</c:f>
              <c:numCache/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At val="50"/>
        <c:auto val="1"/>
        <c:lblOffset val="100"/>
        <c:noMultiLvlLbl val="0"/>
      </c:catAx>
      <c:valAx>
        <c:axId val="61911334"/>
        <c:scaling>
          <c:orientation val="minMax"/>
          <c:max val="19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'!$B$2:$J$2</c:f>
              <c:numCache/>
            </c:numRef>
          </c:cat>
          <c:val>
            <c:numRef>
              <c:f>'Ambiente '!$B$6:$J$6</c:f>
              <c:numCache/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'!$B$2:$J$2</c:f>
              <c:numCache/>
            </c:numRef>
          </c:cat>
          <c:val>
            <c:numRef>
              <c:f>'Ambiente '!$B$7:$J$7</c:f>
              <c:numCache/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At val="70"/>
        <c:auto val="1"/>
        <c:lblOffset val="100"/>
        <c:noMultiLvlLbl val="0"/>
      </c:catAx>
      <c:valAx>
        <c:axId val="45510242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SERVIZI DEMOGRAFICI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'Servizi demografici'!$A$3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demografici'!$B$2:$J$2</c:f>
              <c:numCache/>
            </c:numRef>
          </c:cat>
          <c:val>
            <c:numRef>
              <c:f>'Servizi demografici'!$B$3:$J$3</c:f>
              <c:numCache/>
            </c:numRef>
          </c:val>
        </c:ser>
        <c:ser>
          <c:idx val="0"/>
          <c:order val="1"/>
          <c:tx>
            <c:strRef>
              <c:f>'Servizi demografici'!$A$4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'Servizi demografici'!$B$2:$J$2</c:f>
              <c:numCache/>
            </c:numRef>
          </c:cat>
          <c:val>
            <c:numRef>
              <c:f>'Servizi demografici'!$B$4:$J$4</c:f>
              <c:numCache/>
            </c:numRef>
          </c:val>
        </c:ser>
        <c:overlap val="100"/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0"/>
        <c:lblOffset val="100"/>
        <c:noMultiLvlLbl val="0"/>
      </c:catAx>
      <c:val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'Servizi demografici'!$A$6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demografici'!$B$2:$J$2</c:f>
              <c:numCache/>
            </c:numRef>
          </c:cat>
          <c:val>
            <c:numRef>
              <c:f>'Servizi demografici'!$B$6:$J$6</c:f>
              <c:numCache/>
            </c:numRef>
          </c:val>
          <c:smooth val="0"/>
        </c:ser>
        <c:ser>
          <c:idx val="1"/>
          <c:order val="1"/>
          <c:tx>
            <c:strRef>
              <c:f>'Servizi demografici'!$A$7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demografici'!$B$2:$J$2</c:f>
              <c:numCache/>
            </c:numRef>
          </c:cat>
          <c:val>
            <c:numRef>
              <c:f>'Servizi demografici'!$B$7:$J$7</c:f>
              <c:numCache/>
            </c:numRef>
          </c:val>
          <c:smooth val="0"/>
        </c:ser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At val="80"/>
        <c:auto val="1"/>
        <c:lblOffset val="100"/>
        <c:noMultiLvlLbl val="0"/>
      </c:catAx>
      <c:valAx>
        <c:axId val="25362646"/>
        <c:scaling>
          <c:orientation val="minMax"/>
          <c:max val="25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Quartieri!$B$2:$J$2</c:f>
              <c:numCache/>
            </c:numRef>
          </c:cat>
          <c:val>
            <c:numRef>
              <c:f>Quartieri!$B$3:$J$3</c:f>
              <c:numCache/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Quartieri!$B$2:$J$2</c:f>
              <c:numCache/>
            </c:numRef>
          </c:cat>
          <c:val>
            <c:numRef>
              <c:f>Quartieri!$B$4:$J$4</c:f>
              <c:numCache/>
            </c:numRef>
          </c:val>
        </c:ser>
        <c:overlap val="100"/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0"/>
        <c:lblOffset val="100"/>
        <c:noMultiLvlLbl val="0"/>
      </c:catAx>
      <c:val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Quartieri!$B$2:$J$2</c:f>
              <c:numCache/>
            </c:numRef>
          </c:cat>
          <c:val>
            <c:numRef>
              <c:f>Quartieri!$B$6:$J$6</c:f>
              <c:numCache/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Quartieri!$B$2:$J$2</c:f>
              <c:numCache/>
            </c:numRef>
          </c:cat>
          <c:val>
            <c:numRef>
              <c:f>Quartieri!$B$7:$J$7</c:f>
              <c:numCache/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At val="100"/>
        <c:auto val="1"/>
        <c:lblOffset val="100"/>
        <c:noMultiLvlLbl val="0"/>
      </c:catAx>
      <c:valAx>
        <c:axId val="41447370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'Q.Borgo'!$B$2:$J$2</c:f>
              <c:numCache/>
            </c:numRef>
          </c:cat>
          <c:val>
            <c:numRef>
              <c:f>'Q.Borgo'!$B$3:$J$3</c:f>
              <c:numCache/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'Q.Borgo'!$B$2:$J$2</c:f>
              <c:numCache/>
            </c:numRef>
          </c:cat>
          <c:val>
            <c:numRef>
              <c:f>'Q.Borgo'!$B$4:$J$4</c:f>
              <c:numCache/>
            </c:numRef>
          </c:val>
        </c:ser>
        <c:overlap val="100"/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0"/>
        <c:lblOffset val="100"/>
        <c:noMultiLvlLbl val="0"/>
      </c:catAx>
      <c:valAx>
        <c:axId val="179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'Q.Borgo'!$B$2:$J$2</c:f>
              <c:numCache/>
            </c:numRef>
          </c:cat>
          <c:val>
            <c:numRef>
              <c:f>'Q.Borgo'!$B$6:$J$6</c:f>
              <c:numCache/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'Q.Borgo'!$B$2:$J$2</c:f>
              <c:numCache/>
            </c:numRef>
          </c:cat>
          <c:val>
            <c:numRef>
              <c:f>'Q.Borgo'!$B$7:$J$7</c:f>
              <c:numCache/>
            </c:numRef>
          </c:val>
          <c:smooth val="0"/>
        </c:ser>
        <c:marker val="1"/>
        <c:axId val="16144021"/>
        <c:axId val="11078462"/>
      </c:line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At val="100"/>
        <c:auto val="1"/>
        <c:lblOffset val="100"/>
        <c:noMultiLvlLbl val="0"/>
      </c:catAx>
      <c:valAx>
        <c:axId val="11078462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'Q.Navile'!$B$2:$J$2</c:f>
              <c:numCache/>
            </c:numRef>
          </c:cat>
          <c:val>
            <c:numRef>
              <c:f>'Q.Navile'!$B$3:$J$3</c:f>
              <c:numCache/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'Q.Navile'!$B$2:$J$2</c:f>
              <c:numCache/>
            </c:numRef>
          </c:cat>
          <c:val>
            <c:numRef>
              <c:f>'Q.Navile'!$B$4:$J$4</c:f>
              <c:numCache/>
            </c:numRef>
          </c:val>
        </c:ser>
        <c:overlap val="100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0"/>
        <c:lblOffset val="100"/>
        <c:noMultiLvlLbl val="0"/>
      </c:catAx>
      <c:valAx>
        <c:axId val="24940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972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'Q.Navile'!$B$2:$J$2</c:f>
              <c:numCache/>
            </c:numRef>
          </c:cat>
          <c:val>
            <c:numRef>
              <c:f>'Q.Navile'!$B$6:$J$6</c:f>
              <c:numCache/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'Q.Navile'!$B$2:$J$2</c:f>
              <c:numCache/>
            </c:numRef>
          </c:cat>
          <c:val>
            <c:numRef>
              <c:f>'Q.Navile'!$B$7:$J$7</c:f>
              <c:numCache/>
            </c:numRef>
          </c:val>
          <c:smooth val="0"/>
        </c:ser>
        <c:marker val="1"/>
        <c:axId val="23135209"/>
        <c:axId val="6890290"/>
      </c:line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0290"/>
        <c:crossesAt val="100"/>
        <c:auto val="1"/>
        <c:lblOffset val="100"/>
        <c:noMultiLvlLbl val="0"/>
      </c:catAx>
      <c:valAx>
        <c:axId val="6890290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'Q.Porto'!$B$2:$J$2</c:f>
              <c:numCache/>
            </c:numRef>
          </c:cat>
          <c:val>
            <c:numRef>
              <c:f>'Q.Porto'!$B$3:$J$3</c:f>
              <c:numCache/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'Q.Porto'!$B$2:$J$2</c:f>
              <c:numCache/>
            </c:numRef>
          </c:cat>
          <c:val>
            <c:numRef>
              <c:f>'Q.Porto'!$B$4:$J$4</c:f>
              <c:numCache/>
            </c:numRef>
          </c:val>
        </c:ser>
        <c:overlap val="100"/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0"/>
        <c:lblOffset val="100"/>
        <c:noMultiLvlLbl val="0"/>
      </c:catAx>
      <c:valAx>
        <c:axId val="2124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126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del Consiglio'!$A$3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Consiglio'!$B$2:$J$2</c:f>
              <c:numCache/>
            </c:numRef>
          </c:cat>
          <c:val>
            <c:numRef>
              <c:f>'Staff del Consiglio'!$B$3:$J$3</c:f>
              <c:numCache/>
            </c:numRef>
          </c:val>
        </c:ser>
        <c:ser>
          <c:idx val="0"/>
          <c:order val="1"/>
          <c:tx>
            <c:strRef>
              <c:f>'Staff del Consiglio'!$A$4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del Consiglio'!$B$2:$J$2</c:f>
              <c:numCache/>
            </c:numRef>
          </c:cat>
          <c:val>
            <c:numRef>
              <c:f>'Staff del Consiglio'!$B$4:$J$4</c:f>
              <c:numCache/>
            </c:numRef>
          </c:val>
        </c:ser>
        <c:overlap val="100"/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'Q.Porto'!$B$2:$J$2</c:f>
              <c:numCache/>
            </c:numRef>
          </c:cat>
          <c:val>
            <c:numRef>
              <c:f>'Q.Porto'!$B$6:$J$6</c:f>
              <c:numCache/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'Q.Porto'!$B$2:$J$2</c:f>
              <c:numCache/>
            </c:numRef>
          </c:cat>
          <c:val>
            <c:numRef>
              <c:f>'Q.Porto'!$B$7:$J$7</c:f>
              <c:numCache/>
            </c:numRef>
          </c:val>
          <c:smooth val="0"/>
        </c:ser>
        <c:marker val="1"/>
        <c:axId val="56965565"/>
        <c:axId val="42928038"/>
      </c:line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At val="100"/>
        <c:auto val="1"/>
        <c:lblOffset val="100"/>
        <c:noMultiLvlLbl val="0"/>
      </c:catAx>
      <c:valAx>
        <c:axId val="4292803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'Q.Reno'!$B$2:$J$2</c:f>
              <c:numCache/>
            </c:numRef>
          </c:cat>
          <c:val>
            <c:numRef>
              <c:f>'Q.Reno'!$B$3:$J$3</c:f>
              <c:numCache/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'Q.Reno'!$B$2:$J$2</c:f>
              <c:numCache/>
            </c:numRef>
          </c:cat>
          <c:val>
            <c:numRef>
              <c:f>'Q.Reno'!$B$4:$J$4</c:f>
              <c:numCache/>
            </c:numRef>
          </c:val>
        </c:ser>
        <c:overlap val="100"/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0"/>
        <c:lblOffset val="100"/>
        <c:noMultiLvlLbl val="0"/>
      </c:catAx>
      <c:valAx>
        <c:axId val="5461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'Q.Reno'!$B$2:$J$2</c:f>
              <c:numCache/>
            </c:numRef>
          </c:cat>
          <c:val>
            <c:numRef>
              <c:f>'Q.Reno'!$B$6:$J$6</c:f>
              <c:numCache/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'Q.Reno'!$B$2:$J$2</c:f>
              <c:numCache/>
            </c:numRef>
          </c:cat>
          <c:val>
            <c:numRef>
              <c:f>'Q.Reno'!$B$7:$J$7</c:f>
              <c:numCache/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At val="100"/>
        <c:auto val="1"/>
        <c:lblOffset val="100"/>
        <c:noMultiLvlLbl val="0"/>
      </c:catAx>
      <c:valAx>
        <c:axId val="62064794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'Q.SDonato'!$B$2:$J$2</c:f>
              <c:numCache/>
            </c:numRef>
          </c:cat>
          <c:val>
            <c:numRef>
              <c:f>'Q.SDonato'!$B$3:$J$3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'Q.SDonato'!$B$2:$J$2</c:f>
              <c:numCache/>
            </c:numRef>
          </c:cat>
          <c:val>
            <c:numRef>
              <c:f>'Q.SDonato'!$B$4:$J$4</c:f>
              <c:numCache/>
            </c:numRef>
          </c:val>
        </c:ser>
        <c:overlap val="100"/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0"/>
        <c:lblOffset val="100"/>
        <c:noMultiLvlLbl val="0"/>
      </c:catAx>
      <c:valAx>
        <c:axId val="6119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'Q.SDonato'!$B$2:$J$2</c:f>
              <c:numCache/>
            </c:numRef>
          </c:cat>
          <c:val>
            <c:numRef>
              <c:f>'Q.SDonato'!$B$6:$J$6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'Q.SDonato'!$B$2:$J$2</c:f>
              <c:numCache/>
            </c:numRef>
          </c:cat>
          <c:val>
            <c:numRef>
              <c:f>'Q.SDonato'!$B$7:$J$7</c:f>
              <c:numCache/>
            </c:numRef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At val="100"/>
        <c:auto val="1"/>
        <c:lblOffset val="100"/>
        <c:noMultiLvlLbl val="0"/>
      </c:catAx>
      <c:valAx>
        <c:axId val="57636366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'Q.SStefano'!$B$2:$J$2</c:f>
              <c:numCache/>
            </c:numRef>
          </c:cat>
          <c:val>
            <c:numRef>
              <c:f>'Q.SStefano'!$B$3:$J$3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'Q.SStefano'!$B$2:$J$2</c:f>
              <c:numCache/>
            </c:numRef>
          </c:cat>
          <c:val>
            <c:numRef>
              <c:f>'Q.SStefano'!$B$4:$J$4</c:f>
              <c:numCache/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0"/>
        <c:lblOffset val="100"/>
        <c:noMultiLvlLbl val="0"/>
      </c:catAx>
      <c:valAx>
        <c:axId val="3803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'Q.SStefano'!$B$2:$J$2</c:f>
              <c:numCache/>
            </c:numRef>
          </c:cat>
          <c:val>
            <c:numRef>
              <c:f>'Q.SStefano'!$B$6:$J$6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'Q.SStefano'!$B$2:$J$2</c:f>
              <c:numCache/>
            </c:numRef>
          </c:cat>
          <c:val>
            <c:numRef>
              <c:f>'Q.SStefano'!$B$7:$J$7</c:f>
              <c:numCache/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At val="100"/>
        <c:auto val="1"/>
        <c:lblOffset val="100"/>
        <c:noMultiLvlLbl val="0"/>
      </c:catAx>
      <c:valAx>
        <c:axId val="6085837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'Q.SVitale'!$B$2:$J$2</c:f>
              <c:numCache/>
            </c:numRef>
          </c:cat>
          <c:val>
            <c:numRef>
              <c:f>'Q.SVitale'!$B$3:$J$3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'Q.SVitale'!$B$2:$J$2</c:f>
              <c:numCache/>
            </c:numRef>
          </c:cat>
          <c:val>
            <c:numRef>
              <c:f>'Q.SVitale'!$B$4:$J$4</c:f>
              <c:numCache/>
            </c:numRef>
          </c:val>
        </c:ser>
        <c:overlap val="100"/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0"/>
        <c:lblOffset val="100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'Q.SVitale'!$B$2:$J$2</c:f>
              <c:numCache/>
            </c:numRef>
          </c:cat>
          <c:val>
            <c:numRef>
              <c:f>'Q.SVitale'!$B$6:$J$6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'Q.SVitale'!$B$2:$J$2</c:f>
              <c:numCache/>
            </c:numRef>
          </c:cat>
          <c:val>
            <c:numRef>
              <c:f>'Q.SVitale'!$B$7:$J$7</c:f>
              <c:numCache/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At val="100"/>
        <c:auto val="1"/>
        <c:lblOffset val="100"/>
        <c:noMultiLvlLbl val="0"/>
      </c:catAx>
      <c:valAx>
        <c:axId val="61134454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717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'Q.Saragozza'!$B$2:$J$2</c:f>
              <c:numCache/>
            </c:numRef>
          </c:cat>
          <c:val>
            <c:numRef>
              <c:f>'Q.Saragozza'!$B$3:$J$3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'Q.Saragozza'!$B$2:$J$2</c:f>
              <c:numCache/>
            </c:numRef>
          </c:cat>
          <c:val>
            <c:numRef>
              <c:f>'Q.Saragozza'!$B$4:$J$4</c:f>
              <c:numCache/>
            </c:numRef>
          </c:val>
        </c:ser>
        <c:overlap val="100"/>
        <c:axId val="13339175"/>
        <c:axId val="52943712"/>
      </c:bar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auto val="0"/>
        <c:lblOffset val="100"/>
        <c:noMultiLvlLbl val="0"/>
      </c:catAx>
      <c:valAx>
        <c:axId val="5294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5"/>
          <c:w val="0.954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del Consiglio'!$A$6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Consiglio'!$B$2:$J$2</c:f>
              <c:numCache/>
            </c:numRef>
          </c:cat>
          <c:val>
            <c:numRef>
              <c:f>'Staff del Consiglio'!$B$6:$J$6</c:f>
              <c:numCache/>
            </c:numRef>
          </c:val>
          <c:smooth val="0"/>
        </c:ser>
        <c:ser>
          <c:idx val="1"/>
          <c:order val="1"/>
          <c:tx>
            <c:strRef>
              <c:f>'Staff del Consiglio'!$A$7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del Consiglio'!$B$2:$J$2</c:f>
              <c:numCache/>
            </c:numRef>
          </c:cat>
          <c:val>
            <c:numRef>
              <c:f>'Staff del Consiglio'!$B$7:$J$7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At val="70"/>
        <c:auto val="1"/>
        <c:lblOffset val="100"/>
        <c:noMultiLvlLbl val="0"/>
      </c:catAx>
      <c:valAx>
        <c:axId val="57418266"/>
        <c:scaling>
          <c:orientation val="minMax"/>
          <c:max val="12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'Q.Saragozza'!$B$2:$J$2</c:f>
              <c:numCache/>
            </c:numRef>
          </c:cat>
          <c:val>
            <c:numRef>
              <c:f>'Q.Saragozza'!$B$6:$J$6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'Q.Saragozza'!$B$2:$J$2</c:f>
              <c:numCache/>
            </c:numRef>
          </c:cat>
          <c:val>
            <c:numRef>
              <c:f>'Q.Saragozza'!$B$7:$J$7</c:f>
              <c:numCache/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At val="100"/>
        <c:auto val="1"/>
        <c:lblOffset val="100"/>
        <c:noMultiLvlLbl val="0"/>
      </c:catAx>
      <c:valAx>
        <c:axId val="6058225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'Q.Savena'!$B$2:$J$2</c:f>
              <c:numCache/>
            </c:numRef>
          </c:cat>
          <c:val>
            <c:numRef>
              <c:f>'Q.Savena'!$B$3:$J$3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'Q.Savena'!$B$2:$J$2</c:f>
              <c:numCache/>
            </c:numRef>
          </c:cat>
          <c:val>
            <c:numRef>
              <c:f>'Q.Savena'!$B$4:$J$4</c:f>
              <c:numCache/>
            </c:numRef>
          </c:val>
        </c:ser>
        <c:overlap val="100"/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0"/>
        <c:lblOffset val="100"/>
        <c:noMultiLvlLbl val="0"/>
      </c:catAx>
      <c:valAx>
        <c:axId val="821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35"/>
          <c:w val="0.95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'Q.Savena'!$B$2:$J$2</c:f>
              <c:numCache/>
            </c:numRef>
          </c:cat>
          <c:val>
            <c:numRef>
              <c:f>'Q.Savena'!$B$6:$J$6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'Q.Savena'!$B$2:$J$2</c:f>
              <c:numCache/>
            </c:numRef>
          </c:cat>
          <c:val>
            <c:numRef>
              <c:f>'Q.Savena'!$B$7:$J$7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50462"/>
        <c:crossesAt val="100"/>
        <c:auto val="1"/>
        <c:lblOffset val="100"/>
        <c:noMultiLvlLbl val="0"/>
      </c:catAx>
      <c:valAx>
        <c:axId val="61450462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CS'!$B$2:$J$2</c:f>
              <c:numCache/>
            </c:numRef>
          </c:cat>
          <c:val>
            <c:numRef>
              <c:f>'TOTALE CS'!$B$3:$J$3</c:f>
              <c:numCache/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CS'!$B$2:$J$2</c:f>
              <c:numCache/>
            </c:numRef>
          </c:cat>
          <c:val>
            <c:numRef>
              <c:f>'TOTALE CS'!$B$4:$J$4</c:f>
              <c:numCache/>
            </c:numRef>
          </c:val>
        </c:ser>
        <c:overlap val="100"/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0"/>
        <c:lblOffset val="100"/>
        <c:noMultiLvlLbl val="0"/>
      </c:catAx>
      <c:valAx>
        <c:axId val="11431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832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3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CS'!$B$2:$J$2</c:f>
              <c:numCache/>
            </c:numRef>
          </c:cat>
          <c:val>
            <c:numRef>
              <c:f>'TOTALE CS'!$B$6:$J$6</c:f>
              <c:numCache/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CS'!$B$2:$J$2</c:f>
              <c:numCache/>
            </c:numRef>
          </c:cat>
          <c:val>
            <c:numRef>
              <c:f>'TOTALE CS'!$B$7:$J$7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At val="90"/>
        <c:auto val="1"/>
        <c:lblOffset val="100"/>
        <c:noMultiLvlLbl val="0"/>
      </c:catAx>
      <c:valAx>
        <c:axId val="53535954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PARTECIPAZIONI SOCIETARIE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'Partecipazione soc'!$A$3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soc'!$B$2:$J$2</c:f>
              <c:numCache/>
            </c:numRef>
          </c:cat>
          <c:val>
            <c:numRef>
              <c:f>'Partecipazione soc'!$B$3:$J$3</c:f>
              <c:numCache/>
            </c:numRef>
          </c:val>
        </c:ser>
        <c:ser>
          <c:idx val="0"/>
          <c:order val="1"/>
          <c:tx>
            <c:strRef>
              <c:f>'Partecipazione soc'!$A$4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'Partecipazione soc'!$B$2:$J$2</c:f>
              <c:numCache/>
            </c:numRef>
          </c:cat>
          <c:val>
            <c:numRef>
              <c:f>'Partecipazione soc'!$B$4:$J$4</c:f>
              <c:numCache/>
            </c:numRef>
          </c:val>
        </c:ser>
        <c:overlap val="100"/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0"/>
        <c:lblOffset val="100"/>
        <c:noMultiLvlLbl val="0"/>
      </c:catAx>
      <c:valAx>
        <c:axId val="2036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076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43400" y="1447800"/>
        <a:ext cx="4210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3243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391025" y="13144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210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3243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210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6</xdr:row>
      <xdr:rowOff>0</xdr:rowOff>
    </xdr:from>
    <xdr:to>
      <xdr:col>8</xdr:col>
      <xdr:colOff>142875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19150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438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0</xdr:rowOff>
    </xdr:from>
    <xdr:to>
      <xdr:col>8</xdr:col>
      <xdr:colOff>114300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0575" y="100012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14825" y="1304925"/>
        <a:ext cx="42862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2"/>
  <sheetViews>
    <sheetView tabSelected="1" workbookViewId="0" topLeftCell="A1">
      <pane ySplit="8" topLeftCell="BM202" activePane="bottomLeft" state="frozen"/>
      <selection pane="topLeft" activeCell="A1" sqref="A1"/>
      <selection pane="bottomLeft" activeCell="A209" sqref="A209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4.421875" style="3" customWidth="1"/>
    <col min="4" max="4" width="0.5625" style="0" customWidth="1"/>
    <col min="5" max="5" width="11.00390625" style="64" customWidth="1"/>
    <col min="6" max="6" width="10.8515625" style="64" customWidth="1"/>
    <col min="7" max="7" width="11.00390625" style="64" customWidth="1"/>
    <col min="8" max="8" width="10.8515625" style="64" customWidth="1"/>
    <col min="9" max="9" width="11.00390625" style="64" customWidth="1"/>
    <col min="10" max="10" width="10.8515625" style="64" customWidth="1"/>
    <col min="11" max="11" width="11.00390625" style="64" customWidth="1"/>
    <col min="12" max="12" width="10.8515625" style="64" customWidth="1"/>
    <col min="13" max="13" width="11.00390625" style="81" customWidth="1"/>
    <col min="14" max="14" width="10.8515625" style="32" customWidth="1"/>
    <col min="15" max="15" width="11.00390625" style="64" customWidth="1"/>
    <col min="16" max="16" width="10.8515625" style="81" customWidth="1"/>
    <col min="17" max="17" width="11.00390625" style="64" customWidth="1"/>
    <col min="18" max="18" width="10.8515625" style="81" customWidth="1"/>
    <col min="19" max="19" width="11.00390625" style="64" customWidth="1"/>
    <col min="20" max="20" width="10.8515625" style="81" customWidth="1"/>
    <col min="21" max="21" width="11.00390625" style="32" bestFit="1" customWidth="1"/>
    <col min="22" max="22" width="10.8515625" style="32" bestFit="1" customWidth="1"/>
    <col min="23" max="36" width="9.140625" style="32" customWidth="1"/>
  </cols>
  <sheetData>
    <row r="1" spans="1:36" s="2" customFormat="1" ht="20.25">
      <c r="A1" s="50" t="s">
        <v>155</v>
      </c>
      <c r="B1" s="3"/>
      <c r="C1" s="3"/>
      <c r="D1"/>
      <c r="E1" s="64"/>
      <c r="F1" s="64"/>
      <c r="G1" s="64"/>
      <c r="H1" s="64"/>
      <c r="I1" s="64"/>
      <c r="J1" s="64"/>
      <c r="K1" s="64"/>
      <c r="L1" s="64"/>
      <c r="M1" s="81"/>
      <c r="N1" s="32"/>
      <c r="O1" s="64"/>
      <c r="P1" s="81"/>
      <c r="Q1" s="64"/>
      <c r="R1" s="81"/>
      <c r="S1" s="64"/>
      <c r="T1" s="81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s="2" customFormat="1" ht="15">
      <c r="A2" s="3"/>
      <c r="B2" s="3"/>
      <c r="C2" s="3"/>
      <c r="D2"/>
      <c r="E2" s="64"/>
      <c r="F2" s="64"/>
      <c r="G2" s="86"/>
      <c r="H2" s="87"/>
      <c r="I2" s="86"/>
      <c r="J2" s="86"/>
      <c r="K2" s="86"/>
      <c r="L2" s="64"/>
      <c r="M2" s="81"/>
      <c r="N2" s="32"/>
      <c r="O2" s="64"/>
      <c r="P2" s="81"/>
      <c r="Q2" s="64"/>
      <c r="R2" s="81"/>
      <c r="S2" s="64"/>
      <c r="T2" s="81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s="2" customFormat="1" ht="21.75">
      <c r="A3" s="5"/>
      <c r="B3" s="5"/>
      <c r="C3" s="5"/>
      <c r="D3"/>
      <c r="E3" s="64"/>
      <c r="F3" s="64"/>
      <c r="G3" s="86"/>
      <c r="H3" s="87"/>
      <c r="I3" s="88"/>
      <c r="J3" s="88"/>
      <c r="K3" s="88"/>
      <c r="L3" s="89"/>
      <c r="M3" s="90"/>
      <c r="N3" s="32"/>
      <c r="O3" s="65"/>
      <c r="P3" s="81"/>
      <c r="Q3" s="65"/>
      <c r="R3" s="81"/>
      <c r="S3" s="65"/>
      <c r="T3" s="81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s="2" customFormat="1" ht="12.75">
      <c r="A4" s="5"/>
      <c r="B4" s="5"/>
      <c r="C4" s="5"/>
      <c r="D4"/>
      <c r="E4" s="64"/>
      <c r="F4" s="64"/>
      <c r="G4" s="64"/>
      <c r="H4" s="64"/>
      <c r="I4" s="64"/>
      <c r="J4" s="64"/>
      <c r="K4" s="64"/>
      <c r="L4" s="64"/>
      <c r="M4" s="81"/>
      <c r="N4" s="32"/>
      <c r="O4" s="64"/>
      <c r="P4" s="81"/>
      <c r="Q4" s="64"/>
      <c r="R4" s="81"/>
      <c r="S4" s="64"/>
      <c r="T4" s="81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36" s="2" customFormat="1" ht="12.75">
      <c r="A5" s="52" t="s">
        <v>114</v>
      </c>
      <c r="B5" s="52"/>
      <c r="C5" s="7"/>
      <c r="D5"/>
      <c r="E5" s="64"/>
      <c r="F5" s="64"/>
      <c r="G5" s="64"/>
      <c r="H5" s="64"/>
      <c r="I5" s="64"/>
      <c r="J5" s="64"/>
      <c r="K5" s="64"/>
      <c r="L5" s="64"/>
      <c r="M5" s="81"/>
      <c r="N5" s="32"/>
      <c r="O5" s="64"/>
      <c r="P5" s="81"/>
      <c r="Q5" s="64"/>
      <c r="R5" s="81"/>
      <c r="S5" s="64"/>
      <c r="T5" s="81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6" s="2" customFormat="1" ht="12.75">
      <c r="A6" s="8"/>
      <c r="B6" s="12"/>
      <c r="C6" s="8"/>
      <c r="D6"/>
      <c r="E6" s="117">
        <v>1998</v>
      </c>
      <c r="F6" s="118"/>
      <c r="G6" s="117">
        <v>1999</v>
      </c>
      <c r="H6" s="118"/>
      <c r="I6" s="117">
        <v>2000</v>
      </c>
      <c r="J6" s="118"/>
      <c r="K6" s="117">
        <v>2001</v>
      </c>
      <c r="L6" s="119"/>
      <c r="M6" s="117">
        <v>2002</v>
      </c>
      <c r="N6" s="119"/>
      <c r="O6" s="117">
        <v>2003</v>
      </c>
      <c r="P6" s="119"/>
      <c r="Q6" s="117">
        <v>2004</v>
      </c>
      <c r="R6" s="119"/>
      <c r="S6" s="117">
        <v>2005</v>
      </c>
      <c r="T6" s="119"/>
      <c r="U6" s="117">
        <v>2006</v>
      </c>
      <c r="V6" s="119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s="2" customFormat="1" ht="12.75">
      <c r="A7" s="8"/>
      <c r="B7" s="8"/>
      <c r="C7" s="8"/>
      <c r="D7"/>
      <c r="E7" s="91" t="s">
        <v>53</v>
      </c>
      <c r="F7" s="92"/>
      <c r="G7" s="91" t="s">
        <v>53</v>
      </c>
      <c r="H7" s="92"/>
      <c r="I7" s="91" t="s">
        <v>53</v>
      </c>
      <c r="J7" s="92"/>
      <c r="K7" s="91" t="s">
        <v>53</v>
      </c>
      <c r="L7" s="92"/>
      <c r="M7" s="91" t="s">
        <v>53</v>
      </c>
      <c r="N7" s="92"/>
      <c r="O7" s="91" t="s">
        <v>53</v>
      </c>
      <c r="P7" s="92"/>
      <c r="Q7" s="91" t="s">
        <v>53</v>
      </c>
      <c r="R7" s="92"/>
      <c r="S7" s="91" t="s">
        <v>53</v>
      </c>
      <c r="T7" s="92"/>
      <c r="U7" s="91" t="s">
        <v>53</v>
      </c>
      <c r="V7" s="9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s="2" customFormat="1" ht="12.75">
      <c r="A8" s="8"/>
      <c r="B8" s="8"/>
      <c r="C8" s="8"/>
      <c r="D8"/>
      <c r="E8" s="66" t="s">
        <v>49</v>
      </c>
      <c r="F8" s="66" t="s">
        <v>113</v>
      </c>
      <c r="G8" s="66" t="s">
        <v>49</v>
      </c>
      <c r="H8" s="66" t="s">
        <v>113</v>
      </c>
      <c r="I8" s="66" t="s">
        <v>49</v>
      </c>
      <c r="J8" s="66" t="s">
        <v>113</v>
      </c>
      <c r="K8" s="66" t="s">
        <v>49</v>
      </c>
      <c r="L8" s="66" t="s">
        <v>113</v>
      </c>
      <c r="M8" s="91" t="s">
        <v>49</v>
      </c>
      <c r="N8" s="92" t="s">
        <v>113</v>
      </c>
      <c r="O8" s="66" t="s">
        <v>49</v>
      </c>
      <c r="P8" s="66" t="s">
        <v>113</v>
      </c>
      <c r="Q8" s="66" t="s">
        <v>49</v>
      </c>
      <c r="R8" s="66" t="s">
        <v>113</v>
      </c>
      <c r="S8" s="66" t="s">
        <v>49</v>
      </c>
      <c r="T8" s="66" t="s">
        <v>113</v>
      </c>
      <c r="U8" s="66" t="s">
        <v>49</v>
      </c>
      <c r="V8" s="66" t="s">
        <v>113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s="2" customFormat="1" ht="12.75">
      <c r="A9" s="122" t="s">
        <v>0</v>
      </c>
      <c r="B9" s="123"/>
      <c r="C9" s="123"/>
      <c r="D9" s="21"/>
      <c r="E9" s="67">
        <f>SUM(E10:E11)</f>
        <v>5</v>
      </c>
      <c r="F9" s="67">
        <f aca="true" t="shared" si="0" ref="F9:V9">SUM(F10:F11)</f>
        <v>0</v>
      </c>
      <c r="G9" s="67">
        <f t="shared" si="0"/>
        <v>2</v>
      </c>
      <c r="H9" s="67">
        <f t="shared" si="0"/>
        <v>0</v>
      </c>
      <c r="I9" s="67">
        <f t="shared" si="0"/>
        <v>5</v>
      </c>
      <c r="J9" s="67">
        <f t="shared" si="0"/>
        <v>0</v>
      </c>
      <c r="K9" s="67">
        <f t="shared" si="0"/>
        <v>56</v>
      </c>
      <c r="L9" s="67">
        <f t="shared" si="0"/>
        <v>0</v>
      </c>
      <c r="M9" s="67">
        <f t="shared" si="0"/>
        <v>168</v>
      </c>
      <c r="N9" s="67">
        <f t="shared" si="0"/>
        <v>0</v>
      </c>
      <c r="O9" s="67">
        <f t="shared" si="0"/>
        <v>199</v>
      </c>
      <c r="P9" s="67">
        <f t="shared" si="0"/>
        <v>0</v>
      </c>
      <c r="Q9" s="67">
        <f t="shared" si="0"/>
        <v>86</v>
      </c>
      <c r="R9" s="67">
        <f t="shared" si="0"/>
        <v>0</v>
      </c>
      <c r="S9" s="67">
        <f t="shared" si="0"/>
        <v>57</v>
      </c>
      <c r="T9" s="67">
        <f t="shared" si="0"/>
        <v>0</v>
      </c>
      <c r="U9" s="67">
        <f t="shared" si="0"/>
        <v>8</v>
      </c>
      <c r="V9" s="67">
        <f t="shared" si="0"/>
        <v>0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s="2" customFormat="1" ht="12.75">
      <c r="A10" s="9"/>
      <c r="B10" s="6" t="s">
        <v>160</v>
      </c>
      <c r="C10" s="20"/>
      <c r="D10" s="20"/>
      <c r="E10" s="56">
        <v>5</v>
      </c>
      <c r="F10" s="54"/>
      <c r="G10" s="56">
        <v>2</v>
      </c>
      <c r="H10" s="54"/>
      <c r="I10" s="56">
        <f>ROUND((10/1936.27)*1000,0)</f>
        <v>5</v>
      </c>
      <c r="J10" s="54"/>
      <c r="K10" s="56">
        <v>56</v>
      </c>
      <c r="L10" s="54"/>
      <c r="M10" s="56">
        <f>80+88</f>
        <v>168</v>
      </c>
      <c r="N10" s="54"/>
      <c r="O10" s="56">
        <f>44+155</f>
        <v>199</v>
      </c>
      <c r="P10" s="54"/>
      <c r="Q10" s="56">
        <f>31+55</f>
        <v>86</v>
      </c>
      <c r="R10" s="54"/>
      <c r="S10" s="56">
        <v>57</v>
      </c>
      <c r="T10" s="54"/>
      <c r="U10" s="56">
        <v>8</v>
      </c>
      <c r="V10" s="5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s="2" customFormat="1" ht="12.75">
      <c r="A11" s="29"/>
      <c r="B11" s="24" t="s">
        <v>161</v>
      </c>
      <c r="C11" s="24"/>
      <c r="E11" s="53"/>
      <c r="F11" s="49"/>
      <c r="G11" s="53"/>
      <c r="H11" s="49"/>
      <c r="I11" s="56"/>
      <c r="J11" s="49"/>
      <c r="K11" s="53"/>
      <c r="L11" s="49"/>
      <c r="M11" s="53"/>
      <c r="N11" s="49"/>
      <c r="O11" s="53"/>
      <c r="P11" s="49"/>
      <c r="Q11" s="53"/>
      <c r="R11" s="49"/>
      <c r="S11" s="53"/>
      <c r="T11" s="49"/>
      <c r="U11" s="53"/>
      <c r="V11" s="49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s="2" customFormat="1" ht="12.75">
      <c r="A12" s="173" t="s">
        <v>162</v>
      </c>
      <c r="B12" s="126"/>
      <c r="C12" s="126"/>
      <c r="D12" s="160"/>
      <c r="E12" s="161">
        <f>+E13+E19+E20+E21</f>
        <v>2791</v>
      </c>
      <c r="F12" s="161">
        <f aca="true" t="shared" si="1" ref="F12:V12">+F13+F19+F20+F21</f>
        <v>849</v>
      </c>
      <c r="G12" s="161">
        <f t="shared" si="1"/>
        <v>4016</v>
      </c>
      <c r="H12" s="161">
        <f t="shared" si="1"/>
        <v>1708</v>
      </c>
      <c r="I12" s="161">
        <f t="shared" si="1"/>
        <v>4325</v>
      </c>
      <c r="J12" s="161">
        <f t="shared" si="1"/>
        <v>2047</v>
      </c>
      <c r="K12" s="161">
        <f t="shared" si="1"/>
        <v>5251</v>
      </c>
      <c r="L12" s="161">
        <f t="shared" si="1"/>
        <v>1561</v>
      </c>
      <c r="M12" s="161">
        <f t="shared" si="1"/>
        <v>5371</v>
      </c>
      <c r="N12" s="161">
        <f t="shared" si="1"/>
        <v>1581</v>
      </c>
      <c r="O12" s="161">
        <f t="shared" si="1"/>
        <v>5337</v>
      </c>
      <c r="P12" s="161">
        <f t="shared" si="1"/>
        <v>1488</v>
      </c>
      <c r="Q12" s="161">
        <f t="shared" si="1"/>
        <v>5645</v>
      </c>
      <c r="R12" s="161">
        <f t="shared" si="1"/>
        <v>1976</v>
      </c>
      <c r="S12" s="161">
        <f t="shared" si="1"/>
        <v>7263</v>
      </c>
      <c r="T12" s="161">
        <f t="shared" si="1"/>
        <v>4012</v>
      </c>
      <c r="U12" s="161">
        <f t="shared" si="1"/>
        <v>2440</v>
      </c>
      <c r="V12" s="161">
        <f t="shared" si="1"/>
        <v>509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s="2" customFormat="1" ht="12.75">
      <c r="A13" s="159" t="s">
        <v>159</v>
      </c>
      <c r="B13" s="125"/>
      <c r="C13" s="125"/>
      <c r="D13" s="22"/>
      <c r="E13" s="71">
        <f>SUM(E14:E18)</f>
        <v>2298</v>
      </c>
      <c r="F13" s="71">
        <f aca="true" t="shared" si="2" ref="F13:V13">SUM(F14:F18)</f>
        <v>849</v>
      </c>
      <c r="G13" s="71">
        <f t="shared" si="2"/>
        <v>3443</v>
      </c>
      <c r="H13" s="71">
        <f t="shared" si="2"/>
        <v>1708</v>
      </c>
      <c r="I13" s="71">
        <f t="shared" si="2"/>
        <v>3564</v>
      </c>
      <c r="J13" s="71">
        <f t="shared" si="2"/>
        <v>2047</v>
      </c>
      <c r="K13" s="71">
        <f t="shared" si="2"/>
        <v>3911</v>
      </c>
      <c r="L13" s="71">
        <f t="shared" si="2"/>
        <v>1561</v>
      </c>
      <c r="M13" s="71">
        <f t="shared" si="2"/>
        <v>4223</v>
      </c>
      <c r="N13" s="71">
        <f t="shared" si="2"/>
        <v>1581</v>
      </c>
      <c r="O13" s="71">
        <f t="shared" si="2"/>
        <v>4100</v>
      </c>
      <c r="P13" s="71">
        <f t="shared" si="2"/>
        <v>1488</v>
      </c>
      <c r="Q13" s="71">
        <f t="shared" si="2"/>
        <v>4288</v>
      </c>
      <c r="R13" s="71">
        <f t="shared" si="2"/>
        <v>1976</v>
      </c>
      <c r="S13" s="71">
        <f t="shared" si="2"/>
        <v>5871</v>
      </c>
      <c r="T13" s="71">
        <f t="shared" si="2"/>
        <v>4012</v>
      </c>
      <c r="U13" s="71">
        <f t="shared" si="2"/>
        <v>1313</v>
      </c>
      <c r="V13" s="71">
        <f t="shared" si="2"/>
        <v>479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s="2" customFormat="1" ht="12.75">
      <c r="A14" s="31"/>
      <c r="B14" s="24" t="s">
        <v>69</v>
      </c>
      <c r="C14" s="24"/>
      <c r="E14" s="53">
        <v>692</v>
      </c>
      <c r="F14" s="49"/>
      <c r="G14" s="47">
        <v>568</v>
      </c>
      <c r="H14" s="48"/>
      <c r="I14" s="56">
        <f>ROUND((976/1936.27)*1000,0)</f>
        <v>504</v>
      </c>
      <c r="J14" s="49"/>
      <c r="K14" s="53">
        <v>817</v>
      </c>
      <c r="L14" s="49"/>
      <c r="M14" s="53">
        <v>537</v>
      </c>
      <c r="N14" s="49"/>
      <c r="O14" s="53">
        <v>321</v>
      </c>
      <c r="P14" s="49"/>
      <c r="Q14" s="53">
        <v>186</v>
      </c>
      <c r="R14" s="49"/>
      <c r="S14" s="53">
        <v>25</v>
      </c>
      <c r="T14" s="49"/>
      <c r="U14" s="53">
        <v>25</v>
      </c>
      <c r="V14" s="49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s="2" customFormat="1" ht="12.75">
      <c r="A15" s="31"/>
      <c r="B15" s="23" t="s">
        <v>81</v>
      </c>
      <c r="C15" s="25"/>
      <c r="D15" s="35"/>
      <c r="E15" s="47">
        <f>213+656</f>
        <v>869</v>
      </c>
      <c r="F15" s="48">
        <f>2+620</f>
        <v>622</v>
      </c>
      <c r="G15" s="47">
        <f>334+1332</f>
        <v>1666</v>
      </c>
      <c r="H15" s="48">
        <f>109+1299</f>
        <v>1408</v>
      </c>
      <c r="I15" s="56">
        <v>1975</v>
      </c>
      <c r="J15" s="49">
        <v>1697</v>
      </c>
      <c r="K15" s="53">
        <v>1644</v>
      </c>
      <c r="L15" s="49">
        <v>1411</v>
      </c>
      <c r="M15" s="53">
        <v>1518</v>
      </c>
      <c r="N15" s="49">
        <v>1287</v>
      </c>
      <c r="O15" s="53">
        <v>1414</v>
      </c>
      <c r="P15" s="49">
        <v>1143</v>
      </c>
      <c r="Q15" s="53">
        <v>2053</v>
      </c>
      <c r="R15" s="49">
        <v>1819</v>
      </c>
      <c r="S15" s="53">
        <v>3886</v>
      </c>
      <c r="T15" s="49">
        <v>3661</v>
      </c>
      <c r="U15" s="53">
        <v>91</v>
      </c>
      <c r="V15" s="49">
        <v>57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s="26" customFormat="1" ht="12.75">
      <c r="A16" s="13"/>
      <c r="B16" s="10" t="s">
        <v>3</v>
      </c>
      <c r="C16" s="10"/>
      <c r="D16"/>
      <c r="E16" s="72"/>
      <c r="F16" s="85"/>
      <c r="G16" s="72">
        <v>135</v>
      </c>
      <c r="H16" s="85"/>
      <c r="I16" s="56">
        <f>ROUND((409/1936.27)*1000,0)</f>
        <v>211</v>
      </c>
      <c r="J16" s="54"/>
      <c r="K16" s="56">
        <v>382</v>
      </c>
      <c r="L16" s="54"/>
      <c r="M16" s="56">
        <v>234</v>
      </c>
      <c r="N16" s="54"/>
      <c r="O16" s="56">
        <v>442</v>
      </c>
      <c r="P16" s="54"/>
      <c r="Q16" s="56">
        <v>481</v>
      </c>
      <c r="R16" s="54"/>
      <c r="S16" s="56">
        <v>699</v>
      </c>
      <c r="T16" s="54">
        <v>100</v>
      </c>
      <c r="U16" s="56">
        <v>440</v>
      </c>
      <c r="V16" s="54">
        <v>15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s="26" customFormat="1" ht="12.75">
      <c r="A17" s="13"/>
      <c r="B17" s="10" t="s">
        <v>61</v>
      </c>
      <c r="C17" s="10"/>
      <c r="D17"/>
      <c r="E17" s="72"/>
      <c r="F17" s="85"/>
      <c r="G17" s="72"/>
      <c r="H17" s="85"/>
      <c r="I17" s="56"/>
      <c r="J17" s="54"/>
      <c r="K17" s="56"/>
      <c r="L17" s="54"/>
      <c r="M17" s="56">
        <v>214</v>
      </c>
      <c r="N17" s="54"/>
      <c r="O17" s="56">
        <v>195</v>
      </c>
      <c r="P17" s="54"/>
      <c r="Q17" s="56">
        <v>177</v>
      </c>
      <c r="R17" s="54"/>
      <c r="S17" s="56"/>
      <c r="T17" s="54"/>
      <c r="U17" s="56"/>
      <c r="V17" s="54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s="26" customFormat="1" ht="12.75">
      <c r="A18" s="13"/>
      <c r="B18" s="10" t="s">
        <v>119</v>
      </c>
      <c r="C18" s="10"/>
      <c r="D18"/>
      <c r="E18" s="72">
        <v>737</v>
      </c>
      <c r="F18" s="85">
        <v>227</v>
      </c>
      <c r="G18" s="72">
        <v>1074</v>
      </c>
      <c r="H18" s="85">
        <v>300</v>
      </c>
      <c r="I18" s="56">
        <v>874</v>
      </c>
      <c r="J18" s="54">
        <v>350</v>
      </c>
      <c r="K18" s="56">
        <v>1068</v>
      </c>
      <c r="L18" s="54">
        <v>150</v>
      </c>
      <c r="M18" s="56">
        <v>1720</v>
      </c>
      <c r="N18" s="54">
        <v>294</v>
      </c>
      <c r="O18" s="56">
        <v>1728</v>
      </c>
      <c r="P18" s="54">
        <v>345</v>
      </c>
      <c r="Q18" s="56">
        <v>1391</v>
      </c>
      <c r="R18" s="54">
        <v>157</v>
      </c>
      <c r="S18" s="56">
        <v>1261</v>
      </c>
      <c r="T18" s="54">
        <v>251</v>
      </c>
      <c r="U18" s="56">
        <v>757</v>
      </c>
      <c r="V18" s="54">
        <v>407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s="2" customFormat="1" ht="12.75">
      <c r="A19" s="122" t="s">
        <v>4</v>
      </c>
      <c r="B19" s="123"/>
      <c r="C19" s="123"/>
      <c r="D19" s="22"/>
      <c r="E19" s="70">
        <v>334</v>
      </c>
      <c r="F19" s="97">
        <v>0</v>
      </c>
      <c r="G19" s="84">
        <v>315</v>
      </c>
      <c r="H19" s="83">
        <v>0</v>
      </c>
      <c r="I19" s="84">
        <f>ROUND((699/1936.27)*1000,0)</f>
        <v>361</v>
      </c>
      <c r="J19" s="83">
        <v>0</v>
      </c>
      <c r="K19" s="70">
        <v>339</v>
      </c>
      <c r="L19" s="83">
        <v>0</v>
      </c>
      <c r="M19" s="70">
        <v>265</v>
      </c>
      <c r="N19" s="83">
        <v>0</v>
      </c>
      <c r="O19" s="70">
        <v>250</v>
      </c>
      <c r="P19" s="83">
        <v>0</v>
      </c>
      <c r="Q19" s="70">
        <v>359</v>
      </c>
      <c r="R19" s="83">
        <v>0</v>
      </c>
      <c r="S19" s="70">
        <v>378</v>
      </c>
      <c r="T19" s="83">
        <v>0</v>
      </c>
      <c r="U19" s="70">
        <v>310</v>
      </c>
      <c r="V19" s="8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s="2" customFormat="1" ht="12.75">
      <c r="A20" s="122" t="s">
        <v>118</v>
      </c>
      <c r="B20" s="123"/>
      <c r="C20" s="123"/>
      <c r="D20" s="22"/>
      <c r="E20" s="70">
        <v>159</v>
      </c>
      <c r="F20" s="97"/>
      <c r="G20" s="84">
        <v>258</v>
      </c>
      <c r="H20" s="83"/>
      <c r="I20" s="84">
        <f>ROUND((291/1936.27)*1000,0)</f>
        <v>150</v>
      </c>
      <c r="J20" s="83"/>
      <c r="K20" s="70">
        <v>127</v>
      </c>
      <c r="L20" s="83"/>
      <c r="M20" s="70">
        <v>73</v>
      </c>
      <c r="N20" s="83"/>
      <c r="O20" s="70">
        <v>71</v>
      </c>
      <c r="P20" s="83"/>
      <c r="Q20" s="70">
        <v>124</v>
      </c>
      <c r="R20" s="83"/>
      <c r="S20" s="70">
        <v>63</v>
      </c>
      <c r="T20" s="83"/>
      <c r="U20" s="70">
        <v>90</v>
      </c>
      <c r="V20" s="8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s="2" customFormat="1" ht="12.75">
      <c r="A21" s="122" t="s">
        <v>71</v>
      </c>
      <c r="B21" s="123"/>
      <c r="C21" s="123"/>
      <c r="D21" s="22"/>
      <c r="E21" s="70"/>
      <c r="F21" s="70"/>
      <c r="G21" s="84"/>
      <c r="H21" s="84"/>
      <c r="I21" s="84">
        <f>ROUND((484/1936.27)*1000,0)</f>
        <v>250</v>
      </c>
      <c r="J21" s="84">
        <v>0</v>
      </c>
      <c r="K21" s="70">
        <f>851+23</f>
        <v>874</v>
      </c>
      <c r="L21" s="84">
        <v>0</v>
      </c>
      <c r="M21" s="70">
        <v>810</v>
      </c>
      <c r="N21" s="84">
        <v>0</v>
      </c>
      <c r="O21" s="70">
        <v>916</v>
      </c>
      <c r="P21" s="84">
        <v>0</v>
      </c>
      <c r="Q21" s="70">
        <v>874</v>
      </c>
      <c r="R21" s="84">
        <v>0</v>
      </c>
      <c r="S21" s="70">
        <v>951</v>
      </c>
      <c r="T21" s="84">
        <v>0</v>
      </c>
      <c r="U21" s="70">
        <v>727</v>
      </c>
      <c r="V21" s="84">
        <v>30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s="2" customFormat="1" ht="12.75">
      <c r="A22" s="173" t="s">
        <v>163</v>
      </c>
      <c r="B22" s="126"/>
      <c r="C22" s="126"/>
      <c r="D22" s="160"/>
      <c r="E22" s="161">
        <f>+E23+E24+E25+E30+E33+E40+E44+E48+E49+E50</f>
        <v>12579</v>
      </c>
      <c r="F22" s="161">
        <f aca="true" t="shared" si="3" ref="F22:V22">+F23+F24+F25+F30+F33+F40+F44+F48+F49+F50</f>
        <v>44</v>
      </c>
      <c r="G22" s="161">
        <f t="shared" si="3"/>
        <v>12225</v>
      </c>
      <c r="H22" s="161">
        <f t="shared" si="3"/>
        <v>90</v>
      </c>
      <c r="I22" s="161">
        <f t="shared" si="3"/>
        <v>13218</v>
      </c>
      <c r="J22" s="161">
        <f t="shared" si="3"/>
        <v>89</v>
      </c>
      <c r="K22" s="161">
        <f t="shared" si="3"/>
        <v>12451</v>
      </c>
      <c r="L22" s="161">
        <f t="shared" si="3"/>
        <v>314.81800058876087</v>
      </c>
      <c r="M22" s="161">
        <f t="shared" si="3"/>
        <v>12268</v>
      </c>
      <c r="N22" s="161">
        <f t="shared" si="3"/>
        <v>648</v>
      </c>
      <c r="O22" s="161">
        <f t="shared" si="3"/>
        <v>11523</v>
      </c>
      <c r="P22" s="161">
        <f t="shared" si="3"/>
        <v>431</v>
      </c>
      <c r="Q22" s="161">
        <f t="shared" si="3"/>
        <v>11276</v>
      </c>
      <c r="R22" s="161">
        <f t="shared" si="3"/>
        <v>110</v>
      </c>
      <c r="S22" s="161">
        <f t="shared" si="3"/>
        <v>10374</v>
      </c>
      <c r="T22" s="161">
        <f t="shared" si="3"/>
        <v>72</v>
      </c>
      <c r="U22" s="161">
        <f t="shared" si="3"/>
        <v>7939</v>
      </c>
      <c r="V22" s="161">
        <f t="shared" si="3"/>
        <v>1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s="2" customFormat="1" ht="12.75">
      <c r="A23" s="124" t="s">
        <v>120</v>
      </c>
      <c r="B23" s="125"/>
      <c r="C23" s="125"/>
      <c r="D23" s="22"/>
      <c r="E23" s="163"/>
      <c r="F23" s="163"/>
      <c r="G23" s="164"/>
      <c r="H23" s="164"/>
      <c r="I23" s="164"/>
      <c r="J23" s="164"/>
      <c r="K23" s="163"/>
      <c r="L23" s="164"/>
      <c r="M23" s="163"/>
      <c r="N23" s="164"/>
      <c r="O23" s="163"/>
      <c r="P23" s="164"/>
      <c r="Q23" s="163">
        <v>7</v>
      </c>
      <c r="R23" s="164"/>
      <c r="S23" s="163">
        <v>6</v>
      </c>
      <c r="T23" s="164"/>
      <c r="U23" s="163">
        <v>5</v>
      </c>
      <c r="V23" s="164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s="2" customFormat="1" ht="12.75">
      <c r="A24" s="122" t="s">
        <v>70</v>
      </c>
      <c r="B24" s="123"/>
      <c r="C24" s="123"/>
      <c r="D24" s="22"/>
      <c r="E24" s="70">
        <v>278</v>
      </c>
      <c r="F24" s="70">
        <v>0</v>
      </c>
      <c r="G24" s="84">
        <v>315</v>
      </c>
      <c r="H24" s="84">
        <v>0</v>
      </c>
      <c r="I24" s="84">
        <f>ROUND((440/1936.27)*1000,0)</f>
        <v>227</v>
      </c>
      <c r="J24" s="84">
        <v>0</v>
      </c>
      <c r="K24" s="70">
        <v>239</v>
      </c>
      <c r="L24" s="84">
        <v>0</v>
      </c>
      <c r="M24" s="70">
        <v>280</v>
      </c>
      <c r="N24" s="84">
        <v>0</v>
      </c>
      <c r="O24" s="70">
        <v>265</v>
      </c>
      <c r="P24" s="84">
        <v>0</v>
      </c>
      <c r="Q24" s="70">
        <v>215</v>
      </c>
      <c r="R24" s="84">
        <v>0</v>
      </c>
      <c r="S24" s="70">
        <v>203</v>
      </c>
      <c r="T24" s="84">
        <v>0</v>
      </c>
      <c r="U24" s="70">
        <v>224</v>
      </c>
      <c r="V24" s="84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s="2" customFormat="1" ht="12.75">
      <c r="A25" s="130" t="s">
        <v>164</v>
      </c>
      <c r="B25" s="123"/>
      <c r="C25" s="123"/>
      <c r="D25" s="22"/>
      <c r="E25" s="71">
        <f>SUM(E26:E29)</f>
        <v>490</v>
      </c>
      <c r="F25" s="71">
        <f aca="true" t="shared" si="4" ref="F25:V25">SUM(F26:F29)</f>
        <v>0</v>
      </c>
      <c r="G25" s="71">
        <f t="shared" si="4"/>
        <v>500</v>
      </c>
      <c r="H25" s="71">
        <f t="shared" si="4"/>
        <v>41</v>
      </c>
      <c r="I25" s="71">
        <f t="shared" si="4"/>
        <v>235</v>
      </c>
      <c r="J25" s="71">
        <f t="shared" si="4"/>
        <v>0</v>
      </c>
      <c r="K25" s="71">
        <f t="shared" si="4"/>
        <v>225</v>
      </c>
      <c r="L25" s="71">
        <f t="shared" si="4"/>
        <v>0</v>
      </c>
      <c r="M25" s="71">
        <f t="shared" si="4"/>
        <v>182</v>
      </c>
      <c r="N25" s="71">
        <f t="shared" si="4"/>
        <v>0</v>
      </c>
      <c r="O25" s="71">
        <f t="shared" si="4"/>
        <v>188</v>
      </c>
      <c r="P25" s="71">
        <f t="shared" si="4"/>
        <v>0</v>
      </c>
      <c r="Q25" s="71">
        <f t="shared" si="4"/>
        <v>143</v>
      </c>
      <c r="R25" s="71">
        <f t="shared" si="4"/>
        <v>0</v>
      </c>
      <c r="S25" s="71">
        <f t="shared" si="4"/>
        <v>89</v>
      </c>
      <c r="T25" s="71">
        <f t="shared" si="4"/>
        <v>0</v>
      </c>
      <c r="U25" s="71">
        <f t="shared" si="4"/>
        <v>48</v>
      </c>
      <c r="V25" s="71">
        <f t="shared" si="4"/>
        <v>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s="2" customFormat="1" ht="12.75">
      <c r="A26" s="29"/>
      <c r="B26" s="24" t="s">
        <v>6</v>
      </c>
      <c r="C26" s="24"/>
      <c r="E26" s="53">
        <v>154</v>
      </c>
      <c r="F26" s="49"/>
      <c r="G26" s="53">
        <v>200</v>
      </c>
      <c r="H26" s="49"/>
      <c r="I26" s="56">
        <f>ROUND((153/1936.27)*1000,0)</f>
        <v>79</v>
      </c>
      <c r="J26" s="49"/>
      <c r="K26" s="53">
        <v>98</v>
      </c>
      <c r="L26" s="49"/>
      <c r="M26" s="53">
        <v>66</v>
      </c>
      <c r="N26" s="49"/>
      <c r="O26" s="53">
        <v>57</v>
      </c>
      <c r="P26" s="49"/>
      <c r="Q26" s="53">
        <v>60</v>
      </c>
      <c r="R26" s="49"/>
      <c r="S26" s="53">
        <v>33</v>
      </c>
      <c r="T26" s="49"/>
      <c r="U26" s="53">
        <v>25</v>
      </c>
      <c r="V26" s="49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s="2" customFormat="1" ht="12.75">
      <c r="A27" s="29"/>
      <c r="B27" s="25" t="s">
        <v>7</v>
      </c>
      <c r="C27" s="24"/>
      <c r="E27" s="68">
        <v>10</v>
      </c>
      <c r="F27" s="98"/>
      <c r="G27" s="68">
        <v>65</v>
      </c>
      <c r="H27" s="98">
        <v>41</v>
      </c>
      <c r="I27" s="99">
        <f>ROUND((45/1936.27)*1000,0)</f>
        <v>23</v>
      </c>
      <c r="J27" s="49"/>
      <c r="K27" s="53"/>
      <c r="L27" s="49"/>
      <c r="M27" s="53"/>
      <c r="N27" s="49"/>
      <c r="O27" s="53"/>
      <c r="P27" s="49"/>
      <c r="Q27" s="53"/>
      <c r="R27" s="49"/>
      <c r="S27" s="53"/>
      <c r="T27" s="49"/>
      <c r="U27" s="53"/>
      <c r="V27" s="49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</row>
    <row r="28" spans="1:36" s="2" customFormat="1" ht="12.75">
      <c r="A28" s="29"/>
      <c r="B28" s="25" t="s">
        <v>72</v>
      </c>
      <c r="C28" s="25"/>
      <c r="D28" s="35"/>
      <c r="E28" s="68">
        <v>103</v>
      </c>
      <c r="F28" s="98"/>
      <c r="G28" s="68">
        <v>96</v>
      </c>
      <c r="H28" s="98"/>
      <c r="I28" s="99"/>
      <c r="J28" s="49"/>
      <c r="K28" s="68"/>
      <c r="L28" s="49"/>
      <c r="M28" s="68"/>
      <c r="N28" s="49"/>
      <c r="O28" s="68"/>
      <c r="P28" s="49"/>
      <c r="Q28" s="68"/>
      <c r="R28" s="49"/>
      <c r="S28" s="68"/>
      <c r="T28" s="49"/>
      <c r="U28" s="68"/>
      <c r="V28" s="49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s="2" customFormat="1" ht="12.75">
      <c r="A29" s="29"/>
      <c r="B29" s="24" t="s">
        <v>133</v>
      </c>
      <c r="C29" s="24"/>
      <c r="E29" s="53">
        <v>223</v>
      </c>
      <c r="F29" s="49"/>
      <c r="G29" s="53">
        <v>139</v>
      </c>
      <c r="H29" s="49"/>
      <c r="I29" s="56">
        <f>ROUND((258/1936.27)*1000,0)</f>
        <v>133</v>
      </c>
      <c r="J29" s="49"/>
      <c r="K29" s="53">
        <v>127</v>
      </c>
      <c r="L29" s="49"/>
      <c r="M29" s="53">
        <v>116</v>
      </c>
      <c r="N29" s="49"/>
      <c r="O29" s="53">
        <v>131</v>
      </c>
      <c r="P29" s="49"/>
      <c r="Q29" s="53">
        <v>83</v>
      </c>
      <c r="R29" s="49"/>
      <c r="S29" s="53">
        <v>56</v>
      </c>
      <c r="T29" s="49"/>
      <c r="U29" s="53">
        <v>23</v>
      </c>
      <c r="V29" s="49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s="2" customFormat="1" ht="12.75">
      <c r="A30" s="130" t="s">
        <v>166</v>
      </c>
      <c r="B30" s="123"/>
      <c r="C30" s="123"/>
      <c r="D30" s="22"/>
      <c r="E30" s="67">
        <f>SUM(E31:E32)</f>
        <v>44</v>
      </c>
      <c r="F30" s="67">
        <f aca="true" t="shared" si="5" ref="F30:P30">SUM(F31:F32)</f>
        <v>0</v>
      </c>
      <c r="G30" s="67">
        <f t="shared" si="5"/>
        <v>46</v>
      </c>
      <c r="H30" s="67">
        <f t="shared" si="5"/>
        <v>0</v>
      </c>
      <c r="I30" s="67">
        <f t="shared" si="5"/>
        <v>46</v>
      </c>
      <c r="J30" s="67">
        <f t="shared" si="5"/>
        <v>0</v>
      </c>
      <c r="K30" s="67">
        <f t="shared" si="5"/>
        <v>30</v>
      </c>
      <c r="L30" s="67">
        <f t="shared" si="5"/>
        <v>0</v>
      </c>
      <c r="M30" s="67">
        <f t="shared" si="5"/>
        <v>4</v>
      </c>
      <c r="N30" s="67">
        <f t="shared" si="5"/>
        <v>0</v>
      </c>
      <c r="O30" s="67">
        <f t="shared" si="5"/>
        <v>26</v>
      </c>
      <c r="P30" s="67">
        <f t="shared" si="5"/>
        <v>0</v>
      </c>
      <c r="Q30" s="67">
        <f aca="true" t="shared" si="6" ref="Q30:V30">SUM(Q31:Q32)</f>
        <v>39</v>
      </c>
      <c r="R30" s="67">
        <f t="shared" si="6"/>
        <v>0</v>
      </c>
      <c r="S30" s="67">
        <f t="shared" si="6"/>
        <v>65</v>
      </c>
      <c r="T30" s="67">
        <f t="shared" si="6"/>
        <v>0</v>
      </c>
      <c r="U30" s="67">
        <f t="shared" si="6"/>
        <v>105</v>
      </c>
      <c r="V30" s="67">
        <f t="shared" si="6"/>
        <v>0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s="2" customFormat="1" ht="12.75">
      <c r="A31" s="27"/>
      <c r="B31" s="24" t="s">
        <v>8</v>
      </c>
      <c r="C31" s="28"/>
      <c r="E31" s="53">
        <v>44</v>
      </c>
      <c r="F31" s="49"/>
      <c r="G31" s="47">
        <v>46</v>
      </c>
      <c r="H31" s="48"/>
      <c r="I31" s="56">
        <f>ROUND((90/1936.27)*1000,0)</f>
        <v>46</v>
      </c>
      <c r="J31" s="49"/>
      <c r="K31" s="53">
        <v>30</v>
      </c>
      <c r="L31" s="49"/>
      <c r="M31" s="53">
        <v>4</v>
      </c>
      <c r="N31" s="49"/>
      <c r="O31" s="53">
        <v>20</v>
      </c>
      <c r="P31" s="49"/>
      <c r="Q31" s="53"/>
      <c r="R31" s="49"/>
      <c r="S31" s="53"/>
      <c r="T31" s="49"/>
      <c r="U31" s="53"/>
      <c r="V31" s="49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s="2" customFormat="1" ht="12.75">
      <c r="A32" s="14"/>
      <c r="B32" s="10" t="s">
        <v>9</v>
      </c>
      <c r="C32" s="11"/>
      <c r="D32"/>
      <c r="E32" s="73"/>
      <c r="F32" s="96"/>
      <c r="G32" s="73"/>
      <c r="H32" s="96"/>
      <c r="I32" s="69"/>
      <c r="J32" s="82"/>
      <c r="K32" s="69">
        <v>0</v>
      </c>
      <c r="L32" s="82"/>
      <c r="M32" s="69"/>
      <c r="N32" s="82"/>
      <c r="O32" s="69">
        <v>6</v>
      </c>
      <c r="P32" s="82"/>
      <c r="Q32" s="69">
        <v>39</v>
      </c>
      <c r="R32" s="82"/>
      <c r="S32" s="69">
        <v>65</v>
      </c>
      <c r="T32" s="82"/>
      <c r="U32" s="69">
        <v>105</v>
      </c>
      <c r="V32" s="8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s="2" customFormat="1" ht="12.75">
      <c r="A33" s="122" t="s">
        <v>15</v>
      </c>
      <c r="B33" s="123"/>
      <c r="C33" s="123"/>
      <c r="D33" s="22"/>
      <c r="E33" s="71">
        <f>SUM(E34:E39)</f>
        <v>1120</v>
      </c>
      <c r="F33" s="71">
        <f aca="true" t="shared" si="7" ref="F33:V33">SUM(F34:F39)</f>
        <v>0</v>
      </c>
      <c r="G33" s="71">
        <f t="shared" si="7"/>
        <v>1240</v>
      </c>
      <c r="H33" s="71">
        <f t="shared" si="7"/>
        <v>0</v>
      </c>
      <c r="I33" s="71">
        <f t="shared" si="7"/>
        <v>1008</v>
      </c>
      <c r="J33" s="71">
        <f t="shared" si="7"/>
        <v>0</v>
      </c>
      <c r="K33" s="71">
        <f t="shared" si="7"/>
        <v>1045</v>
      </c>
      <c r="L33" s="71">
        <f t="shared" si="7"/>
        <v>0</v>
      </c>
      <c r="M33" s="71">
        <f t="shared" si="7"/>
        <v>1041</v>
      </c>
      <c r="N33" s="71">
        <f t="shared" si="7"/>
        <v>0</v>
      </c>
      <c r="O33" s="71">
        <f t="shared" si="7"/>
        <v>962</v>
      </c>
      <c r="P33" s="71">
        <f t="shared" si="7"/>
        <v>0</v>
      </c>
      <c r="Q33" s="71">
        <f t="shared" si="7"/>
        <v>879</v>
      </c>
      <c r="R33" s="71">
        <f t="shared" si="7"/>
        <v>0</v>
      </c>
      <c r="S33" s="71">
        <f t="shared" si="7"/>
        <v>946</v>
      </c>
      <c r="T33" s="71">
        <f t="shared" si="7"/>
        <v>0</v>
      </c>
      <c r="U33" s="71">
        <f t="shared" si="7"/>
        <v>435</v>
      </c>
      <c r="V33" s="71">
        <f t="shared" si="7"/>
        <v>0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s="2" customFormat="1" ht="12.75">
      <c r="A34" s="29"/>
      <c r="B34" s="24" t="s">
        <v>6</v>
      </c>
      <c r="C34" s="24"/>
      <c r="E34" s="53">
        <v>382</v>
      </c>
      <c r="F34" s="49"/>
      <c r="G34" s="47">
        <f>445</f>
        <v>445</v>
      </c>
      <c r="H34" s="48"/>
      <c r="I34" s="56">
        <f>ROUND((515/1936.27)*1000,0)</f>
        <v>266</v>
      </c>
      <c r="J34" s="49"/>
      <c r="K34" s="47">
        <v>224</v>
      </c>
      <c r="L34" s="49"/>
      <c r="M34" s="47">
        <v>315</v>
      </c>
      <c r="N34" s="49"/>
      <c r="O34" s="47">
        <v>419</v>
      </c>
      <c r="P34" s="49"/>
      <c r="Q34" s="47">
        <v>101</v>
      </c>
      <c r="R34" s="49"/>
      <c r="S34" s="47">
        <v>368</v>
      </c>
      <c r="T34" s="49"/>
      <c r="U34" s="47">
        <v>51</v>
      </c>
      <c r="V34" s="49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s="2" customFormat="1" ht="12.75">
      <c r="A35" s="29"/>
      <c r="B35" s="24" t="s">
        <v>16</v>
      </c>
      <c r="C35" s="24"/>
      <c r="E35" s="47">
        <v>28</v>
      </c>
      <c r="F35" s="48"/>
      <c r="G35" s="47">
        <v>5</v>
      </c>
      <c r="H35" s="48"/>
      <c r="I35" s="56">
        <f>ROUND((20/1936.27)*1000,0)</f>
        <v>10</v>
      </c>
      <c r="J35" s="49"/>
      <c r="K35" s="47">
        <v>23</v>
      </c>
      <c r="L35" s="49"/>
      <c r="M35" s="47">
        <v>145</v>
      </c>
      <c r="N35" s="49"/>
      <c r="O35" s="47">
        <v>130</v>
      </c>
      <c r="P35" s="49"/>
      <c r="Q35" s="47">
        <v>165</v>
      </c>
      <c r="R35" s="49"/>
      <c r="S35" s="47">
        <v>109</v>
      </c>
      <c r="T35" s="49"/>
      <c r="U35" s="47">
        <v>37</v>
      </c>
      <c r="V35" s="49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6" s="2" customFormat="1" ht="12.75">
      <c r="A36" s="29"/>
      <c r="B36" s="24" t="s">
        <v>156</v>
      </c>
      <c r="C36" s="24"/>
      <c r="E36" s="47">
        <v>83</v>
      </c>
      <c r="F36" s="48"/>
      <c r="G36" s="47">
        <v>60</v>
      </c>
      <c r="H36" s="48"/>
      <c r="I36" s="56">
        <f>ROUND((80/1936.27)*1000,0)</f>
        <v>41</v>
      </c>
      <c r="J36" s="49"/>
      <c r="K36" s="47">
        <v>0</v>
      </c>
      <c r="L36" s="49"/>
      <c r="M36" s="47"/>
      <c r="N36" s="49"/>
      <c r="O36" s="47"/>
      <c r="P36" s="49"/>
      <c r="Q36" s="47"/>
      <c r="R36" s="49"/>
      <c r="S36" s="47">
        <v>12</v>
      </c>
      <c r="T36" s="49"/>
      <c r="U36" s="47">
        <v>13</v>
      </c>
      <c r="V36" s="49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s="2" customFormat="1" ht="12.75">
      <c r="A37" s="29"/>
      <c r="B37" s="24" t="s">
        <v>131</v>
      </c>
      <c r="C37" s="24"/>
      <c r="E37" s="47">
        <v>305</v>
      </c>
      <c r="F37" s="48"/>
      <c r="G37" s="47">
        <v>336</v>
      </c>
      <c r="H37" s="48"/>
      <c r="I37" s="56">
        <f>ROUND((710/1936.27)*1000,0)</f>
        <v>367</v>
      </c>
      <c r="J37" s="49"/>
      <c r="K37" s="47">
        <v>506</v>
      </c>
      <c r="L37" s="49"/>
      <c r="M37" s="47">
        <v>478</v>
      </c>
      <c r="N37" s="49"/>
      <c r="O37" s="47">
        <v>400</v>
      </c>
      <c r="P37" s="49"/>
      <c r="Q37" s="47">
        <v>394</v>
      </c>
      <c r="R37" s="49"/>
      <c r="S37" s="47">
        <v>258</v>
      </c>
      <c r="T37" s="49"/>
      <c r="U37" s="47">
        <v>182</v>
      </c>
      <c r="V37" s="49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s="2" customFormat="1" ht="12.75">
      <c r="A38" s="29"/>
      <c r="B38" s="24" t="s">
        <v>157</v>
      </c>
      <c r="C38" s="24"/>
      <c r="E38" s="47">
        <v>202</v>
      </c>
      <c r="F38" s="48"/>
      <c r="G38" s="47">
        <v>270</v>
      </c>
      <c r="H38" s="48"/>
      <c r="I38" s="56">
        <f>ROUND((487/1936.27)*1000,0)</f>
        <v>252</v>
      </c>
      <c r="J38" s="49"/>
      <c r="K38" s="47">
        <v>241</v>
      </c>
      <c r="L38" s="49"/>
      <c r="M38" s="47">
        <v>42</v>
      </c>
      <c r="N38" s="49"/>
      <c r="O38" s="47">
        <v>13</v>
      </c>
      <c r="P38" s="49"/>
      <c r="Q38" s="47">
        <v>219</v>
      </c>
      <c r="R38" s="49"/>
      <c r="S38" s="47">
        <v>199</v>
      </c>
      <c r="T38" s="49"/>
      <c r="U38" s="47">
        <v>152</v>
      </c>
      <c r="V38" s="49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s="2" customFormat="1" ht="12.75">
      <c r="A39" s="121"/>
      <c r="B39" s="58" t="s">
        <v>63</v>
      </c>
      <c r="C39" s="58"/>
      <c r="D39" s="35"/>
      <c r="E39" s="93">
        <v>120</v>
      </c>
      <c r="F39" s="94">
        <v>0</v>
      </c>
      <c r="G39" s="93">
        <v>124</v>
      </c>
      <c r="H39" s="94">
        <v>0</v>
      </c>
      <c r="I39" s="93">
        <f>ROUND((140/1936.27)*1000,0)</f>
        <v>72</v>
      </c>
      <c r="J39" s="94">
        <v>0</v>
      </c>
      <c r="K39" s="99">
        <v>51</v>
      </c>
      <c r="L39" s="98">
        <v>0</v>
      </c>
      <c r="M39" s="99">
        <v>61</v>
      </c>
      <c r="N39" s="98"/>
      <c r="O39" s="99"/>
      <c r="P39" s="98"/>
      <c r="Q39" s="99"/>
      <c r="R39" s="98"/>
      <c r="S39" s="99"/>
      <c r="T39" s="98"/>
      <c r="U39" s="99"/>
      <c r="V39" s="98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s="2" customFormat="1" ht="12.75">
      <c r="A40" s="122" t="s">
        <v>64</v>
      </c>
      <c r="B40" s="123"/>
      <c r="C40" s="123"/>
      <c r="D40" s="22"/>
      <c r="E40" s="67">
        <f>SUM(E41:E43)</f>
        <v>80</v>
      </c>
      <c r="F40" s="67">
        <f aca="true" t="shared" si="8" ref="F40:P40">SUM(F41:F43)</f>
        <v>0</v>
      </c>
      <c r="G40" s="67">
        <f t="shared" si="8"/>
        <v>89</v>
      </c>
      <c r="H40" s="67">
        <f t="shared" si="8"/>
        <v>0</v>
      </c>
      <c r="I40" s="67">
        <f t="shared" si="8"/>
        <v>116</v>
      </c>
      <c r="J40" s="67">
        <f t="shared" si="8"/>
        <v>0</v>
      </c>
      <c r="K40" s="67">
        <f t="shared" si="8"/>
        <v>80</v>
      </c>
      <c r="L40" s="67">
        <f t="shared" si="8"/>
        <v>0</v>
      </c>
      <c r="M40" s="67">
        <f t="shared" si="8"/>
        <v>107</v>
      </c>
      <c r="N40" s="67">
        <f t="shared" si="8"/>
        <v>0</v>
      </c>
      <c r="O40" s="67">
        <f t="shared" si="8"/>
        <v>58</v>
      </c>
      <c r="P40" s="67">
        <f t="shared" si="8"/>
        <v>0</v>
      </c>
      <c r="Q40" s="67">
        <f aca="true" t="shared" si="9" ref="Q40:V40">SUM(Q41:Q43)</f>
        <v>46</v>
      </c>
      <c r="R40" s="67">
        <f t="shared" si="9"/>
        <v>0</v>
      </c>
      <c r="S40" s="67">
        <f t="shared" si="9"/>
        <v>54</v>
      </c>
      <c r="T40" s="67">
        <f t="shared" si="9"/>
        <v>0</v>
      </c>
      <c r="U40" s="67">
        <f t="shared" si="9"/>
        <v>33</v>
      </c>
      <c r="V40" s="67">
        <f t="shared" si="9"/>
        <v>0</v>
      </c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36" s="2" customFormat="1" ht="12.75">
      <c r="A41" s="9"/>
      <c r="B41" s="10" t="s">
        <v>6</v>
      </c>
      <c r="C41" s="11"/>
      <c r="D41"/>
      <c r="E41" s="56">
        <v>80</v>
      </c>
      <c r="F41" s="54"/>
      <c r="G41" s="72">
        <v>89</v>
      </c>
      <c r="H41" s="85"/>
      <c r="I41" s="56">
        <f>ROUND((225/1936.27)*1000,0)</f>
        <v>116</v>
      </c>
      <c r="J41" s="54"/>
      <c r="K41" s="56">
        <v>80</v>
      </c>
      <c r="L41" s="54"/>
      <c r="M41" s="56">
        <v>107</v>
      </c>
      <c r="N41" s="54"/>
      <c r="O41" s="56">
        <v>58</v>
      </c>
      <c r="P41" s="54"/>
      <c r="Q41" s="56">
        <v>37</v>
      </c>
      <c r="R41" s="54"/>
      <c r="S41" s="56">
        <v>45</v>
      </c>
      <c r="T41" s="54"/>
      <c r="U41" s="56">
        <v>32</v>
      </c>
      <c r="V41" s="54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36" s="2" customFormat="1" ht="12.75">
      <c r="A42" s="9"/>
      <c r="B42" s="10" t="s">
        <v>86</v>
      </c>
      <c r="C42" s="11"/>
      <c r="D42"/>
      <c r="E42" s="72">
        <v>0</v>
      </c>
      <c r="F42" s="85"/>
      <c r="G42" s="72">
        <v>0</v>
      </c>
      <c r="H42" s="85"/>
      <c r="I42" s="56">
        <v>0</v>
      </c>
      <c r="J42" s="54"/>
      <c r="K42" s="72">
        <v>0</v>
      </c>
      <c r="L42" s="54"/>
      <c r="M42" s="72"/>
      <c r="N42" s="54"/>
      <c r="O42" s="72"/>
      <c r="P42" s="54"/>
      <c r="Q42" s="72">
        <v>7</v>
      </c>
      <c r="R42" s="54"/>
      <c r="S42" s="72">
        <v>2</v>
      </c>
      <c r="T42" s="54"/>
      <c r="U42" s="72"/>
      <c r="V42" s="54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s="2" customFormat="1" ht="12.75">
      <c r="A43" s="18"/>
      <c r="B43" s="17" t="s">
        <v>56</v>
      </c>
      <c r="C43" s="15"/>
      <c r="D43"/>
      <c r="E43" s="73">
        <v>0</v>
      </c>
      <c r="F43" s="96"/>
      <c r="G43" s="73">
        <v>0</v>
      </c>
      <c r="H43" s="96"/>
      <c r="I43" s="56">
        <v>0</v>
      </c>
      <c r="J43" s="82"/>
      <c r="K43" s="73">
        <v>0</v>
      </c>
      <c r="L43" s="82"/>
      <c r="M43" s="73"/>
      <c r="N43" s="82"/>
      <c r="O43" s="73"/>
      <c r="P43" s="82"/>
      <c r="Q43" s="73">
        <v>2</v>
      </c>
      <c r="R43" s="82"/>
      <c r="S43" s="73">
        <v>7</v>
      </c>
      <c r="T43" s="82"/>
      <c r="U43" s="73">
        <v>1</v>
      </c>
      <c r="V43" s="8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spans="1:36" s="2" customFormat="1" ht="12.75">
      <c r="A44" s="122" t="s">
        <v>73</v>
      </c>
      <c r="B44" s="123"/>
      <c r="C44" s="123"/>
      <c r="D44" s="22"/>
      <c r="E44" s="67">
        <f>SUM(E45:E47)</f>
        <v>8829</v>
      </c>
      <c r="F44" s="67">
        <f aca="true" t="shared" si="10" ref="F44:T44">SUM(F45:F47)</f>
        <v>0</v>
      </c>
      <c r="G44" s="67">
        <f t="shared" si="10"/>
        <v>7879</v>
      </c>
      <c r="H44" s="67">
        <f t="shared" si="10"/>
        <v>0</v>
      </c>
      <c r="I44" s="67">
        <f t="shared" si="10"/>
        <v>9104</v>
      </c>
      <c r="J44" s="67">
        <f t="shared" si="10"/>
        <v>0</v>
      </c>
      <c r="K44" s="67">
        <f t="shared" si="10"/>
        <v>8016</v>
      </c>
      <c r="L44" s="67">
        <f t="shared" si="10"/>
        <v>112.58760400150805</v>
      </c>
      <c r="M44" s="67">
        <f t="shared" si="10"/>
        <v>8513</v>
      </c>
      <c r="N44" s="67">
        <f t="shared" si="10"/>
        <v>620</v>
      </c>
      <c r="O44" s="67">
        <f t="shared" si="10"/>
        <v>8435</v>
      </c>
      <c r="P44" s="67">
        <f t="shared" si="10"/>
        <v>404</v>
      </c>
      <c r="Q44" s="67">
        <f t="shared" si="10"/>
        <v>8296</v>
      </c>
      <c r="R44" s="67">
        <f t="shared" si="10"/>
        <v>78</v>
      </c>
      <c r="S44" s="67">
        <f t="shared" si="10"/>
        <v>7639</v>
      </c>
      <c r="T44" s="67">
        <f t="shared" si="10"/>
        <v>20</v>
      </c>
      <c r="U44" s="67">
        <f>SUM(U45:U47)</f>
        <v>6189</v>
      </c>
      <c r="V44" s="67">
        <f>SUM(V45:V47)</f>
        <v>0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  <row r="45" spans="1:36" s="2" customFormat="1" ht="12.75">
      <c r="A45" s="29"/>
      <c r="B45" s="24" t="s">
        <v>8</v>
      </c>
      <c r="C45" s="24"/>
      <c r="E45" s="53">
        <v>52</v>
      </c>
      <c r="F45" s="49"/>
      <c r="G45" s="47">
        <v>50</v>
      </c>
      <c r="H45" s="48"/>
      <c r="I45" s="56">
        <f>ROUND((100/1936.27)*1000,0)</f>
        <v>52</v>
      </c>
      <c r="J45" s="49"/>
      <c r="K45" s="47">
        <v>40</v>
      </c>
      <c r="L45" s="49"/>
      <c r="M45" s="47">
        <v>174</v>
      </c>
      <c r="N45" s="49"/>
      <c r="O45" s="47">
        <v>167</v>
      </c>
      <c r="P45" s="49"/>
      <c r="Q45" s="47">
        <v>531</v>
      </c>
      <c r="R45" s="49"/>
      <c r="S45" s="47">
        <v>174</v>
      </c>
      <c r="T45" s="49"/>
      <c r="U45" s="47">
        <v>68</v>
      </c>
      <c r="V45" s="49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</row>
    <row r="46" spans="1:36" s="2" customFormat="1" ht="12.75">
      <c r="A46" s="29"/>
      <c r="B46" s="24" t="s">
        <v>65</v>
      </c>
      <c r="C46" s="24"/>
      <c r="E46" s="53">
        <v>3040</v>
      </c>
      <c r="F46" s="49"/>
      <c r="G46" s="47">
        <v>2927</v>
      </c>
      <c r="H46" s="48"/>
      <c r="I46" s="56">
        <f>ROUND((6324/1936.27)*1000,0)</f>
        <v>3266</v>
      </c>
      <c r="J46" s="49"/>
      <c r="K46" s="47">
        <v>2383</v>
      </c>
      <c r="L46" s="49"/>
      <c r="M46" s="47">
        <v>2614</v>
      </c>
      <c r="N46" s="49"/>
      <c r="O46" s="47">
        <v>2781</v>
      </c>
      <c r="P46" s="49"/>
      <c r="Q46" s="47">
        <v>2552</v>
      </c>
      <c r="R46" s="49"/>
      <c r="S46" s="47">
        <v>2974</v>
      </c>
      <c r="T46" s="49"/>
      <c r="U46" s="47">
        <v>3097</v>
      </c>
      <c r="V46" s="49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</row>
    <row r="47" spans="1:36" s="2" customFormat="1" ht="12.75">
      <c r="A47" s="29"/>
      <c r="B47" s="24" t="s">
        <v>17</v>
      </c>
      <c r="C47" s="24"/>
      <c r="E47" s="53">
        <v>5737</v>
      </c>
      <c r="F47" s="49"/>
      <c r="G47" s="47">
        <v>4902</v>
      </c>
      <c r="H47" s="48"/>
      <c r="I47" s="56">
        <f>ROUND((11203/1936.27)*1000,0)</f>
        <v>5786</v>
      </c>
      <c r="J47" s="49"/>
      <c r="K47" s="47">
        <v>5593</v>
      </c>
      <c r="L47" s="49">
        <f>218/1.93627</f>
        <v>112.58760400150805</v>
      </c>
      <c r="M47" s="47">
        <v>5725</v>
      </c>
      <c r="N47" s="49">
        <v>620</v>
      </c>
      <c r="O47" s="47">
        <v>5487</v>
      </c>
      <c r="P47" s="49">
        <v>404</v>
      </c>
      <c r="Q47" s="47">
        <v>5213</v>
      </c>
      <c r="R47" s="49">
        <v>78</v>
      </c>
      <c r="S47" s="47">
        <v>4491</v>
      </c>
      <c r="T47" s="49">
        <v>20</v>
      </c>
      <c r="U47" s="47">
        <v>3024</v>
      </c>
      <c r="V47" s="49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</row>
    <row r="48" spans="1:36" s="2" customFormat="1" ht="12.75">
      <c r="A48" s="130" t="s">
        <v>167</v>
      </c>
      <c r="B48" s="123"/>
      <c r="C48" s="123"/>
      <c r="D48" s="22"/>
      <c r="E48" s="70">
        <v>132</v>
      </c>
      <c r="F48" s="70"/>
      <c r="G48" s="84">
        <v>150</v>
      </c>
      <c r="H48" s="84"/>
      <c r="I48" s="84">
        <v>162</v>
      </c>
      <c r="J48" s="84"/>
      <c r="K48" s="70">
        <v>169</v>
      </c>
      <c r="L48" s="84"/>
      <c r="M48" s="70">
        <v>244</v>
      </c>
      <c r="N48" s="84"/>
      <c r="O48" s="70">
        <v>304</v>
      </c>
      <c r="P48" s="84"/>
      <c r="Q48" s="70">
        <v>227</v>
      </c>
      <c r="R48" s="84"/>
      <c r="S48" s="70">
        <v>246</v>
      </c>
      <c r="T48" s="84"/>
      <c r="U48" s="70">
        <v>146</v>
      </c>
      <c r="V48" s="84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</row>
    <row r="49" spans="1:36" s="26" customFormat="1" ht="12.75">
      <c r="A49" s="122" t="s">
        <v>165</v>
      </c>
      <c r="B49" s="123"/>
      <c r="C49" s="123"/>
      <c r="D49" s="22"/>
      <c r="E49" s="70">
        <v>232</v>
      </c>
      <c r="F49" s="70">
        <v>0</v>
      </c>
      <c r="G49" s="84">
        <v>540</v>
      </c>
      <c r="H49" s="84">
        <v>0</v>
      </c>
      <c r="I49" s="84">
        <f>ROUND((1872/1936.27)*1000,0)</f>
        <v>967</v>
      </c>
      <c r="J49" s="84">
        <f>ROUND(16000/1936.27,0)</f>
        <v>8</v>
      </c>
      <c r="K49" s="70">
        <v>876</v>
      </c>
      <c r="L49" s="84">
        <v>0</v>
      </c>
      <c r="M49" s="70">
        <v>816</v>
      </c>
      <c r="N49" s="84">
        <v>7</v>
      </c>
      <c r="O49" s="70">
        <v>402</v>
      </c>
      <c r="P49" s="84">
        <v>7</v>
      </c>
      <c r="Q49" s="70">
        <v>677</v>
      </c>
      <c r="R49" s="84">
        <v>9</v>
      </c>
      <c r="S49" s="70">
        <v>346</v>
      </c>
      <c r="T49" s="84"/>
      <c r="U49" s="70">
        <v>340</v>
      </c>
      <c r="V49" s="84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s="2" customFormat="1" ht="12.75">
      <c r="A50" s="130" t="s">
        <v>98</v>
      </c>
      <c r="B50" s="123"/>
      <c r="C50" s="123"/>
      <c r="D50" s="22"/>
      <c r="E50" s="67">
        <f aca="true" t="shared" si="11" ref="E50:T50">SUM(E51:E53)</f>
        <v>1374</v>
      </c>
      <c r="F50" s="67">
        <f t="shared" si="11"/>
        <v>44</v>
      </c>
      <c r="G50" s="67">
        <f t="shared" si="11"/>
        <v>1466</v>
      </c>
      <c r="H50" s="67">
        <f t="shared" si="11"/>
        <v>49</v>
      </c>
      <c r="I50" s="67">
        <f t="shared" si="11"/>
        <v>1353</v>
      </c>
      <c r="J50" s="67">
        <f t="shared" si="11"/>
        <v>81</v>
      </c>
      <c r="K50" s="67">
        <f t="shared" si="11"/>
        <v>1771</v>
      </c>
      <c r="L50" s="67">
        <f t="shared" si="11"/>
        <v>202.2303965872528</v>
      </c>
      <c r="M50" s="67">
        <f t="shared" si="11"/>
        <v>1081</v>
      </c>
      <c r="N50" s="67">
        <f t="shared" si="11"/>
        <v>21</v>
      </c>
      <c r="O50" s="67">
        <f t="shared" si="11"/>
        <v>883</v>
      </c>
      <c r="P50" s="67">
        <f t="shared" si="11"/>
        <v>20</v>
      </c>
      <c r="Q50" s="67">
        <f t="shared" si="11"/>
        <v>747</v>
      </c>
      <c r="R50" s="67">
        <f t="shared" si="11"/>
        <v>23</v>
      </c>
      <c r="S50" s="67">
        <f t="shared" si="11"/>
        <v>780</v>
      </c>
      <c r="T50" s="67">
        <f t="shared" si="11"/>
        <v>52</v>
      </c>
      <c r="U50" s="67">
        <f>SUM(U51:U53)</f>
        <v>414</v>
      </c>
      <c r="V50" s="67">
        <f>SUM(V51:V53)</f>
        <v>1</v>
      </c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</row>
    <row r="51" spans="1:36" s="2" customFormat="1" ht="12.75">
      <c r="A51" s="9"/>
      <c r="B51" s="10" t="s">
        <v>8</v>
      </c>
      <c r="D51"/>
      <c r="E51" s="56">
        <v>935</v>
      </c>
      <c r="F51" s="54">
        <v>44</v>
      </c>
      <c r="G51" s="72">
        <v>1152</v>
      </c>
      <c r="H51" s="85">
        <v>25</v>
      </c>
      <c r="I51" s="56">
        <v>604</v>
      </c>
      <c r="J51" s="54">
        <v>0</v>
      </c>
      <c r="K51" s="72">
        <v>559</v>
      </c>
      <c r="L51" s="54">
        <v>0</v>
      </c>
      <c r="M51" s="72">
        <v>33</v>
      </c>
      <c r="N51" s="54">
        <v>0</v>
      </c>
      <c r="O51" s="72">
        <v>5</v>
      </c>
      <c r="P51" s="54"/>
      <c r="Q51" s="72">
        <v>36</v>
      </c>
      <c r="R51" s="54"/>
      <c r="S51" s="72">
        <v>86</v>
      </c>
      <c r="T51" s="54"/>
      <c r="U51" s="72">
        <v>45</v>
      </c>
      <c r="V51" s="54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</row>
    <row r="52" spans="1:36" s="2" customFormat="1" ht="12.75">
      <c r="A52" s="9"/>
      <c r="B52" s="10" t="s">
        <v>107</v>
      </c>
      <c r="D52"/>
      <c r="E52" s="56">
        <v>0</v>
      </c>
      <c r="F52" s="54">
        <v>0</v>
      </c>
      <c r="G52" s="72">
        <v>24</v>
      </c>
      <c r="H52" s="85">
        <v>24</v>
      </c>
      <c r="I52" s="56">
        <v>572</v>
      </c>
      <c r="J52" s="54">
        <v>81</v>
      </c>
      <c r="K52" s="72">
        <v>897</v>
      </c>
      <c r="L52" s="54">
        <v>202.2303965872528</v>
      </c>
      <c r="M52" s="72">
        <v>730</v>
      </c>
      <c r="N52" s="54">
        <v>21</v>
      </c>
      <c r="O52" s="72">
        <v>607</v>
      </c>
      <c r="P52" s="54">
        <v>20</v>
      </c>
      <c r="Q52" s="72">
        <v>462</v>
      </c>
      <c r="R52" s="54">
        <v>23</v>
      </c>
      <c r="S52" s="72">
        <v>604</v>
      </c>
      <c r="T52" s="54">
        <v>52</v>
      </c>
      <c r="U52" s="72">
        <v>281</v>
      </c>
      <c r="V52" s="54">
        <v>1</v>
      </c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s="2" customFormat="1" ht="12.75">
      <c r="A53" s="31"/>
      <c r="B53" s="24" t="s">
        <v>2</v>
      </c>
      <c r="E53" s="47">
        <v>439</v>
      </c>
      <c r="F53" s="48"/>
      <c r="G53" s="47">
        <v>290</v>
      </c>
      <c r="H53" s="48"/>
      <c r="I53" s="56">
        <f>ROUND((342/1936.27)*1000,0)</f>
        <v>177</v>
      </c>
      <c r="J53" s="49"/>
      <c r="K53" s="53">
        <v>315</v>
      </c>
      <c r="L53" s="49"/>
      <c r="M53" s="53">
        <v>318</v>
      </c>
      <c r="N53" s="49"/>
      <c r="O53" s="53">
        <v>271</v>
      </c>
      <c r="P53" s="49"/>
      <c r="Q53" s="53">
        <v>249</v>
      </c>
      <c r="R53" s="49"/>
      <c r="S53" s="53">
        <v>90</v>
      </c>
      <c r="T53" s="49"/>
      <c r="U53" s="53">
        <v>88</v>
      </c>
      <c r="V53" s="49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</row>
    <row r="54" spans="1:36" s="2" customFormat="1" ht="12.75">
      <c r="A54" s="173" t="s">
        <v>168</v>
      </c>
      <c r="B54" s="126"/>
      <c r="C54" s="126"/>
      <c r="D54" s="160"/>
      <c r="E54" s="161">
        <f aca="true" t="shared" si="12" ref="E54:V54">+E55+E73+E79+E80+E81+E92+E100+E117+E123+E131+E138+E150+E151+E154</f>
        <v>75156</v>
      </c>
      <c r="F54" s="161">
        <f t="shared" si="12"/>
        <v>7483</v>
      </c>
      <c r="G54" s="161">
        <f t="shared" si="12"/>
        <v>72411</v>
      </c>
      <c r="H54" s="161">
        <f t="shared" si="12"/>
        <v>12902</v>
      </c>
      <c r="I54" s="161">
        <f t="shared" si="12"/>
        <v>83239.5</v>
      </c>
      <c r="J54" s="161">
        <f t="shared" si="12"/>
        <v>16656</v>
      </c>
      <c r="K54" s="161">
        <f t="shared" si="12"/>
        <v>81440</v>
      </c>
      <c r="L54" s="161">
        <f t="shared" si="12"/>
        <v>14020.94666549603</v>
      </c>
      <c r="M54" s="161">
        <f t="shared" si="12"/>
        <v>90484</v>
      </c>
      <c r="N54" s="161">
        <f t="shared" si="12"/>
        <v>19302</v>
      </c>
      <c r="O54" s="161">
        <f t="shared" si="12"/>
        <v>95317</v>
      </c>
      <c r="P54" s="161">
        <f t="shared" si="12"/>
        <v>21279</v>
      </c>
      <c r="Q54" s="161">
        <f t="shared" si="12"/>
        <v>102822</v>
      </c>
      <c r="R54" s="161">
        <f t="shared" si="12"/>
        <v>22175</v>
      </c>
      <c r="S54" s="161">
        <f t="shared" si="12"/>
        <v>103074</v>
      </c>
      <c r="T54" s="161">
        <f t="shared" si="12"/>
        <v>23355</v>
      </c>
      <c r="U54" s="161">
        <f t="shared" si="12"/>
        <v>91990</v>
      </c>
      <c r="V54" s="161">
        <f t="shared" si="12"/>
        <v>16112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</row>
    <row r="55" spans="1:36" s="2" customFormat="1" ht="12.75">
      <c r="A55" s="124" t="s">
        <v>122</v>
      </c>
      <c r="B55" s="125"/>
      <c r="C55" s="125"/>
      <c r="D55" s="22"/>
      <c r="E55" s="71">
        <f>+E56+E57+E62+E63+E64+E65</f>
        <v>22071</v>
      </c>
      <c r="F55" s="71">
        <f aca="true" t="shared" si="13" ref="F55:T55">+F56+F57+F62+F63+F64+F65</f>
        <v>89</v>
      </c>
      <c r="G55" s="71">
        <f t="shared" si="13"/>
        <v>14550</v>
      </c>
      <c r="H55" s="71">
        <f t="shared" si="13"/>
        <v>235</v>
      </c>
      <c r="I55" s="71">
        <f t="shared" si="13"/>
        <v>15997</v>
      </c>
      <c r="J55" s="71">
        <f t="shared" si="13"/>
        <v>166</v>
      </c>
      <c r="K55" s="71">
        <f t="shared" si="13"/>
        <v>17852</v>
      </c>
      <c r="L55" s="71">
        <f t="shared" si="13"/>
        <v>2063.2453118624985</v>
      </c>
      <c r="M55" s="71">
        <f t="shared" si="13"/>
        <v>18593</v>
      </c>
      <c r="N55" s="71">
        <f t="shared" si="13"/>
        <v>3635</v>
      </c>
      <c r="O55" s="71">
        <f t="shared" si="13"/>
        <v>17417</v>
      </c>
      <c r="P55" s="71">
        <f t="shared" si="13"/>
        <v>2263</v>
      </c>
      <c r="Q55" s="71">
        <f t="shared" si="13"/>
        <v>15634</v>
      </c>
      <c r="R55" s="71">
        <f t="shared" si="13"/>
        <v>310</v>
      </c>
      <c r="S55" s="71">
        <f t="shared" si="13"/>
        <v>17383</v>
      </c>
      <c r="T55" s="71">
        <f t="shared" si="13"/>
        <v>740</v>
      </c>
      <c r="U55" s="71">
        <f>+U56+U57+U62+U63+U64+U65</f>
        <v>15644</v>
      </c>
      <c r="V55" s="71">
        <f>+V56+V57+V62+V63+V64+V65</f>
        <v>679</v>
      </c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</row>
    <row r="56" spans="1:36" s="135" customFormat="1" ht="12.75">
      <c r="A56" s="29"/>
      <c r="B56" s="24" t="s">
        <v>134</v>
      </c>
      <c r="C56" s="2"/>
      <c r="D56" s="2"/>
      <c r="E56" s="53">
        <v>6850</v>
      </c>
      <c r="F56" s="49">
        <v>22</v>
      </c>
      <c r="G56" s="53">
        <v>1620</v>
      </c>
      <c r="H56" s="49">
        <v>67</v>
      </c>
      <c r="I56" s="56">
        <f>ROUND((3354/1936.27)*1000,0)</f>
        <v>1732</v>
      </c>
      <c r="J56" s="49"/>
      <c r="K56" s="53">
        <v>2570</v>
      </c>
      <c r="L56" s="49">
        <f>262/1.93627</f>
        <v>135.31170756144547</v>
      </c>
      <c r="M56" s="53">
        <v>979</v>
      </c>
      <c r="N56" s="49"/>
      <c r="O56" s="53">
        <v>685</v>
      </c>
      <c r="P56" s="49"/>
      <c r="Q56" s="53">
        <v>532</v>
      </c>
      <c r="R56" s="49">
        <v>9</v>
      </c>
      <c r="S56" s="53">
        <v>633</v>
      </c>
      <c r="T56" s="49">
        <v>123</v>
      </c>
      <c r="U56" s="53">
        <v>570</v>
      </c>
      <c r="V56" s="49">
        <v>5</v>
      </c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</row>
    <row r="57" spans="1:36" s="135" customFormat="1" ht="12.75">
      <c r="A57" s="29"/>
      <c r="B57" s="24" t="s">
        <v>58</v>
      </c>
      <c r="C57" s="2"/>
      <c r="D57" s="2"/>
      <c r="E57" s="53">
        <f aca="true" t="shared" si="14" ref="E57:T57">SUM(E58:E61)</f>
        <v>622</v>
      </c>
      <c r="F57" s="53">
        <f t="shared" si="14"/>
        <v>0</v>
      </c>
      <c r="G57" s="53">
        <f t="shared" si="14"/>
        <v>570</v>
      </c>
      <c r="H57" s="53">
        <f t="shared" si="14"/>
        <v>0</v>
      </c>
      <c r="I57" s="53">
        <f t="shared" si="14"/>
        <v>1387</v>
      </c>
      <c r="J57" s="53">
        <f t="shared" si="14"/>
        <v>0</v>
      </c>
      <c r="K57" s="53">
        <f t="shared" si="14"/>
        <v>831</v>
      </c>
      <c r="L57" s="53">
        <f t="shared" si="14"/>
        <v>284.0512944992176</v>
      </c>
      <c r="M57" s="53">
        <f t="shared" si="14"/>
        <v>3665</v>
      </c>
      <c r="N57" s="53">
        <f t="shared" si="14"/>
        <v>2360</v>
      </c>
      <c r="O57" s="53">
        <f t="shared" si="14"/>
        <v>1535</v>
      </c>
      <c r="P57" s="53">
        <f t="shared" si="14"/>
        <v>440</v>
      </c>
      <c r="Q57" s="53">
        <f t="shared" si="14"/>
        <v>1054</v>
      </c>
      <c r="R57" s="53">
        <f t="shared" si="14"/>
        <v>81</v>
      </c>
      <c r="S57" s="53">
        <f t="shared" si="14"/>
        <v>2094</v>
      </c>
      <c r="T57" s="53">
        <f t="shared" si="14"/>
        <v>387</v>
      </c>
      <c r="U57" s="53">
        <f>SUM(U58:U61)</f>
        <v>716</v>
      </c>
      <c r="V57" s="53">
        <f>SUM(V58:V61)</f>
        <v>331</v>
      </c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</row>
    <row r="58" spans="1:36" s="135" customFormat="1" ht="8.25">
      <c r="A58" s="136"/>
      <c r="C58" s="139" t="s">
        <v>11</v>
      </c>
      <c r="E58" s="137">
        <v>408</v>
      </c>
      <c r="F58" s="140"/>
      <c r="G58" s="137">
        <v>362</v>
      </c>
      <c r="H58" s="140"/>
      <c r="I58" s="137">
        <f>ROUND((2401/1936.27)*1000,0)</f>
        <v>1240</v>
      </c>
      <c r="J58" s="140"/>
      <c r="K58" s="137">
        <v>516</v>
      </c>
      <c r="L58" s="140"/>
      <c r="M58" s="137">
        <v>3373</v>
      </c>
      <c r="N58" s="140">
        <v>2360</v>
      </c>
      <c r="O58" s="137">
        <v>533</v>
      </c>
      <c r="P58" s="140"/>
      <c r="Q58" s="137">
        <f>706+59</f>
        <v>765</v>
      </c>
      <c r="R58" s="140">
        <f>22+59</f>
        <v>81</v>
      </c>
      <c r="S58" s="137">
        <v>1638</v>
      </c>
      <c r="T58" s="140"/>
      <c r="U58" s="137">
        <v>687</v>
      </c>
      <c r="V58" s="140">
        <v>314</v>
      </c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</row>
    <row r="59" spans="1:36" s="135" customFormat="1" ht="8.25">
      <c r="A59" s="136"/>
      <c r="C59" s="139" t="s">
        <v>158</v>
      </c>
      <c r="E59" s="137"/>
      <c r="F59" s="140"/>
      <c r="G59" s="137"/>
      <c r="H59" s="140"/>
      <c r="I59" s="137"/>
      <c r="J59" s="140"/>
      <c r="K59" s="137"/>
      <c r="L59" s="140"/>
      <c r="M59" s="137"/>
      <c r="N59" s="140"/>
      <c r="O59" s="137"/>
      <c r="P59" s="140"/>
      <c r="Q59" s="137"/>
      <c r="R59" s="140"/>
      <c r="S59" s="137"/>
      <c r="T59" s="140"/>
      <c r="U59" s="137">
        <v>17</v>
      </c>
      <c r="V59" s="140">
        <v>17</v>
      </c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</row>
    <row r="60" spans="1:36" s="2" customFormat="1" ht="12.75">
      <c r="A60" s="136"/>
      <c r="B60" s="135"/>
      <c r="C60" s="135" t="s">
        <v>88</v>
      </c>
      <c r="D60" s="135"/>
      <c r="E60" s="137">
        <v>212</v>
      </c>
      <c r="F60" s="140"/>
      <c r="G60" s="137">
        <v>206</v>
      </c>
      <c r="H60" s="140"/>
      <c r="I60" s="137">
        <v>145</v>
      </c>
      <c r="J60" s="140"/>
      <c r="K60" s="137">
        <f>284+1</f>
        <v>285</v>
      </c>
      <c r="L60" s="140">
        <f>550/1.93627</f>
        <v>284.0512944992176</v>
      </c>
      <c r="M60" s="137">
        <v>199</v>
      </c>
      <c r="N60" s="140"/>
      <c r="O60" s="137">
        <v>258</v>
      </c>
      <c r="P60" s="140"/>
      <c r="Q60" s="137">
        <v>64</v>
      </c>
      <c r="R60" s="140"/>
      <c r="S60" s="137">
        <v>59</v>
      </c>
      <c r="T60" s="140"/>
      <c r="U60" s="137">
        <v>3</v>
      </c>
      <c r="V60" s="140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</row>
    <row r="61" spans="1:36" s="2" customFormat="1" ht="12.75">
      <c r="A61" s="136"/>
      <c r="B61" s="135"/>
      <c r="C61" s="135" t="s">
        <v>10</v>
      </c>
      <c r="D61" s="135"/>
      <c r="E61" s="137">
        <v>2</v>
      </c>
      <c r="F61" s="140"/>
      <c r="G61" s="137">
        <v>2</v>
      </c>
      <c r="H61" s="140"/>
      <c r="I61" s="137">
        <f>ROUND((4/1936.27)*1000,0)</f>
        <v>2</v>
      </c>
      <c r="J61" s="140"/>
      <c r="K61" s="137">
        <v>30</v>
      </c>
      <c r="L61" s="140"/>
      <c r="M61" s="137">
        <v>93</v>
      </c>
      <c r="N61" s="140"/>
      <c r="O61" s="137">
        <v>744</v>
      </c>
      <c r="P61" s="140">
        <v>440</v>
      </c>
      <c r="Q61" s="137">
        <v>225</v>
      </c>
      <c r="R61" s="140"/>
      <c r="S61" s="137">
        <v>397</v>
      </c>
      <c r="T61" s="140">
        <v>387</v>
      </c>
      <c r="U61" s="137">
        <v>9</v>
      </c>
      <c r="V61" s="140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</row>
    <row r="62" spans="1:36" s="2" customFormat="1" ht="12.75">
      <c r="A62" s="29"/>
      <c r="B62" s="10" t="s">
        <v>135</v>
      </c>
      <c r="E62" s="56">
        <v>356</v>
      </c>
      <c r="F62" s="54"/>
      <c r="G62" s="56">
        <v>491</v>
      </c>
      <c r="H62" s="54"/>
      <c r="I62" s="56">
        <f>ROUND((670/1936.27)*1000,0)</f>
        <v>346</v>
      </c>
      <c r="J62" s="54"/>
      <c r="K62" s="56">
        <v>369</v>
      </c>
      <c r="L62" s="54"/>
      <c r="M62" s="56">
        <v>420</v>
      </c>
      <c r="N62" s="54">
        <v>37</v>
      </c>
      <c r="O62" s="56">
        <v>441</v>
      </c>
      <c r="P62" s="54"/>
      <c r="Q62" s="56">
        <v>488</v>
      </c>
      <c r="R62" s="54"/>
      <c r="S62" s="56">
        <v>453</v>
      </c>
      <c r="T62" s="54"/>
      <c r="U62" s="56">
        <v>381</v>
      </c>
      <c r="V62" s="54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</row>
    <row r="63" spans="1:36" s="2" customFormat="1" ht="12.75">
      <c r="A63" s="141"/>
      <c r="B63" s="10" t="s">
        <v>136</v>
      </c>
      <c r="E63" s="56">
        <v>330</v>
      </c>
      <c r="F63" s="54"/>
      <c r="G63" s="56">
        <v>77</v>
      </c>
      <c r="H63" s="54"/>
      <c r="I63" s="56">
        <f>ROUND((260/1936.27)*1000,0)</f>
        <v>134</v>
      </c>
      <c r="J63" s="54"/>
      <c r="K63" s="56">
        <v>38</v>
      </c>
      <c r="L63" s="54"/>
      <c r="M63" s="56">
        <v>29</v>
      </c>
      <c r="N63" s="54"/>
      <c r="O63" s="56">
        <v>136</v>
      </c>
      <c r="P63" s="54"/>
      <c r="Q63" s="56">
        <v>104</v>
      </c>
      <c r="R63" s="54"/>
      <c r="S63" s="56">
        <v>98</v>
      </c>
      <c r="T63" s="54"/>
      <c r="U63" s="56">
        <v>167</v>
      </c>
      <c r="V63" s="54">
        <v>167</v>
      </c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</row>
    <row r="64" spans="1:36" s="135" customFormat="1" ht="12.75">
      <c r="A64" s="29"/>
      <c r="B64" s="10" t="s">
        <v>137</v>
      </c>
      <c r="C64" s="2"/>
      <c r="D64" s="2"/>
      <c r="E64" s="56"/>
      <c r="F64" s="54"/>
      <c r="G64" s="56">
        <v>1</v>
      </c>
      <c r="H64" s="54"/>
      <c r="I64" s="56">
        <f>ROUND((201/1936.27)*1000,0)</f>
        <v>104</v>
      </c>
      <c r="J64" s="54"/>
      <c r="K64" s="56"/>
      <c r="L64" s="54"/>
      <c r="M64" s="56">
        <v>1</v>
      </c>
      <c r="N64" s="54"/>
      <c r="O64" s="56"/>
      <c r="P64" s="54"/>
      <c r="Q64" s="56">
        <v>67</v>
      </c>
      <c r="R64" s="54"/>
      <c r="S64" s="56">
        <v>1</v>
      </c>
      <c r="T64" s="54"/>
      <c r="U64" s="56">
        <v>1</v>
      </c>
      <c r="V64" s="54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</row>
    <row r="65" spans="1:36" s="135" customFormat="1" ht="12.75">
      <c r="A65" s="29"/>
      <c r="B65" s="24" t="s">
        <v>138</v>
      </c>
      <c r="C65" s="2"/>
      <c r="D65" s="2"/>
      <c r="E65" s="53">
        <f aca="true" t="shared" si="15" ref="E65:T65">SUM(E66:E72)</f>
        <v>13913</v>
      </c>
      <c r="F65" s="53">
        <f t="shared" si="15"/>
        <v>67</v>
      </c>
      <c r="G65" s="53">
        <f t="shared" si="15"/>
        <v>11791</v>
      </c>
      <c r="H65" s="53">
        <f t="shared" si="15"/>
        <v>168</v>
      </c>
      <c r="I65" s="53">
        <f t="shared" si="15"/>
        <v>12294</v>
      </c>
      <c r="J65" s="53">
        <f t="shared" si="15"/>
        <v>166</v>
      </c>
      <c r="K65" s="53">
        <f t="shared" si="15"/>
        <v>14044</v>
      </c>
      <c r="L65" s="53">
        <f t="shared" si="15"/>
        <v>1643.8823098018356</v>
      </c>
      <c r="M65" s="53">
        <f t="shared" si="15"/>
        <v>13499</v>
      </c>
      <c r="N65" s="53">
        <f t="shared" si="15"/>
        <v>1238</v>
      </c>
      <c r="O65" s="53">
        <f t="shared" si="15"/>
        <v>14620</v>
      </c>
      <c r="P65" s="53">
        <f t="shared" si="15"/>
        <v>1823</v>
      </c>
      <c r="Q65" s="53">
        <f t="shared" si="15"/>
        <v>13389</v>
      </c>
      <c r="R65" s="53">
        <f t="shared" si="15"/>
        <v>220</v>
      </c>
      <c r="S65" s="53">
        <f t="shared" si="15"/>
        <v>14104</v>
      </c>
      <c r="T65" s="53">
        <f t="shared" si="15"/>
        <v>230</v>
      </c>
      <c r="U65" s="53">
        <f>SUM(U66:U72)</f>
        <v>13809</v>
      </c>
      <c r="V65" s="53">
        <f>SUM(V66:V72)</f>
        <v>176</v>
      </c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</row>
    <row r="66" spans="1:36" s="135" customFormat="1" ht="8.25">
      <c r="A66" s="136"/>
      <c r="C66" s="135" t="s">
        <v>139</v>
      </c>
      <c r="E66" s="137"/>
      <c r="F66" s="140"/>
      <c r="G66" s="137"/>
      <c r="H66" s="140"/>
      <c r="I66" s="137"/>
      <c r="J66" s="140"/>
      <c r="K66" s="137"/>
      <c r="L66" s="140"/>
      <c r="M66" s="137"/>
      <c r="N66" s="140"/>
      <c r="O66" s="137">
        <v>197</v>
      </c>
      <c r="P66" s="140"/>
      <c r="Q66" s="137">
        <v>188</v>
      </c>
      <c r="R66" s="140"/>
      <c r="S66" s="137">
        <v>179</v>
      </c>
      <c r="T66" s="140"/>
      <c r="U66" s="137">
        <v>37</v>
      </c>
      <c r="V66" s="140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</row>
    <row r="67" spans="1:36" s="135" customFormat="1" ht="8.25">
      <c r="A67" s="136"/>
      <c r="C67" s="135" t="s">
        <v>104</v>
      </c>
      <c r="E67" s="137">
        <v>3782</v>
      </c>
      <c r="F67" s="140"/>
      <c r="G67" s="137">
        <v>3318</v>
      </c>
      <c r="H67" s="140"/>
      <c r="I67" s="137">
        <f>ROUND((4215/1936.27)*1000,0)</f>
        <v>2177</v>
      </c>
      <c r="J67" s="140"/>
      <c r="K67" s="137">
        <v>3733</v>
      </c>
      <c r="L67" s="140">
        <f>2502/1.93627</f>
        <v>1292.1751615218952</v>
      </c>
      <c r="M67" s="137">
        <v>3923</v>
      </c>
      <c r="N67" s="140">
        <v>948</v>
      </c>
      <c r="O67" s="137">
        <v>4188</v>
      </c>
      <c r="P67" s="140">
        <v>1559</v>
      </c>
      <c r="Q67" s="137">
        <v>2647</v>
      </c>
      <c r="R67" s="140"/>
      <c r="S67" s="137">
        <v>2799</v>
      </c>
      <c r="T67" s="140"/>
      <c r="U67" s="137">
        <v>2819</v>
      </c>
      <c r="V67" s="140">
        <v>62</v>
      </c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</row>
    <row r="68" spans="1:36" s="135" customFormat="1" ht="8.25">
      <c r="A68" s="136"/>
      <c r="C68" s="135" t="s">
        <v>106</v>
      </c>
      <c r="E68" s="137">
        <v>6464</v>
      </c>
      <c r="F68" s="140"/>
      <c r="G68" s="137">
        <v>5020</v>
      </c>
      <c r="H68" s="140"/>
      <c r="I68" s="137">
        <f>ROUND((12841/1936.27)*1000,0)-166</f>
        <v>6466</v>
      </c>
      <c r="J68" s="140"/>
      <c r="K68" s="137">
        <v>4823</v>
      </c>
      <c r="L68" s="140">
        <f>681/1.93627</f>
        <v>351.7071482799403</v>
      </c>
      <c r="M68" s="137">
        <v>4511</v>
      </c>
      <c r="N68" s="140">
        <v>290</v>
      </c>
      <c r="O68" s="137">
        <v>3699</v>
      </c>
      <c r="P68" s="140">
        <v>264</v>
      </c>
      <c r="Q68" s="137">
        <v>3606</v>
      </c>
      <c r="R68" s="140">
        <v>130</v>
      </c>
      <c r="S68" s="137">
        <v>3710</v>
      </c>
      <c r="T68" s="140">
        <v>130</v>
      </c>
      <c r="U68" s="137">
        <v>3607</v>
      </c>
      <c r="V68" s="140">
        <v>104</v>
      </c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</row>
    <row r="69" spans="1:36" s="2" customFormat="1" ht="12.75">
      <c r="A69" s="136"/>
      <c r="B69" s="135"/>
      <c r="C69" s="135" t="s">
        <v>105</v>
      </c>
      <c r="D69" s="135"/>
      <c r="E69" s="137"/>
      <c r="F69" s="140"/>
      <c r="G69" s="137"/>
      <c r="H69" s="140"/>
      <c r="I69" s="137"/>
      <c r="J69" s="140"/>
      <c r="K69" s="137"/>
      <c r="L69" s="140"/>
      <c r="M69" s="137">
        <v>154</v>
      </c>
      <c r="N69" s="140"/>
      <c r="O69" s="137">
        <v>1372</v>
      </c>
      <c r="P69" s="140"/>
      <c r="Q69" s="137">
        <v>1443</v>
      </c>
      <c r="R69" s="140">
        <v>90</v>
      </c>
      <c r="S69" s="137">
        <v>1583</v>
      </c>
      <c r="T69" s="140">
        <v>100</v>
      </c>
      <c r="U69" s="137">
        <v>1376</v>
      </c>
      <c r="V69" s="140">
        <v>10</v>
      </c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</row>
    <row r="70" spans="1:36" s="2" customFormat="1" ht="12.75">
      <c r="A70" s="136"/>
      <c r="B70" s="135"/>
      <c r="C70" s="135" t="s">
        <v>140</v>
      </c>
      <c r="D70" s="135"/>
      <c r="E70" s="137"/>
      <c r="F70" s="140"/>
      <c r="G70" s="137"/>
      <c r="H70" s="140"/>
      <c r="I70" s="137"/>
      <c r="J70" s="140"/>
      <c r="K70" s="137">
        <v>3904</v>
      </c>
      <c r="L70" s="140"/>
      <c r="M70" s="137">
        <v>4911</v>
      </c>
      <c r="N70" s="140"/>
      <c r="O70" s="137">
        <v>5164</v>
      </c>
      <c r="P70" s="140"/>
      <c r="Q70" s="137">
        <v>5505</v>
      </c>
      <c r="R70" s="140"/>
      <c r="S70" s="137">
        <v>5833</v>
      </c>
      <c r="T70" s="140"/>
      <c r="U70" s="137">
        <v>5970</v>
      </c>
      <c r="V70" s="140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</row>
    <row r="71" spans="1:36" s="2" customFormat="1" ht="12.75">
      <c r="A71" s="136"/>
      <c r="B71" s="135"/>
      <c r="C71" s="142" t="s">
        <v>13</v>
      </c>
      <c r="D71" s="143"/>
      <c r="E71" s="144">
        <v>2046</v>
      </c>
      <c r="F71" s="145">
        <v>67</v>
      </c>
      <c r="G71" s="144">
        <v>1938</v>
      </c>
      <c r="H71" s="145">
        <v>168</v>
      </c>
      <c r="I71" s="144">
        <f>ROUND((3308/1936.27)*1000,0)+166</f>
        <v>1874</v>
      </c>
      <c r="J71" s="145">
        <f>ROUND(320701/1936.27,0)</f>
        <v>166</v>
      </c>
      <c r="K71" s="144">
        <v>190</v>
      </c>
      <c r="L71" s="145"/>
      <c r="M71" s="144"/>
      <c r="N71" s="145"/>
      <c r="O71" s="144"/>
      <c r="P71" s="145"/>
      <c r="Q71" s="144"/>
      <c r="R71" s="145"/>
      <c r="S71" s="144"/>
      <c r="T71" s="145"/>
      <c r="U71" s="144"/>
      <c r="V71" s="145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</row>
    <row r="72" spans="1:36" s="39" customFormat="1" ht="12.75">
      <c r="A72" s="146"/>
      <c r="B72" s="147"/>
      <c r="C72" s="148" t="s">
        <v>14</v>
      </c>
      <c r="D72" s="149"/>
      <c r="E72" s="150">
        <v>1621</v>
      </c>
      <c r="F72" s="151"/>
      <c r="G72" s="150">
        <v>1515</v>
      </c>
      <c r="H72" s="151"/>
      <c r="I72" s="150">
        <f>ROUND((3440/1936.27)*1000,0)</f>
        <v>1777</v>
      </c>
      <c r="J72" s="151"/>
      <c r="K72" s="150">
        <v>1394</v>
      </c>
      <c r="L72" s="151"/>
      <c r="M72" s="150"/>
      <c r="N72" s="151"/>
      <c r="O72" s="150"/>
      <c r="P72" s="151"/>
      <c r="Q72" s="150"/>
      <c r="R72" s="151"/>
      <c r="S72" s="150"/>
      <c r="T72" s="151"/>
      <c r="U72" s="150"/>
      <c r="V72" s="151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</row>
    <row r="73" spans="1:36" s="2" customFormat="1" ht="12.75">
      <c r="A73" s="122" t="s">
        <v>123</v>
      </c>
      <c r="B73" s="123"/>
      <c r="C73" s="123"/>
      <c r="D73" s="22"/>
      <c r="E73" s="67">
        <f>SUM(E74:E78)</f>
        <v>2346</v>
      </c>
      <c r="F73" s="67">
        <f>SUM(F74:F78)</f>
        <v>40</v>
      </c>
      <c r="G73" s="67">
        <f>SUM(G74:G78)-1</f>
        <v>2557</v>
      </c>
      <c r="H73" s="67">
        <f aca="true" t="shared" si="16" ref="H73:T73">SUM(H74:H78)</f>
        <v>22</v>
      </c>
      <c r="I73" s="67">
        <f t="shared" si="16"/>
        <v>3350</v>
      </c>
      <c r="J73" s="67">
        <f t="shared" si="16"/>
        <v>5</v>
      </c>
      <c r="K73" s="67">
        <f t="shared" si="16"/>
        <v>3101</v>
      </c>
      <c r="L73" s="67">
        <f t="shared" si="16"/>
        <v>0</v>
      </c>
      <c r="M73" s="67">
        <f t="shared" si="16"/>
        <v>3006</v>
      </c>
      <c r="N73" s="67"/>
      <c r="O73" s="67">
        <f t="shared" si="16"/>
        <v>4389</v>
      </c>
      <c r="P73" s="67">
        <f t="shared" si="16"/>
        <v>5</v>
      </c>
      <c r="Q73" s="67">
        <f t="shared" si="16"/>
        <v>6669</v>
      </c>
      <c r="R73" s="67">
        <f t="shared" si="16"/>
        <v>1</v>
      </c>
      <c r="S73" s="67">
        <f t="shared" si="16"/>
        <v>6530</v>
      </c>
      <c r="T73" s="67">
        <f t="shared" si="16"/>
        <v>7</v>
      </c>
      <c r="U73" s="67">
        <f>SUM(U74:U78)</f>
        <v>10165</v>
      </c>
      <c r="V73" s="67">
        <f>SUM(V74:V78)</f>
        <v>0</v>
      </c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</row>
    <row r="74" spans="1:36" s="2" customFormat="1" ht="12.75">
      <c r="A74" s="46"/>
      <c r="B74" s="10" t="s">
        <v>27</v>
      </c>
      <c r="C74" s="11"/>
      <c r="D74"/>
      <c r="E74" s="56">
        <v>969</v>
      </c>
      <c r="F74" s="54"/>
      <c r="G74" s="72">
        <v>754</v>
      </c>
      <c r="H74" s="85"/>
      <c r="I74" s="56">
        <f>ROUND((1377/1936.27)*1000,0)</f>
        <v>711</v>
      </c>
      <c r="J74" s="54"/>
      <c r="K74" s="56">
        <v>1413</v>
      </c>
      <c r="L74" s="54"/>
      <c r="M74" s="56">
        <v>1010</v>
      </c>
      <c r="N74" s="54"/>
      <c r="O74" s="56">
        <v>1281</v>
      </c>
      <c r="P74" s="54"/>
      <c r="Q74" s="56">
        <v>1251</v>
      </c>
      <c r="R74" s="54"/>
      <c r="S74" s="56">
        <v>1313</v>
      </c>
      <c r="T74" s="54"/>
      <c r="U74" s="56">
        <v>1063</v>
      </c>
      <c r="V74" s="54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63"/>
      <c r="AI74" s="63"/>
      <c r="AJ74" s="63"/>
    </row>
    <row r="75" spans="1:36" s="2" customFormat="1" ht="12.75">
      <c r="A75" s="46"/>
      <c r="B75" s="10" t="s">
        <v>5</v>
      </c>
      <c r="C75" s="11"/>
      <c r="D75"/>
      <c r="E75" s="56">
        <v>138</v>
      </c>
      <c r="F75" s="54">
        <v>40</v>
      </c>
      <c r="G75" s="72">
        <v>182</v>
      </c>
      <c r="H75" s="85">
        <v>22</v>
      </c>
      <c r="I75" s="56">
        <f>ROUND((249/1936.27)*1000,0)</f>
        <v>129</v>
      </c>
      <c r="J75" s="54">
        <f>ROUND((10155/1936.27),0)</f>
        <v>5</v>
      </c>
      <c r="K75" s="56">
        <v>115</v>
      </c>
      <c r="L75" s="54">
        <v>0</v>
      </c>
      <c r="M75" s="56">
        <v>92</v>
      </c>
      <c r="N75" s="54"/>
      <c r="O75" s="56">
        <v>92</v>
      </c>
      <c r="P75" s="54">
        <v>5</v>
      </c>
      <c r="Q75" s="56">
        <v>91</v>
      </c>
      <c r="R75" s="54">
        <v>1</v>
      </c>
      <c r="S75" s="56">
        <v>96</v>
      </c>
      <c r="T75" s="54">
        <v>7</v>
      </c>
      <c r="U75" s="56">
        <v>83</v>
      </c>
      <c r="V75" s="54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6" s="2" customFormat="1" ht="12.75">
      <c r="A76" s="14"/>
      <c r="B76" s="10" t="s">
        <v>110</v>
      </c>
      <c r="C76" s="11"/>
      <c r="D76"/>
      <c r="E76" s="56"/>
      <c r="F76" s="54"/>
      <c r="G76" s="72"/>
      <c r="H76" s="85"/>
      <c r="I76" s="56"/>
      <c r="J76" s="54"/>
      <c r="K76" s="56"/>
      <c r="L76" s="54"/>
      <c r="M76" s="56">
        <v>142</v>
      </c>
      <c r="N76" s="54"/>
      <c r="O76" s="56">
        <v>77</v>
      </c>
      <c r="P76" s="54"/>
      <c r="Q76" s="56">
        <v>120</v>
      </c>
      <c r="R76" s="54"/>
      <c r="S76" s="56">
        <v>130</v>
      </c>
      <c r="T76" s="54"/>
      <c r="U76" s="56">
        <v>55</v>
      </c>
      <c r="V76" s="54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</row>
    <row r="77" spans="1:36" s="2" customFormat="1" ht="12.75">
      <c r="A77" s="27"/>
      <c r="B77" s="24" t="s">
        <v>111</v>
      </c>
      <c r="C77" s="28"/>
      <c r="E77" s="53">
        <v>723</v>
      </c>
      <c r="F77" s="49"/>
      <c r="G77" s="47">
        <v>1163</v>
      </c>
      <c r="H77" s="48"/>
      <c r="I77" s="56">
        <f>ROUND((3800/1936.27)*1000,0)</f>
        <v>1963</v>
      </c>
      <c r="J77" s="49"/>
      <c r="K77" s="53">
        <v>659</v>
      </c>
      <c r="L77" s="49"/>
      <c r="M77" s="53">
        <v>1085</v>
      </c>
      <c r="N77" s="49"/>
      <c r="O77" s="53">
        <v>2072</v>
      </c>
      <c r="P77" s="49"/>
      <c r="Q77" s="53">
        <v>4200</v>
      </c>
      <c r="R77" s="49"/>
      <c r="S77" s="53">
        <v>3789</v>
      </c>
      <c r="T77" s="49"/>
      <c r="U77" s="53">
        <v>7963</v>
      </c>
      <c r="V77" s="49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</row>
    <row r="78" spans="1:36" s="2" customFormat="1" ht="12.75">
      <c r="A78" s="62"/>
      <c r="B78" s="38" t="s">
        <v>112</v>
      </c>
      <c r="C78" s="36"/>
      <c r="E78" s="77">
        <v>516</v>
      </c>
      <c r="F78" s="55"/>
      <c r="G78" s="74">
        <v>459</v>
      </c>
      <c r="H78" s="100"/>
      <c r="I78" s="69">
        <f>ROUND((1059/1936.27)*1000,0)</f>
        <v>547</v>
      </c>
      <c r="J78" s="55"/>
      <c r="K78" s="77">
        <v>914</v>
      </c>
      <c r="L78" s="55"/>
      <c r="M78" s="77">
        <v>677</v>
      </c>
      <c r="N78" s="55"/>
      <c r="O78" s="77">
        <v>867</v>
      </c>
      <c r="P78" s="55"/>
      <c r="Q78" s="77">
        <v>1007</v>
      </c>
      <c r="R78" s="55"/>
      <c r="S78" s="77">
        <v>1202</v>
      </c>
      <c r="T78" s="55"/>
      <c r="U78" s="77">
        <v>1001</v>
      </c>
      <c r="V78" s="55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s="2" customFormat="1" ht="12.75">
      <c r="A79" s="130" t="s">
        <v>62</v>
      </c>
      <c r="B79" s="123"/>
      <c r="C79" s="123"/>
      <c r="D79" s="22"/>
      <c r="E79" s="70">
        <v>771</v>
      </c>
      <c r="F79" s="70"/>
      <c r="G79" s="84">
        <v>784</v>
      </c>
      <c r="H79" s="84"/>
      <c r="I79" s="84">
        <f>ROUND((1847/1936.27)*1000,0)</f>
        <v>954</v>
      </c>
      <c r="J79" s="84"/>
      <c r="K79" s="70">
        <v>1304</v>
      </c>
      <c r="L79" s="84"/>
      <c r="M79" s="70">
        <v>1852</v>
      </c>
      <c r="N79" s="84"/>
      <c r="O79" s="70">
        <v>3046</v>
      </c>
      <c r="P79" s="84"/>
      <c r="Q79" s="70">
        <v>4516</v>
      </c>
      <c r="R79" s="84"/>
      <c r="S79" s="70">
        <v>4841</v>
      </c>
      <c r="T79" s="84"/>
      <c r="U79" s="70">
        <v>2727</v>
      </c>
      <c r="V79" s="84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</row>
    <row r="80" spans="1:36" s="2" customFormat="1" ht="12.75">
      <c r="A80" s="130" t="s">
        <v>121</v>
      </c>
      <c r="B80" s="123"/>
      <c r="C80" s="123"/>
      <c r="D80" s="22"/>
      <c r="E80" s="70">
        <v>173</v>
      </c>
      <c r="F80" s="70"/>
      <c r="G80" s="84">
        <v>172</v>
      </c>
      <c r="H80" s="84"/>
      <c r="I80" s="84">
        <f>ROUND((334/1936.27)*1000,0)</f>
        <v>172</v>
      </c>
      <c r="J80" s="84"/>
      <c r="K80" s="70">
        <v>131</v>
      </c>
      <c r="L80" s="84"/>
      <c r="M80" s="70">
        <v>189</v>
      </c>
      <c r="N80" s="84"/>
      <c r="O80" s="70">
        <v>240</v>
      </c>
      <c r="P80" s="84"/>
      <c r="Q80" s="70">
        <v>264</v>
      </c>
      <c r="R80" s="84"/>
      <c r="S80" s="70">
        <v>185</v>
      </c>
      <c r="T80" s="84"/>
      <c r="U80" s="70">
        <v>126</v>
      </c>
      <c r="V80" s="84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s="2" customFormat="1" ht="12.75">
      <c r="A81" s="122" t="s">
        <v>169</v>
      </c>
      <c r="B81" s="123"/>
      <c r="C81" s="123"/>
      <c r="D81" s="22"/>
      <c r="E81" s="67">
        <f>SUM(E82:E91)</f>
        <v>17973</v>
      </c>
      <c r="F81" s="67">
        <f aca="true" t="shared" si="17" ref="F81:V81">SUM(F82:F91)</f>
        <v>4093</v>
      </c>
      <c r="G81" s="67">
        <f t="shared" si="17"/>
        <v>17635</v>
      </c>
      <c r="H81" s="67">
        <f t="shared" si="17"/>
        <v>1523</v>
      </c>
      <c r="I81" s="67">
        <f t="shared" si="17"/>
        <v>19895</v>
      </c>
      <c r="J81" s="67">
        <f t="shared" si="17"/>
        <v>2163</v>
      </c>
      <c r="K81" s="67">
        <f t="shared" si="17"/>
        <v>21580</v>
      </c>
      <c r="L81" s="67">
        <f t="shared" si="17"/>
        <v>1850.7013536335326</v>
      </c>
      <c r="M81" s="67">
        <f t="shared" si="17"/>
        <v>23124</v>
      </c>
      <c r="N81" s="67">
        <f t="shared" si="17"/>
        <v>4472</v>
      </c>
      <c r="O81" s="67">
        <f t="shared" si="17"/>
        <v>25348</v>
      </c>
      <c r="P81" s="67">
        <f t="shared" si="17"/>
        <v>6306</v>
      </c>
      <c r="Q81" s="67">
        <f t="shared" si="17"/>
        <v>33022</v>
      </c>
      <c r="R81" s="67">
        <f t="shared" si="17"/>
        <v>9636</v>
      </c>
      <c r="S81" s="67">
        <f t="shared" si="17"/>
        <v>28486</v>
      </c>
      <c r="T81" s="67">
        <f t="shared" si="17"/>
        <v>8587</v>
      </c>
      <c r="U81" s="67">
        <f t="shared" si="17"/>
        <v>28227</v>
      </c>
      <c r="V81" s="67">
        <f t="shared" si="17"/>
        <v>5517</v>
      </c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</row>
    <row r="82" spans="1:36" s="2" customFormat="1" ht="12.75">
      <c r="A82" s="29"/>
      <c r="B82" s="23" t="s">
        <v>27</v>
      </c>
      <c r="E82" s="47">
        <f>168+156</f>
        <v>324</v>
      </c>
      <c r="F82" s="48"/>
      <c r="G82" s="47">
        <f>323+103</f>
        <v>426</v>
      </c>
      <c r="H82" s="48">
        <v>31</v>
      </c>
      <c r="I82" s="56">
        <f>ROUND((1086/1936.27)*1000,0)+26</f>
        <v>587</v>
      </c>
      <c r="J82" s="49"/>
      <c r="K82" s="47">
        <f>834+77</f>
        <v>911</v>
      </c>
      <c r="L82" s="53">
        <f>ROUND((2000/1936.27),0)</f>
        <v>1</v>
      </c>
      <c r="M82" s="47">
        <v>551</v>
      </c>
      <c r="N82" s="53">
        <v>12</v>
      </c>
      <c r="O82" s="47">
        <v>462</v>
      </c>
      <c r="P82" s="53">
        <v>85</v>
      </c>
      <c r="Q82" s="47">
        <f>309+20+64</f>
        <v>393</v>
      </c>
      <c r="R82" s="53">
        <v>7</v>
      </c>
      <c r="S82" s="47">
        <f>152+96</f>
        <v>248</v>
      </c>
      <c r="T82" s="53">
        <v>30</v>
      </c>
      <c r="U82" s="47">
        <f>291+99</f>
        <v>390</v>
      </c>
      <c r="V82" s="53">
        <v>92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s="2" customFormat="1" ht="12.75">
      <c r="A83" s="29"/>
      <c r="B83" s="23" t="s">
        <v>29</v>
      </c>
      <c r="E83" s="47">
        <v>5489</v>
      </c>
      <c r="F83" s="48">
        <v>788</v>
      </c>
      <c r="G83" s="47">
        <v>6312</v>
      </c>
      <c r="H83" s="48">
        <v>900</v>
      </c>
      <c r="I83" s="56">
        <f>ROUND((12765/1936.27)*1000,0)</f>
        <v>6593</v>
      </c>
      <c r="J83" s="49">
        <f>+ROUND(1834790/1936.27,0)</f>
        <v>948</v>
      </c>
      <c r="K83" s="47">
        <v>6410</v>
      </c>
      <c r="L83" s="53">
        <f>ROUND((1847271/1936.27),0)</f>
        <v>954</v>
      </c>
      <c r="M83" s="47">
        <v>6203</v>
      </c>
      <c r="N83" s="53">
        <v>910</v>
      </c>
      <c r="O83" s="47">
        <v>6379</v>
      </c>
      <c r="P83" s="53">
        <v>1068</v>
      </c>
      <c r="Q83" s="47">
        <v>8498</v>
      </c>
      <c r="R83" s="53">
        <v>1601</v>
      </c>
      <c r="S83" s="47">
        <v>8079</v>
      </c>
      <c r="T83" s="53">
        <v>1453</v>
      </c>
      <c r="U83" s="47">
        <v>8410</v>
      </c>
      <c r="V83" s="53">
        <v>1388</v>
      </c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s="2" customFormat="1" ht="12.75">
      <c r="A84" s="29"/>
      <c r="B84" s="23" t="s">
        <v>90</v>
      </c>
      <c r="E84" s="47"/>
      <c r="F84" s="48"/>
      <c r="G84" s="47"/>
      <c r="H84" s="48"/>
      <c r="I84" s="56"/>
      <c r="J84" s="49"/>
      <c r="K84" s="47"/>
      <c r="L84" s="53"/>
      <c r="M84" s="47">
        <v>1535</v>
      </c>
      <c r="N84" s="53">
        <v>687</v>
      </c>
      <c r="O84" s="47">
        <v>2541</v>
      </c>
      <c r="P84" s="53">
        <v>1135</v>
      </c>
      <c r="Q84" s="47">
        <v>1841</v>
      </c>
      <c r="R84" s="53">
        <v>542</v>
      </c>
      <c r="S84" s="47">
        <v>2356</v>
      </c>
      <c r="T84" s="53">
        <v>1983</v>
      </c>
      <c r="U84" s="47">
        <v>2165</v>
      </c>
      <c r="V84" s="53">
        <v>1091</v>
      </c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</row>
    <row r="85" spans="1:36" s="2" customFormat="1" ht="12.75">
      <c r="A85" s="29"/>
      <c r="B85" s="23" t="s">
        <v>89</v>
      </c>
      <c r="E85" s="47"/>
      <c r="F85" s="48"/>
      <c r="G85" s="47"/>
      <c r="H85" s="48"/>
      <c r="I85" s="56"/>
      <c r="J85" s="49"/>
      <c r="K85" s="47"/>
      <c r="L85" s="53"/>
      <c r="M85" s="47">
        <v>368</v>
      </c>
      <c r="N85" s="53"/>
      <c r="O85" s="47">
        <v>797</v>
      </c>
      <c r="P85" s="53">
        <v>307</v>
      </c>
      <c r="Q85" s="47">
        <v>4695</v>
      </c>
      <c r="R85" s="53">
        <v>4457</v>
      </c>
      <c r="S85" s="47">
        <v>955</v>
      </c>
      <c r="T85" s="53">
        <v>527</v>
      </c>
      <c r="U85" s="47">
        <v>515</v>
      </c>
      <c r="V85" s="53">
        <v>229</v>
      </c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</row>
    <row r="86" spans="1:36" s="2" customFormat="1" ht="12.75">
      <c r="A86" s="120"/>
      <c r="B86" s="25" t="s">
        <v>85</v>
      </c>
      <c r="D86" s="35"/>
      <c r="E86" s="93">
        <v>1421</v>
      </c>
      <c r="F86" s="94">
        <v>422</v>
      </c>
      <c r="G86" s="93">
        <v>1197</v>
      </c>
      <c r="H86" s="94">
        <v>247</v>
      </c>
      <c r="I86" s="99">
        <f>ROUND((2752/1936.27)*1000,0)</f>
        <v>1421</v>
      </c>
      <c r="J86" s="98">
        <f>ROUND(570922/1936.27,0)</f>
        <v>295</v>
      </c>
      <c r="K86" s="93">
        <v>2015</v>
      </c>
      <c r="L86" s="68">
        <f>ROUND((850534/1936.27),0)</f>
        <v>439</v>
      </c>
      <c r="M86" s="93"/>
      <c r="N86" s="68"/>
      <c r="O86" s="93"/>
      <c r="P86" s="68"/>
      <c r="Q86" s="93"/>
      <c r="R86" s="68"/>
      <c r="S86" s="93"/>
      <c r="T86" s="68"/>
      <c r="U86" s="93"/>
      <c r="V86" s="68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63"/>
      <c r="AJ86" s="63"/>
    </row>
    <row r="87" spans="1:36" s="2" customFormat="1" ht="12.75">
      <c r="A87" s="29"/>
      <c r="B87" s="23" t="s">
        <v>30</v>
      </c>
      <c r="E87" s="47">
        <f>3176+1432-398</f>
        <v>4210</v>
      </c>
      <c r="F87" s="48">
        <f>101+1224+1303-101</f>
        <v>2527</v>
      </c>
      <c r="G87" s="47">
        <v>2576</v>
      </c>
      <c r="H87" s="48">
        <f>177+140+28</f>
        <v>345</v>
      </c>
      <c r="I87" s="56">
        <f>ROUND((6537/1936.27)*1000,0)</f>
        <v>3376</v>
      </c>
      <c r="J87" s="49">
        <f>ROUND(1533955/1936.27,0)</f>
        <v>792</v>
      </c>
      <c r="K87" s="47">
        <v>2520</v>
      </c>
      <c r="L87" s="53">
        <f>ROUND((244356/1936.27),0)</f>
        <v>126</v>
      </c>
      <c r="M87" s="47">
        <v>3837</v>
      </c>
      <c r="N87" s="53">
        <v>1233</v>
      </c>
      <c r="O87" s="47">
        <v>4349</v>
      </c>
      <c r="P87" s="53">
        <v>1305</v>
      </c>
      <c r="Q87" s="47">
        <v>4845</v>
      </c>
      <c r="R87" s="53">
        <v>1558</v>
      </c>
      <c r="S87" s="47">
        <v>4885</v>
      </c>
      <c r="T87" s="53">
        <v>1196</v>
      </c>
      <c r="U87" s="47">
        <v>4390</v>
      </c>
      <c r="V87" s="53">
        <v>748</v>
      </c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</row>
    <row r="88" spans="1:36" s="2" customFormat="1" ht="12.75">
      <c r="A88" s="29"/>
      <c r="B88" s="23" t="s">
        <v>74</v>
      </c>
      <c r="E88" s="47">
        <v>2659</v>
      </c>
      <c r="F88" s="48"/>
      <c r="G88" s="47">
        <f>3496-1</f>
        <v>3495</v>
      </c>
      <c r="H88" s="48"/>
      <c r="I88" s="56">
        <f>ROUND((7815/1936.27)*1000,0)</f>
        <v>4036</v>
      </c>
      <c r="J88" s="49"/>
      <c r="K88" s="47">
        <v>4063</v>
      </c>
      <c r="L88" s="49"/>
      <c r="M88" s="47">
        <v>4757</v>
      </c>
      <c r="N88" s="49">
        <v>575</v>
      </c>
      <c r="O88" s="47">
        <v>5353</v>
      </c>
      <c r="P88" s="49">
        <v>1000</v>
      </c>
      <c r="Q88" s="47">
        <v>7420</v>
      </c>
      <c r="R88" s="49">
        <v>187</v>
      </c>
      <c r="S88" s="47">
        <v>6751</v>
      </c>
      <c r="T88" s="49">
        <v>1955</v>
      </c>
      <c r="U88" s="47">
        <v>7774</v>
      </c>
      <c r="V88" s="49">
        <v>750</v>
      </c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</row>
    <row r="89" spans="1:36" s="2" customFormat="1" ht="12.75">
      <c r="A89" s="29"/>
      <c r="B89" s="23" t="s">
        <v>91</v>
      </c>
      <c r="E89" s="47">
        <v>1492</v>
      </c>
      <c r="F89" s="48">
        <v>356</v>
      </c>
      <c r="G89" s="47">
        <v>1162</v>
      </c>
      <c r="H89" s="48"/>
      <c r="I89" s="56">
        <f>ROUND((2019/1936.27)*1000,0)</f>
        <v>1043</v>
      </c>
      <c r="J89" s="49">
        <f>ROUND(247831/1936.27,0)</f>
        <v>128</v>
      </c>
      <c r="K89" s="47">
        <v>1990</v>
      </c>
      <c r="L89" s="49">
        <f>ROUND((568177/1936.27),0)</f>
        <v>293</v>
      </c>
      <c r="M89" s="47">
        <v>2521</v>
      </c>
      <c r="N89" s="49">
        <v>543</v>
      </c>
      <c r="O89" s="47">
        <v>2477</v>
      </c>
      <c r="P89" s="49">
        <v>553</v>
      </c>
      <c r="Q89" s="47">
        <v>2612</v>
      </c>
      <c r="R89" s="49">
        <v>517</v>
      </c>
      <c r="S89" s="47">
        <v>3037</v>
      </c>
      <c r="T89" s="49">
        <v>517</v>
      </c>
      <c r="U89" s="47">
        <v>2854</v>
      </c>
      <c r="V89" s="49">
        <v>410</v>
      </c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</row>
    <row r="90" spans="1:36" s="2" customFormat="1" ht="12.75">
      <c r="A90" s="29"/>
      <c r="B90" s="23" t="s">
        <v>132</v>
      </c>
      <c r="C90" s="23"/>
      <c r="E90" s="47">
        <v>2183</v>
      </c>
      <c r="F90" s="48"/>
      <c r="G90" s="47">
        <v>2169</v>
      </c>
      <c r="H90" s="48"/>
      <c r="I90" s="56">
        <v>2576</v>
      </c>
      <c r="J90" s="49"/>
      <c r="K90" s="47">
        <v>2654</v>
      </c>
      <c r="L90" s="49"/>
      <c r="M90" s="47">
        <v>2485</v>
      </c>
      <c r="N90" s="49">
        <v>478</v>
      </c>
      <c r="O90" s="47">
        <v>973</v>
      </c>
      <c r="P90" s="49">
        <v>797</v>
      </c>
      <c r="Q90" s="47">
        <v>799</v>
      </c>
      <c r="R90" s="49">
        <v>744</v>
      </c>
      <c r="S90" s="47">
        <v>801</v>
      </c>
      <c r="T90" s="49">
        <v>799</v>
      </c>
      <c r="U90" s="47">
        <v>788</v>
      </c>
      <c r="V90" s="49">
        <v>784</v>
      </c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</row>
    <row r="91" spans="1:36" s="2" customFormat="1" ht="12.75">
      <c r="A91" s="29"/>
      <c r="B91" s="23" t="s">
        <v>28</v>
      </c>
      <c r="C91" s="23"/>
      <c r="E91" s="47">
        <v>195</v>
      </c>
      <c r="F91" s="48"/>
      <c r="G91" s="47">
        <v>298</v>
      </c>
      <c r="H91" s="48"/>
      <c r="I91" s="56">
        <v>263</v>
      </c>
      <c r="J91" s="49"/>
      <c r="K91" s="47">
        <v>1017</v>
      </c>
      <c r="L91" s="49">
        <v>37.70135363353251</v>
      </c>
      <c r="M91" s="47">
        <v>867</v>
      </c>
      <c r="N91" s="49">
        <v>34</v>
      </c>
      <c r="O91" s="47">
        <v>2017</v>
      </c>
      <c r="P91" s="49">
        <v>56</v>
      </c>
      <c r="Q91" s="47">
        <v>1919</v>
      </c>
      <c r="R91" s="49">
        <v>23</v>
      </c>
      <c r="S91" s="47">
        <v>1374</v>
      </c>
      <c r="T91" s="49">
        <v>127</v>
      </c>
      <c r="U91" s="47">
        <v>941</v>
      </c>
      <c r="V91" s="49">
        <v>25</v>
      </c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</row>
    <row r="92" spans="1:36" s="2" customFormat="1" ht="12.75">
      <c r="A92" s="130" t="s">
        <v>170</v>
      </c>
      <c r="B92" s="123"/>
      <c r="C92" s="123"/>
      <c r="D92" s="22"/>
      <c r="E92" s="67">
        <f>SUM(E93:E99)</f>
        <v>2822</v>
      </c>
      <c r="F92" s="67">
        <f aca="true" t="shared" si="18" ref="F92:V92">SUM(F93:F99)</f>
        <v>1592</v>
      </c>
      <c r="G92" s="67">
        <f t="shared" si="18"/>
        <v>2732</v>
      </c>
      <c r="H92" s="67">
        <f t="shared" si="18"/>
        <v>795</v>
      </c>
      <c r="I92" s="67">
        <f t="shared" si="18"/>
        <v>3356</v>
      </c>
      <c r="J92" s="67">
        <f t="shared" si="18"/>
        <v>1192</v>
      </c>
      <c r="K92" s="67">
        <f t="shared" si="18"/>
        <v>4210</v>
      </c>
      <c r="L92" s="67">
        <f t="shared" si="18"/>
        <v>1235</v>
      </c>
      <c r="M92" s="67">
        <f t="shared" si="18"/>
        <v>5963</v>
      </c>
      <c r="N92" s="67">
        <f t="shared" si="18"/>
        <v>1571</v>
      </c>
      <c r="O92" s="67">
        <f t="shared" si="18"/>
        <v>5821</v>
      </c>
      <c r="P92" s="67">
        <f t="shared" si="18"/>
        <v>1301</v>
      </c>
      <c r="Q92" s="67">
        <f t="shared" si="18"/>
        <v>5110</v>
      </c>
      <c r="R92" s="67">
        <f t="shared" si="18"/>
        <v>1596</v>
      </c>
      <c r="S92" s="67">
        <f t="shared" si="18"/>
        <v>5453</v>
      </c>
      <c r="T92" s="67">
        <f t="shared" si="18"/>
        <v>1536</v>
      </c>
      <c r="U92" s="67">
        <f t="shared" si="18"/>
        <v>5464</v>
      </c>
      <c r="V92" s="67">
        <f t="shared" si="18"/>
        <v>1529</v>
      </c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</row>
    <row r="93" spans="1:36" s="2" customFormat="1" ht="12.75">
      <c r="A93" s="29"/>
      <c r="B93" s="23" t="s">
        <v>27</v>
      </c>
      <c r="E93" s="53">
        <v>227</v>
      </c>
      <c r="F93" s="49">
        <v>85</v>
      </c>
      <c r="G93" s="47">
        <v>221</v>
      </c>
      <c r="H93" s="48">
        <v>38</v>
      </c>
      <c r="I93" s="56">
        <f>ROUND((1367/1936.27)*1000,0)</f>
        <v>706</v>
      </c>
      <c r="J93" s="53">
        <f>ROUND(361500/1936.27,0)</f>
        <v>187</v>
      </c>
      <c r="K93" s="53">
        <v>399</v>
      </c>
      <c r="L93" s="53">
        <f>ROUND((107600/1936.27),0)</f>
        <v>56</v>
      </c>
      <c r="M93" s="53">
        <v>257</v>
      </c>
      <c r="N93" s="53">
        <v>23</v>
      </c>
      <c r="O93" s="53">
        <v>137</v>
      </c>
      <c r="P93" s="53">
        <v>38</v>
      </c>
      <c r="Q93" s="53">
        <v>138</v>
      </c>
      <c r="R93" s="53">
        <v>28</v>
      </c>
      <c r="S93" s="53">
        <v>96</v>
      </c>
      <c r="T93" s="53">
        <v>48</v>
      </c>
      <c r="U93" s="53">
        <v>74</v>
      </c>
      <c r="V93" s="53">
        <v>20</v>
      </c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</row>
    <row r="94" spans="1:36" s="2" customFormat="1" ht="12.75">
      <c r="A94" s="29"/>
      <c r="B94" s="24" t="s">
        <v>66</v>
      </c>
      <c r="E94" s="47">
        <f>320-ROUND(12000/1936.27,0)</f>
        <v>314</v>
      </c>
      <c r="F94" s="48">
        <v>182</v>
      </c>
      <c r="G94" s="47">
        <f>875-ROUND(17973/1936.27,0)</f>
        <v>866</v>
      </c>
      <c r="H94" s="48">
        <v>117</v>
      </c>
      <c r="I94" s="56">
        <f>ROUND((1634/1936.27)*1000,0)</f>
        <v>844</v>
      </c>
      <c r="J94" s="53">
        <f>ROUND(292090/1936.27,0)</f>
        <v>151</v>
      </c>
      <c r="K94" s="53">
        <v>888</v>
      </c>
      <c r="L94" s="53">
        <f>ROUND((300000/1936.27),0)</f>
        <v>155</v>
      </c>
      <c r="M94" s="53">
        <v>2475</v>
      </c>
      <c r="N94" s="53">
        <v>804</v>
      </c>
      <c r="O94" s="53">
        <v>2234</v>
      </c>
      <c r="P94" s="53">
        <v>570</v>
      </c>
      <c r="Q94" s="53">
        <v>2766</v>
      </c>
      <c r="R94" s="53">
        <v>843</v>
      </c>
      <c r="S94" s="53">
        <v>3451</v>
      </c>
      <c r="T94" s="53">
        <v>642</v>
      </c>
      <c r="U94" s="53">
        <v>3757</v>
      </c>
      <c r="V94" s="53">
        <v>615</v>
      </c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</row>
    <row r="95" spans="1:36" s="2" customFormat="1" ht="12.75">
      <c r="A95" s="29"/>
      <c r="B95" s="23" t="s">
        <v>75</v>
      </c>
      <c r="E95" s="47">
        <f>480-ROUND((580000+128796)/1936.27,0)</f>
        <v>114</v>
      </c>
      <c r="F95" s="48">
        <v>0</v>
      </c>
      <c r="G95" s="47">
        <f>596-ROUND((87000+650000)/1936.27,0)</f>
        <v>215</v>
      </c>
      <c r="H95" s="48">
        <f>59-45</f>
        <v>14</v>
      </c>
      <c r="I95" s="56">
        <f>ROUND((368/1936.27)*1000,0)</f>
        <v>190</v>
      </c>
      <c r="J95" s="53">
        <f>ROUND(23000/1936.27,0)</f>
        <v>12</v>
      </c>
      <c r="K95" s="53">
        <v>203</v>
      </c>
      <c r="L95" s="53"/>
      <c r="M95" s="53">
        <v>116</v>
      </c>
      <c r="N95" s="53"/>
      <c r="O95" s="53">
        <v>147</v>
      </c>
      <c r="P95" s="53"/>
      <c r="Q95" s="53">
        <v>97</v>
      </c>
      <c r="R95" s="53">
        <v>5</v>
      </c>
      <c r="S95" s="53">
        <v>86</v>
      </c>
      <c r="T95" s="53"/>
      <c r="U95" s="53">
        <v>31</v>
      </c>
      <c r="V95" s="53">
        <v>24</v>
      </c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</row>
    <row r="96" spans="1:36" s="2" customFormat="1" ht="12.75">
      <c r="A96" s="29"/>
      <c r="B96" s="23" t="s">
        <v>76</v>
      </c>
      <c r="E96" s="47">
        <f>0+ROUND((65000+12000+580000+128796)/1936.27,0)</f>
        <v>406</v>
      </c>
      <c r="F96" s="48">
        <v>67</v>
      </c>
      <c r="G96" s="47">
        <f>+ROUND((18000+87000+650000)/1936.27,0)</f>
        <v>390</v>
      </c>
      <c r="H96" s="48">
        <v>45</v>
      </c>
      <c r="I96" s="56">
        <f>ROUND((2213/1936.27)*1000,0)</f>
        <v>1143</v>
      </c>
      <c r="J96" s="53">
        <f>ROUND(1536207/1936.27,0)</f>
        <v>793</v>
      </c>
      <c r="K96" s="53">
        <v>2275</v>
      </c>
      <c r="L96" s="53">
        <f>ROUND((1948733/1936.27),0)</f>
        <v>1006</v>
      </c>
      <c r="M96" s="53">
        <f>2366+30</f>
        <v>2396</v>
      </c>
      <c r="N96" s="53">
        <v>736</v>
      </c>
      <c r="O96" s="53">
        <f>2498+92</f>
        <v>2590</v>
      </c>
      <c r="P96" s="53">
        <v>649</v>
      </c>
      <c r="Q96" s="53">
        <v>1509</v>
      </c>
      <c r="R96" s="53">
        <v>694</v>
      </c>
      <c r="S96" s="53">
        <v>1256</v>
      </c>
      <c r="T96" s="53">
        <v>785</v>
      </c>
      <c r="U96" s="53">
        <v>1487</v>
      </c>
      <c r="V96" s="53">
        <v>864</v>
      </c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</row>
    <row r="97" spans="1:36" s="2" customFormat="1" ht="12.75">
      <c r="A97" s="29"/>
      <c r="B97" s="23" t="s">
        <v>82</v>
      </c>
      <c r="E97" s="47">
        <v>444</v>
      </c>
      <c r="F97" s="48">
        <v>41</v>
      </c>
      <c r="G97" s="47">
        <v>467</v>
      </c>
      <c r="H97" s="48">
        <v>65</v>
      </c>
      <c r="I97" s="56">
        <f>ROUND((916/1936.27)*1000,0)</f>
        <v>473</v>
      </c>
      <c r="J97" s="53">
        <f>ROUND(94889/1936.27,0)</f>
        <v>49</v>
      </c>
      <c r="K97" s="53">
        <v>445</v>
      </c>
      <c r="L97" s="53">
        <f>ROUND((34765/1936.27),0)</f>
        <v>18</v>
      </c>
      <c r="M97" s="53">
        <v>719</v>
      </c>
      <c r="N97" s="53">
        <v>8</v>
      </c>
      <c r="O97" s="53">
        <v>677</v>
      </c>
      <c r="P97" s="53">
        <v>8</v>
      </c>
      <c r="Q97" s="53">
        <v>565</v>
      </c>
      <c r="R97" s="53">
        <v>8</v>
      </c>
      <c r="S97" s="53">
        <v>491</v>
      </c>
      <c r="T97" s="53">
        <v>6</v>
      </c>
      <c r="U97" s="53">
        <v>113</v>
      </c>
      <c r="V97" s="53">
        <v>6</v>
      </c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</row>
    <row r="98" spans="1:36" s="2" customFormat="1" ht="12.75">
      <c r="A98" s="29"/>
      <c r="B98" s="23" t="s">
        <v>171</v>
      </c>
      <c r="E98" s="47"/>
      <c r="F98" s="48"/>
      <c r="G98" s="47"/>
      <c r="H98" s="48"/>
      <c r="I98" s="56"/>
      <c r="J98" s="53"/>
      <c r="K98" s="53"/>
      <c r="L98" s="53"/>
      <c r="M98" s="53"/>
      <c r="N98" s="53"/>
      <c r="O98" s="53">
        <v>36</v>
      </c>
      <c r="P98" s="53">
        <v>36</v>
      </c>
      <c r="Q98" s="53">
        <v>35</v>
      </c>
      <c r="R98" s="53">
        <v>18</v>
      </c>
      <c r="S98" s="53">
        <v>73</v>
      </c>
      <c r="T98" s="53">
        <v>55</v>
      </c>
      <c r="U98" s="53">
        <v>2</v>
      </c>
      <c r="V98" s="5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s="2" customFormat="1" ht="12.75">
      <c r="A99" s="37"/>
      <c r="B99" s="58" t="s">
        <v>67</v>
      </c>
      <c r="C99" s="40"/>
      <c r="D99" s="59"/>
      <c r="E99" s="104">
        <f>1351-ROUND(65000/1936.27,0)</f>
        <v>1317</v>
      </c>
      <c r="F99" s="105">
        <v>1217</v>
      </c>
      <c r="G99" s="104">
        <f>573</f>
        <v>573</v>
      </c>
      <c r="H99" s="105">
        <v>516</v>
      </c>
      <c r="I99" s="106">
        <v>0</v>
      </c>
      <c r="J99" s="60"/>
      <c r="K99" s="60">
        <v>0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</row>
    <row r="100" spans="1:36" s="2" customFormat="1" ht="12.75">
      <c r="A100" s="130" t="s">
        <v>129</v>
      </c>
      <c r="B100" s="123"/>
      <c r="C100" s="123"/>
      <c r="D100" s="22"/>
      <c r="E100" s="67">
        <f>SUM(E101:E116)</f>
        <v>13043</v>
      </c>
      <c r="F100" s="67">
        <f aca="true" t="shared" si="19" ref="F100:V100">SUM(F101:F116)</f>
        <v>303</v>
      </c>
      <c r="G100" s="67">
        <f t="shared" si="19"/>
        <v>16143</v>
      </c>
      <c r="H100" s="67">
        <f t="shared" si="19"/>
        <v>7319</v>
      </c>
      <c r="I100" s="67">
        <f t="shared" si="19"/>
        <v>14672</v>
      </c>
      <c r="J100" s="67">
        <f t="shared" si="19"/>
        <v>3888</v>
      </c>
      <c r="K100" s="67">
        <f t="shared" si="19"/>
        <v>11558</v>
      </c>
      <c r="L100" s="67">
        <f t="shared" si="19"/>
        <v>1616</v>
      </c>
      <c r="M100" s="67">
        <f t="shared" si="19"/>
        <v>10914</v>
      </c>
      <c r="N100" s="67">
        <f t="shared" si="19"/>
        <v>542</v>
      </c>
      <c r="O100" s="67">
        <f t="shared" si="19"/>
        <v>14794</v>
      </c>
      <c r="P100" s="67">
        <f t="shared" si="19"/>
        <v>2059</v>
      </c>
      <c r="Q100" s="67">
        <f t="shared" si="19"/>
        <v>14290</v>
      </c>
      <c r="R100" s="67">
        <f t="shared" si="19"/>
        <v>1630</v>
      </c>
      <c r="S100" s="67">
        <f t="shared" si="19"/>
        <v>13591</v>
      </c>
      <c r="T100" s="67">
        <f t="shared" si="19"/>
        <v>1910</v>
      </c>
      <c r="U100" s="67">
        <f t="shared" si="19"/>
        <v>9239</v>
      </c>
      <c r="V100" s="67">
        <f t="shared" si="19"/>
        <v>1058</v>
      </c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</row>
    <row r="101" spans="1:36" s="2" customFormat="1" ht="12.75">
      <c r="A101" s="29"/>
      <c r="B101" s="24" t="s">
        <v>8</v>
      </c>
      <c r="E101" s="53">
        <f>ROUND(828000/1936.27,0)</f>
        <v>428</v>
      </c>
      <c r="F101" s="49">
        <v>238</v>
      </c>
      <c r="G101" s="47">
        <v>694</v>
      </c>
      <c r="H101" s="48">
        <v>525</v>
      </c>
      <c r="I101" s="56">
        <f>ROUND((843/1936.27)*1000,0)</f>
        <v>435</v>
      </c>
      <c r="J101" s="49">
        <f>ROUND(329000/1936.27,0)</f>
        <v>170</v>
      </c>
      <c r="K101" s="47">
        <v>1846</v>
      </c>
      <c r="L101" s="53">
        <f>ROUND((3015000/1936.27),0)</f>
        <v>1557</v>
      </c>
      <c r="M101" s="47">
        <v>113</v>
      </c>
      <c r="N101" s="53"/>
      <c r="O101" s="47">
        <v>191</v>
      </c>
      <c r="P101" s="53"/>
      <c r="Q101" s="47">
        <v>126</v>
      </c>
      <c r="R101" s="53"/>
      <c r="S101" s="47">
        <v>122</v>
      </c>
      <c r="T101" s="53"/>
      <c r="U101" s="47">
        <v>46</v>
      </c>
      <c r="V101" s="5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</row>
    <row r="102" spans="1:36" s="2" customFormat="1" ht="12.75">
      <c r="A102" s="29"/>
      <c r="B102" s="24" t="s">
        <v>92</v>
      </c>
      <c r="E102" s="53">
        <f>ROUND(8731000/1936.27,0)</f>
        <v>4509</v>
      </c>
      <c r="F102" s="48"/>
      <c r="G102" s="47">
        <v>805</v>
      </c>
      <c r="H102" s="48"/>
      <c r="I102" s="56">
        <f>ROUND((674/1936.27)*1000,0)</f>
        <v>348</v>
      </c>
      <c r="J102" s="49"/>
      <c r="K102" s="47">
        <v>1310</v>
      </c>
      <c r="L102" s="53"/>
      <c r="M102" s="47">
        <v>1943</v>
      </c>
      <c r="N102" s="53">
        <v>87</v>
      </c>
      <c r="O102" s="47">
        <v>3609</v>
      </c>
      <c r="P102" s="53">
        <v>833</v>
      </c>
      <c r="Q102" s="47">
        <v>3222</v>
      </c>
      <c r="R102" s="53">
        <v>648</v>
      </c>
      <c r="S102" s="47">
        <v>2316</v>
      </c>
      <c r="T102" s="53">
        <v>855</v>
      </c>
      <c r="U102" s="47">
        <v>1198</v>
      </c>
      <c r="V102" s="53">
        <v>415</v>
      </c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</row>
    <row r="103" spans="1:36" s="2" customFormat="1" ht="12.75">
      <c r="A103" s="29"/>
      <c r="B103" s="24" t="s">
        <v>77</v>
      </c>
      <c r="E103" s="53">
        <f>ROUND(1973000/1936.27,0)</f>
        <v>1019</v>
      </c>
      <c r="F103" s="48"/>
      <c r="G103" s="47">
        <v>7165</v>
      </c>
      <c r="H103" s="48">
        <v>6714</v>
      </c>
      <c r="I103" s="56">
        <f>ROUND((11149/1936.27)*1000,0)</f>
        <v>5758</v>
      </c>
      <c r="J103" s="49">
        <v>3615</v>
      </c>
      <c r="K103" s="47">
        <v>0</v>
      </c>
      <c r="L103" s="53"/>
      <c r="M103" s="47">
        <v>270</v>
      </c>
      <c r="N103" s="53">
        <v>270</v>
      </c>
      <c r="O103" s="47">
        <v>59</v>
      </c>
      <c r="P103" s="53">
        <v>59</v>
      </c>
      <c r="Q103" s="47"/>
      <c r="R103" s="53"/>
      <c r="S103" s="47"/>
      <c r="T103" s="53"/>
      <c r="U103" s="47"/>
      <c r="V103" s="5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</row>
    <row r="104" spans="1:36" s="2" customFormat="1" ht="12.75">
      <c r="A104" s="29"/>
      <c r="B104" s="24" t="s">
        <v>50</v>
      </c>
      <c r="E104" s="53">
        <f>ROUND(5539000/1936.27,0)</f>
        <v>2861</v>
      </c>
      <c r="F104" s="48"/>
      <c r="G104" s="47">
        <v>3001</v>
      </c>
      <c r="H104" s="48"/>
      <c r="I104" s="56">
        <f>ROUND((6431/1936.27)*1000,0)</f>
        <v>3321</v>
      </c>
      <c r="J104" s="49"/>
      <c r="K104" s="47">
        <v>2893</v>
      </c>
      <c r="L104" s="53"/>
      <c r="M104" s="47">
        <v>2680</v>
      </c>
      <c r="N104" s="53"/>
      <c r="O104" s="47">
        <v>2879</v>
      </c>
      <c r="P104" s="53">
        <v>8</v>
      </c>
      <c r="Q104" s="47">
        <v>2890</v>
      </c>
      <c r="R104" s="53">
        <v>19</v>
      </c>
      <c r="S104" s="47">
        <v>3144</v>
      </c>
      <c r="T104" s="53">
        <v>46</v>
      </c>
      <c r="U104" s="47">
        <v>2814</v>
      </c>
      <c r="V104" s="53">
        <v>3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</row>
    <row r="105" spans="1:36" s="2" customFormat="1" ht="12.75">
      <c r="A105" s="29"/>
      <c r="B105" s="24" t="s">
        <v>18</v>
      </c>
      <c r="E105" s="53">
        <f>ROUND(1266000/1936.27,0)</f>
        <v>654</v>
      </c>
      <c r="F105" s="48">
        <v>6</v>
      </c>
      <c r="G105" s="47">
        <v>728</v>
      </c>
      <c r="H105" s="48">
        <v>3</v>
      </c>
      <c r="I105" s="56">
        <f>ROUND((1670/1936.27)*1000,0)</f>
        <v>862</v>
      </c>
      <c r="J105" s="49">
        <f>+ROUND(4319/1936.27,0)</f>
        <v>2</v>
      </c>
      <c r="K105" s="47">
        <v>757</v>
      </c>
      <c r="L105" s="53">
        <v>2</v>
      </c>
      <c r="M105" s="47">
        <v>819</v>
      </c>
      <c r="N105" s="53">
        <v>53</v>
      </c>
      <c r="O105" s="47">
        <v>700</v>
      </c>
      <c r="P105" s="53">
        <v>94</v>
      </c>
      <c r="Q105" s="47">
        <v>754</v>
      </c>
      <c r="R105" s="53">
        <v>112</v>
      </c>
      <c r="S105" s="47">
        <v>578</v>
      </c>
      <c r="T105" s="53">
        <v>2</v>
      </c>
      <c r="U105" s="47">
        <v>386</v>
      </c>
      <c r="V105" s="53">
        <v>136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</row>
    <row r="106" spans="1:36" s="2" customFormat="1" ht="12.75">
      <c r="A106" s="29"/>
      <c r="B106" s="24" t="s">
        <v>124</v>
      </c>
      <c r="E106" s="53"/>
      <c r="F106" s="48"/>
      <c r="G106" s="47"/>
      <c r="H106" s="48"/>
      <c r="I106" s="56"/>
      <c r="J106" s="49"/>
      <c r="K106" s="47"/>
      <c r="L106" s="53"/>
      <c r="M106" s="47">
        <v>76</v>
      </c>
      <c r="N106" s="53"/>
      <c r="O106" s="47">
        <v>736</v>
      </c>
      <c r="P106" s="53">
        <v>607</v>
      </c>
      <c r="Q106" s="47">
        <v>451</v>
      </c>
      <c r="R106" s="53">
        <v>31</v>
      </c>
      <c r="S106" s="47">
        <v>359</v>
      </c>
      <c r="T106" s="53">
        <v>125</v>
      </c>
      <c r="U106" s="47">
        <v>172</v>
      </c>
      <c r="V106" s="53">
        <v>15</v>
      </c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</row>
    <row r="107" spans="1:36" s="2" customFormat="1" ht="12.75">
      <c r="A107" s="29"/>
      <c r="B107" s="24" t="s">
        <v>78</v>
      </c>
      <c r="E107" s="53">
        <f>ROUND(675000/1936.27,0)</f>
        <v>349</v>
      </c>
      <c r="F107" s="48"/>
      <c r="G107" s="47">
        <v>588</v>
      </c>
      <c r="H107" s="48"/>
      <c r="I107" s="56">
        <f>ROUND((1278/1936.27)*1000,0)</f>
        <v>660</v>
      </c>
      <c r="J107" s="49"/>
      <c r="K107" s="47">
        <v>1082</v>
      </c>
      <c r="L107" s="53"/>
      <c r="M107" s="47">
        <v>1509</v>
      </c>
      <c r="N107" s="53"/>
      <c r="O107" s="47">
        <v>2501</v>
      </c>
      <c r="P107" s="53">
        <v>70</v>
      </c>
      <c r="Q107" s="47">
        <v>2072</v>
      </c>
      <c r="R107" s="53">
        <v>9</v>
      </c>
      <c r="S107" s="47">
        <v>2324</v>
      </c>
      <c r="T107" s="53"/>
      <c r="U107" s="47">
        <v>1905</v>
      </c>
      <c r="V107" s="53">
        <v>15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</row>
    <row r="108" spans="1:36" s="2" customFormat="1" ht="12.75">
      <c r="A108" s="29"/>
      <c r="B108" s="24" t="s">
        <v>19</v>
      </c>
      <c r="E108" s="53">
        <f>ROUND(968000/1936.27,0)</f>
        <v>500</v>
      </c>
      <c r="F108" s="48"/>
      <c r="G108" s="47">
        <v>410</v>
      </c>
      <c r="H108" s="48"/>
      <c r="I108" s="56">
        <f>ROUND((748/1936.27)*1000,0)</f>
        <v>386</v>
      </c>
      <c r="J108" s="49"/>
      <c r="K108" s="47">
        <v>457</v>
      </c>
      <c r="L108" s="53"/>
      <c r="M108" s="47">
        <v>454</v>
      </c>
      <c r="N108" s="53">
        <v>19</v>
      </c>
      <c r="O108" s="47">
        <v>451</v>
      </c>
      <c r="P108" s="53">
        <v>19</v>
      </c>
      <c r="Q108" s="47">
        <v>454</v>
      </c>
      <c r="R108" s="53">
        <v>156</v>
      </c>
      <c r="S108" s="47">
        <v>316</v>
      </c>
      <c r="T108" s="53">
        <v>11</v>
      </c>
      <c r="U108" s="47">
        <v>238</v>
      </c>
      <c r="V108" s="53">
        <v>54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</row>
    <row r="109" spans="1:36" s="2" customFormat="1" ht="12.75">
      <c r="A109" s="29"/>
      <c r="B109" s="24" t="s">
        <v>20</v>
      </c>
      <c r="E109" s="53">
        <f>ROUND(1172000/1936.27,0)</f>
        <v>605</v>
      </c>
      <c r="F109" s="48"/>
      <c r="G109" s="47">
        <v>617</v>
      </c>
      <c r="H109" s="48"/>
      <c r="I109" s="56">
        <f>ROUND((1194/1936.27)*1000,0)</f>
        <v>617</v>
      </c>
      <c r="J109" s="49"/>
      <c r="K109" s="47">
        <v>746</v>
      </c>
      <c r="L109" s="53"/>
      <c r="M109" s="47">
        <v>650</v>
      </c>
      <c r="N109" s="53"/>
      <c r="O109" s="47">
        <v>620</v>
      </c>
      <c r="P109" s="53"/>
      <c r="Q109" s="47">
        <v>588</v>
      </c>
      <c r="R109" s="53">
        <v>80</v>
      </c>
      <c r="S109" s="47">
        <v>771</v>
      </c>
      <c r="T109" s="53">
        <v>201</v>
      </c>
      <c r="U109" s="47">
        <v>357</v>
      </c>
      <c r="V109" s="53">
        <v>15</v>
      </c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</row>
    <row r="110" spans="1:36" s="2" customFormat="1" ht="12.75">
      <c r="A110" s="29"/>
      <c r="B110" s="24" t="s">
        <v>21</v>
      </c>
      <c r="E110" s="53">
        <f>ROUND(951000/1936.27,0)</f>
        <v>491</v>
      </c>
      <c r="F110" s="48"/>
      <c r="G110" s="47">
        <v>491</v>
      </c>
      <c r="H110" s="48"/>
      <c r="I110" s="56">
        <f>ROUND((961/1936.27)*1000,0)</f>
        <v>496</v>
      </c>
      <c r="J110" s="49"/>
      <c r="K110" s="47">
        <v>491</v>
      </c>
      <c r="L110" s="53"/>
      <c r="M110" s="47">
        <f>497+53</f>
        <v>550</v>
      </c>
      <c r="N110" s="53"/>
      <c r="O110" s="47">
        <f>647+44</f>
        <v>691</v>
      </c>
      <c r="P110" s="53">
        <v>50</v>
      </c>
      <c r="Q110" s="47">
        <f>861+31</f>
        <v>892</v>
      </c>
      <c r="R110" s="53">
        <v>50</v>
      </c>
      <c r="S110" s="47">
        <v>1075</v>
      </c>
      <c r="T110" s="53">
        <v>330</v>
      </c>
      <c r="U110" s="47">
        <v>390</v>
      </c>
      <c r="V110" s="53">
        <v>10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</row>
    <row r="111" spans="1:36" s="2" customFormat="1" ht="12.75">
      <c r="A111" s="29"/>
      <c r="B111" s="24" t="s">
        <v>22</v>
      </c>
      <c r="E111" s="53">
        <f>ROUND(2225000/1936.27,0)</f>
        <v>1149</v>
      </c>
      <c r="F111" s="48"/>
      <c r="G111" s="47">
        <v>1136</v>
      </c>
      <c r="H111" s="48"/>
      <c r="I111" s="56">
        <f>ROUND((2195/1936.27)*1000,0)</f>
        <v>1134</v>
      </c>
      <c r="J111" s="49"/>
      <c r="K111" s="47">
        <v>1134</v>
      </c>
      <c r="L111" s="53"/>
      <c r="M111" s="47">
        <v>1053</v>
      </c>
      <c r="N111" s="53"/>
      <c r="O111" s="47">
        <v>1144</v>
      </c>
      <c r="P111" s="53"/>
      <c r="Q111" s="47">
        <v>1341</v>
      </c>
      <c r="R111" s="53"/>
      <c r="S111" s="47">
        <v>1310</v>
      </c>
      <c r="T111" s="53">
        <v>160</v>
      </c>
      <c r="U111" s="47">
        <v>620</v>
      </c>
      <c r="V111" s="5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</row>
    <row r="112" spans="1:36" s="2" customFormat="1" ht="12.75">
      <c r="A112" s="29"/>
      <c r="B112" s="24" t="s">
        <v>23</v>
      </c>
      <c r="E112" s="53">
        <f>ROUND(276000/1936.27,0)</f>
        <v>143</v>
      </c>
      <c r="F112" s="48">
        <v>59</v>
      </c>
      <c r="G112" s="47">
        <v>174</v>
      </c>
      <c r="H112" s="48">
        <v>77</v>
      </c>
      <c r="I112" s="56">
        <f>ROUND((412/1936.27)*1000,0)</f>
        <v>213</v>
      </c>
      <c r="J112" s="49">
        <f>ROUND(195300/1936.27,0)</f>
        <v>101</v>
      </c>
      <c r="K112" s="47">
        <v>191</v>
      </c>
      <c r="L112" s="53">
        <f>ROUND((110000/1936.27),0)</f>
        <v>57</v>
      </c>
      <c r="M112" s="47">
        <v>215</v>
      </c>
      <c r="N112" s="53">
        <v>65</v>
      </c>
      <c r="O112" s="47">
        <v>209</v>
      </c>
      <c r="P112" s="53">
        <v>58</v>
      </c>
      <c r="Q112" s="47">
        <v>217</v>
      </c>
      <c r="R112" s="53">
        <v>76</v>
      </c>
      <c r="S112" s="47">
        <v>275</v>
      </c>
      <c r="T112" s="53">
        <v>115</v>
      </c>
      <c r="U112" s="47">
        <v>227</v>
      </c>
      <c r="V112" s="53">
        <v>151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s="2" customFormat="1" ht="12.75">
      <c r="A113" s="29"/>
      <c r="B113" s="24" t="s">
        <v>24</v>
      </c>
      <c r="E113" s="53">
        <f>ROUND(309000/1936.27,0)</f>
        <v>160</v>
      </c>
      <c r="F113" s="48"/>
      <c r="G113" s="47">
        <v>142</v>
      </c>
      <c r="H113" s="48"/>
      <c r="I113" s="56">
        <f>ROUND((411/1936.27)*1000,0)</f>
        <v>212</v>
      </c>
      <c r="J113" s="49"/>
      <c r="K113" s="47">
        <v>167</v>
      </c>
      <c r="L113" s="53"/>
      <c r="M113" s="47">
        <v>177</v>
      </c>
      <c r="N113" s="53"/>
      <c r="O113" s="47">
        <v>191</v>
      </c>
      <c r="P113" s="53"/>
      <c r="Q113" s="47">
        <v>303</v>
      </c>
      <c r="R113" s="53"/>
      <c r="S113" s="47">
        <v>321</v>
      </c>
      <c r="T113" s="53"/>
      <c r="U113" s="47">
        <v>298</v>
      </c>
      <c r="V113" s="53">
        <v>20</v>
      </c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s="2" customFormat="1" ht="12.75">
      <c r="A114" s="29"/>
      <c r="B114" s="24" t="s">
        <v>79</v>
      </c>
      <c r="E114" s="53"/>
      <c r="F114" s="48"/>
      <c r="G114" s="47"/>
      <c r="H114" s="48"/>
      <c r="I114" s="56"/>
      <c r="J114" s="49"/>
      <c r="K114" s="47">
        <v>79</v>
      </c>
      <c r="L114" s="53"/>
      <c r="M114" s="47">
        <v>212</v>
      </c>
      <c r="N114" s="53">
        <v>48</v>
      </c>
      <c r="O114" s="47">
        <v>242</v>
      </c>
      <c r="P114" s="53">
        <v>58</v>
      </c>
      <c r="Q114" s="47">
        <v>470</v>
      </c>
      <c r="R114" s="53">
        <v>218</v>
      </c>
      <c r="S114" s="47">
        <v>418</v>
      </c>
      <c r="T114" s="53">
        <v>65</v>
      </c>
      <c r="U114" s="47">
        <v>252</v>
      </c>
      <c r="V114" s="53">
        <v>12</v>
      </c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</row>
    <row r="115" spans="1:36" s="2" customFormat="1" ht="12.75">
      <c r="A115" s="29"/>
      <c r="B115" s="24" t="s">
        <v>80</v>
      </c>
      <c r="E115" s="53">
        <f>ROUND(339000/1936.27,0)</f>
        <v>175</v>
      </c>
      <c r="F115" s="48"/>
      <c r="G115" s="47">
        <v>192</v>
      </c>
      <c r="H115" s="48"/>
      <c r="I115" s="56">
        <f>ROUND((405/1936.27)*1000,0)</f>
        <v>209</v>
      </c>
      <c r="J115" s="53"/>
      <c r="K115" s="49">
        <v>174</v>
      </c>
      <c r="L115" s="49"/>
      <c r="M115" s="53">
        <v>122</v>
      </c>
      <c r="N115" s="49"/>
      <c r="O115" s="49">
        <v>99</v>
      </c>
      <c r="P115" s="49"/>
      <c r="Q115" s="49">
        <v>74</v>
      </c>
      <c r="R115" s="49">
        <v>20</v>
      </c>
      <c r="S115" s="49">
        <v>102</v>
      </c>
      <c r="T115" s="49"/>
      <c r="U115" s="53">
        <v>74</v>
      </c>
      <c r="V115" s="49">
        <v>50</v>
      </c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</row>
    <row r="116" spans="1:36" s="2" customFormat="1" ht="12.75">
      <c r="A116" s="29"/>
      <c r="B116" s="24" t="s">
        <v>176</v>
      </c>
      <c r="E116" s="53"/>
      <c r="F116" s="48"/>
      <c r="G116" s="47"/>
      <c r="H116" s="48"/>
      <c r="I116" s="56">
        <v>21</v>
      </c>
      <c r="J116" s="53"/>
      <c r="K116" s="49">
        <v>231</v>
      </c>
      <c r="L116" s="49"/>
      <c r="M116" s="53">
        <v>71</v>
      </c>
      <c r="N116" s="49"/>
      <c r="O116" s="49">
        <v>472</v>
      </c>
      <c r="P116" s="49">
        <v>203</v>
      </c>
      <c r="Q116" s="49">
        <v>436</v>
      </c>
      <c r="R116" s="49">
        <v>211</v>
      </c>
      <c r="S116" s="49">
        <v>160</v>
      </c>
      <c r="T116" s="49"/>
      <c r="U116" s="53">
        <v>262</v>
      </c>
      <c r="V116" s="49">
        <v>162</v>
      </c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</row>
    <row r="117" spans="1:36" s="2" customFormat="1" ht="12.75">
      <c r="A117" s="130" t="s">
        <v>172</v>
      </c>
      <c r="B117" s="123"/>
      <c r="C117" s="123"/>
      <c r="D117" s="22"/>
      <c r="E117" s="67">
        <f>SUM(E118:E122)</f>
        <v>1695</v>
      </c>
      <c r="F117" s="67">
        <f aca="true" t="shared" si="20" ref="F117:V117">SUM(F118:F122)</f>
        <v>1057</v>
      </c>
      <c r="G117" s="67">
        <f t="shared" si="20"/>
        <v>3335</v>
      </c>
      <c r="H117" s="67">
        <f t="shared" si="20"/>
        <v>2561</v>
      </c>
      <c r="I117" s="67">
        <f t="shared" si="20"/>
        <v>2664</v>
      </c>
      <c r="J117" s="67">
        <f t="shared" si="20"/>
        <v>1425</v>
      </c>
      <c r="K117" s="67">
        <f t="shared" si="20"/>
        <v>3420</v>
      </c>
      <c r="L117" s="67">
        <f t="shared" si="20"/>
        <v>2772</v>
      </c>
      <c r="M117" s="67">
        <f t="shared" si="20"/>
        <v>3019</v>
      </c>
      <c r="N117" s="67">
        <f t="shared" si="20"/>
        <v>2088</v>
      </c>
      <c r="O117" s="67">
        <f t="shared" si="20"/>
        <v>3092</v>
      </c>
      <c r="P117" s="67">
        <f t="shared" si="20"/>
        <v>2461</v>
      </c>
      <c r="Q117" s="67">
        <f t="shared" si="20"/>
        <v>870</v>
      </c>
      <c r="R117" s="67">
        <f t="shared" si="20"/>
        <v>87</v>
      </c>
      <c r="S117" s="67">
        <f t="shared" si="20"/>
        <v>3132</v>
      </c>
      <c r="T117" s="67">
        <f t="shared" si="20"/>
        <v>2541</v>
      </c>
      <c r="U117" s="67">
        <f t="shared" si="20"/>
        <v>575</v>
      </c>
      <c r="V117" s="67">
        <f t="shared" si="20"/>
        <v>159</v>
      </c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</row>
    <row r="118" spans="1:36" s="2" customFormat="1" ht="12.75">
      <c r="A118" s="29"/>
      <c r="B118" s="10" t="s">
        <v>8</v>
      </c>
      <c r="E118" s="56">
        <v>206</v>
      </c>
      <c r="F118" s="54"/>
      <c r="G118" s="72">
        <v>427</v>
      </c>
      <c r="H118" s="85">
        <v>15</v>
      </c>
      <c r="I118" s="56">
        <f>ROUND((1066/1936.27)*1000,0)</f>
        <v>551</v>
      </c>
      <c r="J118" s="54">
        <f>ROUND(94145/1936.27,0)</f>
        <v>49</v>
      </c>
      <c r="K118" s="56">
        <v>491</v>
      </c>
      <c r="L118" s="56">
        <f>ROUND((77157/1936.27),0)</f>
        <v>40</v>
      </c>
      <c r="M118" s="56">
        <v>500</v>
      </c>
      <c r="N118" s="56"/>
      <c r="O118" s="56">
        <v>204</v>
      </c>
      <c r="P118" s="56"/>
      <c r="Q118" s="56">
        <v>219</v>
      </c>
      <c r="R118" s="56"/>
      <c r="S118" s="56">
        <v>145</v>
      </c>
      <c r="T118" s="56"/>
      <c r="U118" s="56">
        <v>43</v>
      </c>
      <c r="V118" s="56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</row>
    <row r="119" spans="1:36" s="2" customFormat="1" ht="12.75">
      <c r="A119" s="29"/>
      <c r="B119" s="24" t="s">
        <v>141</v>
      </c>
      <c r="E119" s="53">
        <v>1454</v>
      </c>
      <c r="F119" s="49">
        <v>1040</v>
      </c>
      <c r="G119" s="47">
        <v>2878</v>
      </c>
      <c r="H119" s="48">
        <v>2516</v>
      </c>
      <c r="I119" s="56">
        <f>ROUND((3709/1936.27)*1000,0)</f>
        <v>1916</v>
      </c>
      <c r="J119" s="49">
        <f>ROUND(2282348/1936.27,0)</f>
        <v>1179</v>
      </c>
      <c r="K119" s="53">
        <v>2896</v>
      </c>
      <c r="L119" s="53">
        <f>ROUND((5225459/1936.27),0)</f>
        <v>2699</v>
      </c>
      <c r="M119" s="53">
        <v>2155</v>
      </c>
      <c r="N119" s="53">
        <v>2087</v>
      </c>
      <c r="O119" s="53">
        <v>2516</v>
      </c>
      <c r="P119" s="53">
        <v>2460</v>
      </c>
      <c r="Q119" s="53">
        <v>297</v>
      </c>
      <c r="R119" s="53">
        <v>86</v>
      </c>
      <c r="S119" s="53">
        <v>2541</v>
      </c>
      <c r="T119" s="53">
        <v>2391</v>
      </c>
      <c r="U119" s="53">
        <v>345</v>
      </c>
      <c r="V119" s="53">
        <v>133</v>
      </c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</row>
    <row r="120" spans="1:36" s="57" customFormat="1" ht="12.75">
      <c r="A120" s="29"/>
      <c r="B120" s="24" t="s">
        <v>142</v>
      </c>
      <c r="C120" s="2"/>
      <c r="D120" s="2"/>
      <c r="E120" s="53">
        <v>35</v>
      </c>
      <c r="F120" s="49">
        <v>17</v>
      </c>
      <c r="G120" s="47">
        <v>30</v>
      </c>
      <c r="H120" s="48">
        <v>30</v>
      </c>
      <c r="I120" s="56">
        <f>ROUND((382/1936.27)*1000,0)</f>
        <v>197</v>
      </c>
      <c r="J120" s="49">
        <f>ROUND(381584/1936.27,0)</f>
        <v>197</v>
      </c>
      <c r="K120" s="53">
        <v>15</v>
      </c>
      <c r="L120" s="53">
        <v>15</v>
      </c>
      <c r="M120" s="53">
        <v>260</v>
      </c>
      <c r="N120" s="53"/>
      <c r="O120" s="53">
        <v>319</v>
      </c>
      <c r="P120" s="53"/>
      <c r="Q120" s="53">
        <v>337</v>
      </c>
      <c r="R120" s="53"/>
      <c r="S120" s="53">
        <v>280</v>
      </c>
      <c r="T120" s="53">
        <v>10</v>
      </c>
      <c r="U120" s="53">
        <v>156</v>
      </c>
      <c r="V120" s="53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</row>
    <row r="121" spans="1:38" s="2" customFormat="1" ht="12.75">
      <c r="A121" s="29"/>
      <c r="B121" s="24" t="s">
        <v>143</v>
      </c>
      <c r="E121" s="53"/>
      <c r="F121" s="49"/>
      <c r="G121" s="47"/>
      <c r="H121" s="48"/>
      <c r="I121" s="56"/>
      <c r="J121" s="49"/>
      <c r="K121" s="53"/>
      <c r="L121" s="53"/>
      <c r="M121" s="53"/>
      <c r="N121" s="53"/>
      <c r="O121" s="53"/>
      <c r="P121" s="53"/>
      <c r="Q121" s="53"/>
      <c r="R121" s="53"/>
      <c r="S121" s="53">
        <v>140</v>
      </c>
      <c r="T121" s="53">
        <v>140</v>
      </c>
      <c r="U121" s="53">
        <v>26</v>
      </c>
      <c r="V121" s="53">
        <v>26</v>
      </c>
      <c r="W121" s="110"/>
      <c r="X121" s="109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41"/>
      <c r="AL121" s="41"/>
    </row>
    <row r="122" spans="1:38" s="2" customFormat="1" ht="12.75">
      <c r="A122" s="29"/>
      <c r="B122" s="24" t="s">
        <v>109</v>
      </c>
      <c r="E122" s="53"/>
      <c r="F122" s="49"/>
      <c r="G122" s="47"/>
      <c r="H122" s="48"/>
      <c r="I122" s="56"/>
      <c r="J122" s="49"/>
      <c r="K122" s="53">
        <v>18</v>
      </c>
      <c r="L122" s="53">
        <v>18</v>
      </c>
      <c r="M122" s="53">
        <v>104</v>
      </c>
      <c r="N122" s="53">
        <v>1</v>
      </c>
      <c r="O122" s="53">
        <v>53</v>
      </c>
      <c r="P122" s="53">
        <v>1</v>
      </c>
      <c r="Q122" s="53">
        <v>17</v>
      </c>
      <c r="R122" s="53">
        <v>1</v>
      </c>
      <c r="S122" s="53">
        <v>26</v>
      </c>
      <c r="T122" s="53">
        <v>0</v>
      </c>
      <c r="U122" s="53">
        <v>5</v>
      </c>
      <c r="V122" s="53">
        <v>0</v>
      </c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66"/>
      <c r="AL122" s="166"/>
    </row>
    <row r="123" spans="1:36" s="2" customFormat="1" ht="12.75">
      <c r="A123" s="130" t="s">
        <v>173</v>
      </c>
      <c r="B123" s="123"/>
      <c r="C123" s="123"/>
      <c r="D123" s="22"/>
      <c r="E123" s="67">
        <f>SUM(E124:E130)</f>
        <v>4159</v>
      </c>
      <c r="F123" s="67">
        <f aca="true" t="shared" si="21" ref="F123:V123">SUM(F124:F130)</f>
        <v>13</v>
      </c>
      <c r="G123" s="67">
        <f t="shared" si="21"/>
        <v>4327</v>
      </c>
      <c r="H123" s="67">
        <f t="shared" si="21"/>
        <v>3</v>
      </c>
      <c r="I123" s="67">
        <f t="shared" si="21"/>
        <v>4088</v>
      </c>
      <c r="J123" s="67">
        <f t="shared" si="21"/>
        <v>5</v>
      </c>
      <c r="K123" s="67">
        <f t="shared" si="21"/>
        <v>4885</v>
      </c>
      <c r="L123" s="67">
        <f t="shared" si="21"/>
        <v>168</v>
      </c>
      <c r="M123" s="67">
        <f t="shared" si="21"/>
        <v>5426</v>
      </c>
      <c r="N123" s="67">
        <f t="shared" si="21"/>
        <v>496</v>
      </c>
      <c r="O123" s="67">
        <f t="shared" si="21"/>
        <v>5575</v>
      </c>
      <c r="P123" s="67">
        <f t="shared" si="21"/>
        <v>509</v>
      </c>
      <c r="Q123" s="67">
        <f t="shared" si="21"/>
        <v>5358</v>
      </c>
      <c r="R123" s="67">
        <f t="shared" si="21"/>
        <v>491</v>
      </c>
      <c r="S123" s="67">
        <f t="shared" si="21"/>
        <v>5316</v>
      </c>
      <c r="T123" s="67">
        <f t="shared" si="21"/>
        <v>520</v>
      </c>
      <c r="U123" s="67">
        <f t="shared" si="21"/>
        <v>3762</v>
      </c>
      <c r="V123" s="67">
        <f t="shared" si="21"/>
        <v>223</v>
      </c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</row>
    <row r="124" spans="1:36" s="2" customFormat="1" ht="12.75">
      <c r="A124" s="29"/>
      <c r="B124" s="10" t="s">
        <v>8</v>
      </c>
      <c r="E124" s="53"/>
      <c r="F124" s="49"/>
      <c r="G124" s="48"/>
      <c r="H124" s="48"/>
      <c r="I124" s="54"/>
      <c r="J124" s="49"/>
      <c r="K124" s="48"/>
      <c r="L124" s="49"/>
      <c r="M124" s="47">
        <v>98</v>
      </c>
      <c r="N124" s="49"/>
      <c r="O124" s="48">
        <v>112</v>
      </c>
      <c r="P124" s="49"/>
      <c r="Q124" s="48">
        <v>67</v>
      </c>
      <c r="R124" s="49"/>
      <c r="S124" s="48">
        <v>83</v>
      </c>
      <c r="T124" s="49"/>
      <c r="U124" s="47">
        <v>43</v>
      </c>
      <c r="V124" s="49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</row>
    <row r="125" spans="1:36" s="2" customFormat="1" ht="12.75">
      <c r="A125" s="29"/>
      <c r="B125" s="10" t="s">
        <v>93</v>
      </c>
      <c r="E125" s="53"/>
      <c r="F125" s="49"/>
      <c r="G125" s="48"/>
      <c r="H125" s="48"/>
      <c r="I125" s="54"/>
      <c r="J125" s="49"/>
      <c r="K125" s="48"/>
      <c r="L125" s="49"/>
      <c r="M125" s="47">
        <v>694</v>
      </c>
      <c r="N125" s="49"/>
      <c r="O125" s="48">
        <v>576</v>
      </c>
      <c r="P125" s="49"/>
      <c r="Q125" s="48">
        <v>495</v>
      </c>
      <c r="R125" s="49"/>
      <c r="S125" s="48">
        <v>445</v>
      </c>
      <c r="T125" s="49"/>
      <c r="U125" s="47">
        <v>242</v>
      </c>
      <c r="V125" s="49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</row>
    <row r="126" spans="1:38" s="2" customFormat="1" ht="12.75">
      <c r="A126" s="29"/>
      <c r="B126" s="10" t="s">
        <v>94</v>
      </c>
      <c r="E126" s="53"/>
      <c r="F126" s="49"/>
      <c r="G126" s="48"/>
      <c r="H126" s="48"/>
      <c r="I126" s="54"/>
      <c r="J126" s="49"/>
      <c r="K126" s="48"/>
      <c r="L126" s="49"/>
      <c r="M126" s="47">
        <v>484</v>
      </c>
      <c r="N126" s="49"/>
      <c r="O126" s="48">
        <v>337</v>
      </c>
      <c r="P126" s="49"/>
      <c r="Q126" s="48">
        <v>500</v>
      </c>
      <c r="R126" s="49"/>
      <c r="S126" s="48">
        <v>539</v>
      </c>
      <c r="T126" s="49"/>
      <c r="U126" s="47">
        <v>423</v>
      </c>
      <c r="V126" s="49"/>
      <c r="W126" s="110"/>
      <c r="X126" s="109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41"/>
      <c r="AL126" s="41"/>
    </row>
    <row r="127" spans="1:36" s="2" customFormat="1" ht="12.75">
      <c r="A127" s="120"/>
      <c r="B127" s="25" t="s">
        <v>83</v>
      </c>
      <c r="D127" s="35"/>
      <c r="E127" s="93">
        <v>945</v>
      </c>
      <c r="F127" s="94"/>
      <c r="G127" s="93">
        <v>924</v>
      </c>
      <c r="H127" s="94"/>
      <c r="I127" s="99">
        <f>ROUND((1728/1936.27)*1000,0)</f>
        <v>892</v>
      </c>
      <c r="J127" s="68"/>
      <c r="K127" s="68">
        <v>988</v>
      </c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</row>
    <row r="128" spans="1:36" s="33" customFormat="1" ht="12.75">
      <c r="A128" s="29"/>
      <c r="B128" s="23" t="s">
        <v>25</v>
      </c>
      <c r="D128" s="2"/>
      <c r="E128" s="47">
        <v>2984</v>
      </c>
      <c r="F128" s="48">
        <v>13</v>
      </c>
      <c r="G128" s="47">
        <v>3107</v>
      </c>
      <c r="H128" s="48">
        <v>3</v>
      </c>
      <c r="I128" s="56">
        <f>ROUND((5811/1936.27)*1000,0)</f>
        <v>3001</v>
      </c>
      <c r="J128" s="53">
        <f>ROUND(10000/1936.27,0)</f>
        <v>5</v>
      </c>
      <c r="K128" s="53">
        <v>2884</v>
      </c>
      <c r="L128" s="53">
        <f>ROUND((25000/1936.27),0)</f>
        <v>13</v>
      </c>
      <c r="M128" s="53">
        <v>2800</v>
      </c>
      <c r="N128" s="53">
        <v>63</v>
      </c>
      <c r="O128" s="53">
        <v>2611</v>
      </c>
      <c r="P128" s="53">
        <v>68</v>
      </c>
      <c r="Q128" s="53">
        <v>2480</v>
      </c>
      <c r="R128" s="53">
        <v>26</v>
      </c>
      <c r="S128" s="53">
        <v>2400</v>
      </c>
      <c r="T128" s="53">
        <v>21</v>
      </c>
      <c r="U128" s="53">
        <v>2099</v>
      </c>
      <c r="V128" s="53">
        <v>5</v>
      </c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</row>
    <row r="129" spans="1:36" s="33" customFormat="1" ht="12.75">
      <c r="A129" s="29"/>
      <c r="B129" s="23" t="s">
        <v>95</v>
      </c>
      <c r="D129" s="2"/>
      <c r="E129" s="47">
        <v>230</v>
      </c>
      <c r="F129" s="48"/>
      <c r="G129" s="47">
        <f>296</f>
        <v>296</v>
      </c>
      <c r="H129" s="48"/>
      <c r="I129" s="56">
        <f>ROUND((378/1936.27)*1000,0)</f>
        <v>195</v>
      </c>
      <c r="J129" s="53"/>
      <c r="K129" s="53">
        <v>255</v>
      </c>
      <c r="L129" s="53"/>
      <c r="M129" s="53">
        <v>318</v>
      </c>
      <c r="N129" s="53">
        <v>38</v>
      </c>
      <c r="O129" s="53">
        <v>304</v>
      </c>
      <c r="P129" s="53">
        <v>18</v>
      </c>
      <c r="Q129" s="53">
        <v>316</v>
      </c>
      <c r="R129" s="53">
        <v>30</v>
      </c>
      <c r="S129" s="53">
        <v>299</v>
      </c>
      <c r="T129" s="53">
        <v>43</v>
      </c>
      <c r="U129" s="53">
        <v>85</v>
      </c>
      <c r="V129" s="53">
        <v>2</v>
      </c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</row>
    <row r="130" spans="1:38" s="2" customFormat="1" ht="12.75">
      <c r="A130" s="29"/>
      <c r="B130" s="24" t="s">
        <v>144</v>
      </c>
      <c r="E130" s="53"/>
      <c r="F130" s="49"/>
      <c r="G130" s="47"/>
      <c r="H130" s="48"/>
      <c r="I130" s="56"/>
      <c r="J130" s="49"/>
      <c r="K130" s="53">
        <v>758</v>
      </c>
      <c r="L130" s="53">
        <v>155</v>
      </c>
      <c r="M130" s="53">
        <v>1032</v>
      </c>
      <c r="N130" s="53">
        <v>395</v>
      </c>
      <c r="O130" s="53">
        <v>1635</v>
      </c>
      <c r="P130" s="53">
        <v>423</v>
      </c>
      <c r="Q130" s="53">
        <v>1500</v>
      </c>
      <c r="R130" s="53">
        <v>435</v>
      </c>
      <c r="S130" s="53">
        <v>1550</v>
      </c>
      <c r="T130" s="53">
        <v>456</v>
      </c>
      <c r="U130" s="53">
        <v>870</v>
      </c>
      <c r="V130" s="53">
        <v>216</v>
      </c>
      <c r="W130" s="110"/>
      <c r="X130" s="109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41"/>
      <c r="AL130" s="41"/>
    </row>
    <row r="131" spans="1:36" s="2" customFormat="1" ht="12.75">
      <c r="A131" s="130" t="s">
        <v>174</v>
      </c>
      <c r="B131" s="123"/>
      <c r="C131" s="123"/>
      <c r="D131" s="22"/>
      <c r="E131" s="67">
        <f>SUM(E132:E137)</f>
        <v>2279</v>
      </c>
      <c r="F131" s="67">
        <f aca="true" t="shared" si="22" ref="F131:V131">SUM(F132:F137)</f>
        <v>0</v>
      </c>
      <c r="G131" s="67">
        <f t="shared" si="22"/>
        <v>2046</v>
      </c>
      <c r="H131" s="67">
        <f t="shared" si="22"/>
        <v>0</v>
      </c>
      <c r="I131" s="67">
        <f t="shared" si="22"/>
        <v>1700</v>
      </c>
      <c r="J131" s="67">
        <f t="shared" si="22"/>
        <v>52</v>
      </c>
      <c r="K131" s="67">
        <f t="shared" si="22"/>
        <v>1349</v>
      </c>
      <c r="L131" s="67">
        <f t="shared" si="22"/>
        <v>0</v>
      </c>
      <c r="M131" s="67">
        <f t="shared" si="22"/>
        <v>1787</v>
      </c>
      <c r="N131" s="67">
        <f t="shared" si="22"/>
        <v>0</v>
      </c>
      <c r="O131" s="67">
        <f t="shared" si="22"/>
        <v>1390</v>
      </c>
      <c r="P131" s="67">
        <f t="shared" si="22"/>
        <v>136</v>
      </c>
      <c r="Q131" s="67">
        <f t="shared" si="22"/>
        <v>1232</v>
      </c>
      <c r="R131" s="67">
        <f t="shared" si="22"/>
        <v>393</v>
      </c>
      <c r="S131" s="67">
        <f t="shared" si="22"/>
        <v>1779</v>
      </c>
      <c r="T131" s="67">
        <f t="shared" si="22"/>
        <v>500</v>
      </c>
      <c r="U131" s="67">
        <f t="shared" si="22"/>
        <v>1981</v>
      </c>
      <c r="V131" s="67">
        <f t="shared" si="22"/>
        <v>1587</v>
      </c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</row>
    <row r="132" spans="1:36" s="2" customFormat="1" ht="12.75">
      <c r="A132" s="29"/>
      <c r="B132" s="24" t="s">
        <v>27</v>
      </c>
      <c r="E132" s="47">
        <v>67</v>
      </c>
      <c r="F132" s="48"/>
      <c r="G132" s="47">
        <v>171</v>
      </c>
      <c r="H132" s="48"/>
      <c r="I132" s="56">
        <f>ROUND((140/1936.27)*1000,0)</f>
        <v>72</v>
      </c>
      <c r="J132" s="49"/>
      <c r="K132" s="47">
        <v>103</v>
      </c>
      <c r="L132" s="49"/>
      <c r="M132" s="47">
        <v>120</v>
      </c>
      <c r="N132" s="49"/>
      <c r="O132" s="47">
        <v>99</v>
      </c>
      <c r="P132" s="49"/>
      <c r="Q132" s="47">
        <v>192</v>
      </c>
      <c r="R132" s="49"/>
      <c r="S132" s="47">
        <v>425</v>
      </c>
      <c r="T132" s="49">
        <v>50</v>
      </c>
      <c r="U132" s="47">
        <v>296</v>
      </c>
      <c r="V132" s="49">
        <v>145</v>
      </c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</row>
    <row r="133" spans="1:36" s="2" customFormat="1" ht="12.75">
      <c r="A133" s="132"/>
      <c r="B133" s="23" t="s">
        <v>57</v>
      </c>
      <c r="D133" s="33"/>
      <c r="E133" s="47">
        <v>33</v>
      </c>
      <c r="F133" s="48"/>
      <c r="G133" s="47">
        <v>25</v>
      </c>
      <c r="H133" s="48"/>
      <c r="I133" s="56">
        <v>0</v>
      </c>
      <c r="J133" s="49"/>
      <c r="K133" s="47">
        <v>0</v>
      </c>
      <c r="L133" s="49"/>
      <c r="M133" s="47"/>
      <c r="N133" s="49"/>
      <c r="O133" s="47"/>
      <c r="P133" s="49"/>
      <c r="Q133" s="47"/>
      <c r="R133" s="49"/>
      <c r="S133" s="47"/>
      <c r="T133" s="49"/>
      <c r="U133" s="47"/>
      <c r="V133" s="49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</row>
    <row r="134" spans="1:36" s="2" customFormat="1" ht="12.75">
      <c r="A134" s="29"/>
      <c r="B134" s="24" t="s">
        <v>97</v>
      </c>
      <c r="E134" s="47">
        <v>131</v>
      </c>
      <c r="F134" s="48"/>
      <c r="G134" s="47">
        <v>350</v>
      </c>
      <c r="H134" s="48"/>
      <c r="I134" s="56">
        <f>ROUND((2004/1936.27)*1000,0)</f>
        <v>1035</v>
      </c>
      <c r="J134" s="49">
        <f>ROUND(100000/1936.27,0)</f>
        <v>52</v>
      </c>
      <c r="K134" s="47">
        <v>744</v>
      </c>
      <c r="L134" s="49"/>
      <c r="M134" s="47">
        <v>655</v>
      </c>
      <c r="N134" s="49"/>
      <c r="O134" s="47">
        <v>432</v>
      </c>
      <c r="P134" s="49">
        <v>136</v>
      </c>
      <c r="Q134" s="47">
        <v>183</v>
      </c>
      <c r="R134" s="49">
        <v>103</v>
      </c>
      <c r="S134" s="47">
        <v>11</v>
      </c>
      <c r="T134" s="49"/>
      <c r="U134" s="47">
        <v>215</v>
      </c>
      <c r="V134" s="49">
        <v>131</v>
      </c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</row>
    <row r="135" spans="1:36" s="35" customFormat="1" ht="12.75">
      <c r="A135" s="29"/>
      <c r="B135" s="24" t="s">
        <v>58</v>
      </c>
      <c r="D135" s="2"/>
      <c r="E135" s="47">
        <v>1813</v>
      </c>
      <c r="F135" s="48"/>
      <c r="G135" s="47">
        <v>1194</v>
      </c>
      <c r="H135" s="48"/>
      <c r="I135" s="56">
        <f>ROUND((413/1936.27)*1000,0)</f>
        <v>213</v>
      </c>
      <c r="J135" s="49"/>
      <c r="K135" s="47">
        <v>171</v>
      </c>
      <c r="L135" s="49"/>
      <c r="M135" s="47">
        <v>171</v>
      </c>
      <c r="N135" s="49"/>
      <c r="O135" s="47">
        <v>194</v>
      </c>
      <c r="P135" s="49"/>
      <c r="Q135" s="47">
        <v>337</v>
      </c>
      <c r="R135" s="49">
        <v>70</v>
      </c>
      <c r="S135" s="47">
        <v>338</v>
      </c>
      <c r="T135" s="49"/>
      <c r="U135" s="47">
        <v>1220</v>
      </c>
      <c r="V135" s="49">
        <v>1121</v>
      </c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</row>
    <row r="136" spans="1:36" s="35" customFormat="1" ht="12.75">
      <c r="A136" s="29"/>
      <c r="B136" s="24" t="s">
        <v>145</v>
      </c>
      <c r="D136" s="2"/>
      <c r="E136" s="53"/>
      <c r="F136" s="49"/>
      <c r="G136" s="48"/>
      <c r="H136" s="48"/>
      <c r="I136" s="54"/>
      <c r="J136" s="49"/>
      <c r="K136" s="48"/>
      <c r="L136" s="49"/>
      <c r="M136" s="47">
        <v>506</v>
      </c>
      <c r="N136" s="49"/>
      <c r="O136" s="48">
        <v>348</v>
      </c>
      <c r="P136" s="49"/>
      <c r="Q136" s="48">
        <v>273</v>
      </c>
      <c r="R136" s="49">
        <v>220</v>
      </c>
      <c r="S136" s="48">
        <v>901</v>
      </c>
      <c r="T136" s="49">
        <v>450</v>
      </c>
      <c r="U136" s="47">
        <v>207</v>
      </c>
      <c r="V136" s="49">
        <v>190</v>
      </c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</row>
    <row r="137" spans="1:36" s="35" customFormat="1" ht="12.75">
      <c r="A137" s="29"/>
      <c r="B137" s="24" t="s">
        <v>31</v>
      </c>
      <c r="D137" s="2"/>
      <c r="E137" s="47">
        <v>235</v>
      </c>
      <c r="F137" s="48"/>
      <c r="G137" s="47">
        <v>306</v>
      </c>
      <c r="H137" s="48"/>
      <c r="I137" s="56">
        <f>ROUND((735/1936.27)*1000,0)</f>
        <v>380</v>
      </c>
      <c r="J137" s="49"/>
      <c r="K137" s="47">
        <v>331</v>
      </c>
      <c r="L137" s="49"/>
      <c r="M137" s="47">
        <v>335</v>
      </c>
      <c r="N137" s="49"/>
      <c r="O137" s="47">
        <v>317</v>
      </c>
      <c r="P137" s="49"/>
      <c r="Q137" s="47">
        <v>247</v>
      </c>
      <c r="R137" s="49"/>
      <c r="S137" s="47">
        <v>104</v>
      </c>
      <c r="T137" s="49"/>
      <c r="U137" s="47">
        <v>43</v>
      </c>
      <c r="V137" s="49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</row>
    <row r="138" spans="1:36" s="2" customFormat="1" ht="12.75">
      <c r="A138" s="130" t="s">
        <v>116</v>
      </c>
      <c r="B138" s="123"/>
      <c r="C138" s="123"/>
      <c r="D138" s="22"/>
      <c r="E138" s="67">
        <f>SUM(E139:E149)</f>
        <v>1155</v>
      </c>
      <c r="F138" s="67">
        <f aca="true" t="shared" si="23" ref="F138:V138">SUM(F139:F149)</f>
        <v>0</v>
      </c>
      <c r="G138" s="67">
        <f t="shared" si="23"/>
        <v>1559</v>
      </c>
      <c r="H138" s="67">
        <f t="shared" si="23"/>
        <v>0</v>
      </c>
      <c r="I138" s="67">
        <f t="shared" si="23"/>
        <v>3300.5</v>
      </c>
      <c r="J138" s="67">
        <f t="shared" si="23"/>
        <v>580</v>
      </c>
      <c r="K138" s="67">
        <f t="shared" si="23"/>
        <v>2095</v>
      </c>
      <c r="L138" s="67">
        <f t="shared" si="23"/>
        <v>0</v>
      </c>
      <c r="M138" s="67">
        <f t="shared" si="23"/>
        <v>3766</v>
      </c>
      <c r="N138" s="67">
        <f t="shared" si="23"/>
        <v>137</v>
      </c>
      <c r="O138" s="67">
        <f t="shared" si="23"/>
        <v>3516</v>
      </c>
      <c r="P138" s="67">
        <f t="shared" si="23"/>
        <v>1285</v>
      </c>
      <c r="Q138" s="67">
        <f t="shared" si="23"/>
        <v>2696</v>
      </c>
      <c r="R138" s="67">
        <f t="shared" si="23"/>
        <v>951</v>
      </c>
      <c r="S138" s="67">
        <f t="shared" si="23"/>
        <v>2845</v>
      </c>
      <c r="T138" s="67">
        <f t="shared" si="23"/>
        <v>40</v>
      </c>
      <c r="U138" s="67">
        <f t="shared" si="23"/>
        <v>2723</v>
      </c>
      <c r="V138" s="67">
        <f t="shared" si="23"/>
        <v>139</v>
      </c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</row>
    <row r="139" spans="1:36" s="35" customFormat="1" ht="12.75">
      <c r="A139" s="29"/>
      <c r="B139" s="10" t="s">
        <v>117</v>
      </c>
      <c r="D139" s="2"/>
      <c r="E139" s="56">
        <v>106</v>
      </c>
      <c r="F139" s="90"/>
      <c r="G139" s="72">
        <v>144</v>
      </c>
      <c r="H139" s="111"/>
      <c r="I139" s="56">
        <f>ROUND((860/1936.27)*1000,0)</f>
        <v>444</v>
      </c>
      <c r="J139" s="56"/>
      <c r="K139" s="56">
        <v>428</v>
      </c>
      <c r="L139" s="53">
        <f>ROUND((72882176/1936.27),0)-37640-1</f>
        <v>0</v>
      </c>
      <c r="M139" s="56">
        <v>207</v>
      </c>
      <c r="N139" s="53"/>
      <c r="O139" s="56">
        <v>221</v>
      </c>
      <c r="P139" s="53"/>
      <c r="Q139" s="56">
        <v>135</v>
      </c>
      <c r="R139" s="53">
        <v>43</v>
      </c>
      <c r="S139" s="56">
        <v>109</v>
      </c>
      <c r="T139" s="53"/>
      <c r="U139" s="56">
        <v>135</v>
      </c>
      <c r="V139" s="53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</row>
    <row r="140" spans="1:36" s="2" customFormat="1" ht="12.75">
      <c r="A140" s="29"/>
      <c r="B140" s="10" t="s">
        <v>101</v>
      </c>
      <c r="E140" s="56"/>
      <c r="F140" s="90"/>
      <c r="G140" s="72"/>
      <c r="H140" s="111"/>
      <c r="I140" s="56"/>
      <c r="J140" s="56"/>
      <c r="K140" s="56"/>
      <c r="L140" s="53"/>
      <c r="M140" s="56">
        <v>63</v>
      </c>
      <c r="N140" s="53"/>
      <c r="O140" s="56">
        <v>34</v>
      </c>
      <c r="P140" s="53"/>
      <c r="Q140" s="56"/>
      <c r="R140" s="53"/>
      <c r="S140" s="56"/>
      <c r="T140" s="53"/>
      <c r="U140" s="56"/>
      <c r="V140" s="5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</row>
    <row r="141" spans="1:36" s="2" customFormat="1" ht="12.75">
      <c r="A141" s="29"/>
      <c r="B141" s="24" t="s">
        <v>98</v>
      </c>
      <c r="E141" s="47">
        <v>39</v>
      </c>
      <c r="F141" s="102"/>
      <c r="G141" s="47">
        <v>15</v>
      </c>
      <c r="H141" s="102"/>
      <c r="I141" s="56">
        <f>ROUND((94/1936.27)*1000,0)</f>
        <v>49</v>
      </c>
      <c r="J141" s="53"/>
      <c r="K141" s="53">
        <v>17</v>
      </c>
      <c r="L141" s="53"/>
      <c r="M141" s="53">
        <v>1</v>
      </c>
      <c r="N141" s="53"/>
      <c r="O141" s="53">
        <v>12</v>
      </c>
      <c r="P141" s="53"/>
      <c r="Q141" s="53">
        <v>21</v>
      </c>
      <c r="R141" s="53"/>
      <c r="S141" s="53">
        <v>163</v>
      </c>
      <c r="T141" s="53"/>
      <c r="U141" s="53">
        <v>82</v>
      </c>
      <c r="V141" s="5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</row>
    <row r="142" spans="1:36" s="2" customFormat="1" ht="12.75">
      <c r="A142" s="29"/>
      <c r="B142" s="24" t="s">
        <v>100</v>
      </c>
      <c r="E142" s="113"/>
      <c r="F142" s="102"/>
      <c r="G142" s="113"/>
      <c r="H142" s="102"/>
      <c r="I142" s="56">
        <f>ROUND((254/1936.27)*1000,0)</f>
        <v>131</v>
      </c>
      <c r="J142" s="53"/>
      <c r="K142" s="53">
        <v>81</v>
      </c>
      <c r="L142" s="53"/>
      <c r="M142" s="53">
        <v>468</v>
      </c>
      <c r="N142" s="53">
        <v>137</v>
      </c>
      <c r="O142" s="53">
        <v>333</v>
      </c>
      <c r="P142" s="53">
        <v>88</v>
      </c>
      <c r="Q142" s="53">
        <v>229</v>
      </c>
      <c r="R142" s="53">
        <v>65</v>
      </c>
      <c r="S142" s="53">
        <v>210</v>
      </c>
      <c r="T142" s="53">
        <v>40</v>
      </c>
      <c r="U142" s="53">
        <v>202</v>
      </c>
      <c r="V142" s="5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</row>
    <row r="143" spans="1:36" s="2" customFormat="1" ht="12.75">
      <c r="A143" s="29"/>
      <c r="B143" s="24" t="s">
        <v>102</v>
      </c>
      <c r="E143" s="113"/>
      <c r="F143" s="102"/>
      <c r="G143" s="113"/>
      <c r="H143" s="102"/>
      <c r="I143" s="56"/>
      <c r="J143" s="53"/>
      <c r="K143" s="53"/>
      <c r="L143" s="53"/>
      <c r="M143" s="53">
        <v>27</v>
      </c>
      <c r="N143" s="53"/>
      <c r="O143" s="53">
        <v>368</v>
      </c>
      <c r="P143" s="53">
        <v>324</v>
      </c>
      <c r="Q143" s="53">
        <v>203</v>
      </c>
      <c r="R143" s="53">
        <v>172</v>
      </c>
      <c r="S143" s="53"/>
      <c r="T143" s="53"/>
      <c r="U143" s="53"/>
      <c r="V143" s="5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</row>
    <row r="144" spans="1:36" s="57" customFormat="1" ht="12.75">
      <c r="A144" s="29"/>
      <c r="B144" s="24" t="s">
        <v>103</v>
      </c>
      <c r="C144" s="2"/>
      <c r="D144" s="2"/>
      <c r="E144" s="113"/>
      <c r="F144" s="102"/>
      <c r="G144" s="113"/>
      <c r="H144" s="102"/>
      <c r="I144" s="56"/>
      <c r="J144" s="53"/>
      <c r="K144" s="53"/>
      <c r="L144" s="53"/>
      <c r="M144" s="53">
        <v>1820</v>
      </c>
      <c r="N144" s="53"/>
      <c r="O144" s="53">
        <v>1187</v>
      </c>
      <c r="P144" s="53"/>
      <c r="Q144" s="53">
        <v>1209</v>
      </c>
      <c r="R144" s="53"/>
      <c r="S144" s="53">
        <v>2174</v>
      </c>
      <c r="T144" s="53"/>
      <c r="U144" s="53">
        <v>2239</v>
      </c>
      <c r="V144" s="53">
        <v>139</v>
      </c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</row>
    <row r="145" spans="1:36" s="2" customFormat="1" ht="12.75">
      <c r="A145" s="29"/>
      <c r="B145" s="23" t="s">
        <v>99</v>
      </c>
      <c r="E145" s="113"/>
      <c r="F145" s="114"/>
      <c r="G145" s="113"/>
      <c r="H145" s="114"/>
      <c r="I145" s="56"/>
      <c r="J145" s="53"/>
      <c r="K145" s="53">
        <v>178</v>
      </c>
      <c r="L145" s="53"/>
      <c r="M145" s="53">
        <v>147</v>
      </c>
      <c r="N145" s="53"/>
      <c r="O145" s="53">
        <v>293</v>
      </c>
      <c r="P145" s="53"/>
      <c r="Q145" s="53">
        <v>215</v>
      </c>
      <c r="R145" s="53">
        <v>71</v>
      </c>
      <c r="S145" s="53">
        <v>61</v>
      </c>
      <c r="T145" s="53"/>
      <c r="U145" s="53">
        <v>65</v>
      </c>
      <c r="V145" s="5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</row>
    <row r="146" spans="1:36" s="2" customFormat="1" ht="12.75">
      <c r="A146" s="29"/>
      <c r="B146" s="24" t="s">
        <v>87</v>
      </c>
      <c r="D146" s="30"/>
      <c r="E146" s="53">
        <v>147</v>
      </c>
      <c r="F146" s="101"/>
      <c r="G146" s="53">
        <v>124</v>
      </c>
      <c r="H146" s="102"/>
      <c r="I146" s="56">
        <f>ROUND((913/1936.27)*1000,0)</f>
        <v>472</v>
      </c>
      <c r="J146" s="53"/>
      <c r="K146" s="76">
        <v>587</v>
      </c>
      <c r="L146" s="53"/>
      <c r="M146" s="76">
        <v>1033</v>
      </c>
      <c r="N146" s="53"/>
      <c r="O146" s="76">
        <v>1068</v>
      </c>
      <c r="P146" s="53">
        <v>873</v>
      </c>
      <c r="Q146" s="76">
        <v>684</v>
      </c>
      <c r="R146" s="53">
        <v>600</v>
      </c>
      <c r="S146" s="76">
        <v>128</v>
      </c>
      <c r="T146" s="53"/>
      <c r="U146" s="76"/>
      <c r="V146" s="5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</row>
    <row r="147" spans="1:36" s="2" customFormat="1" ht="12.75">
      <c r="A147" s="120"/>
      <c r="B147" s="25" t="s">
        <v>60</v>
      </c>
      <c r="D147" s="35"/>
      <c r="E147" s="93">
        <v>155</v>
      </c>
      <c r="F147" s="112"/>
      <c r="G147" s="93">
        <v>284</v>
      </c>
      <c r="H147" s="112"/>
      <c r="I147" s="99">
        <f>ROUND((507/1936.27)*1000,0)</f>
        <v>262</v>
      </c>
      <c r="J147" s="68"/>
      <c r="K147" s="68">
        <v>48</v>
      </c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</row>
    <row r="148" spans="1:36" s="2" customFormat="1" ht="12.75">
      <c r="A148" s="120"/>
      <c r="B148" s="25" t="s">
        <v>26</v>
      </c>
      <c r="D148" s="35"/>
      <c r="E148" s="93">
        <v>708</v>
      </c>
      <c r="F148" s="112"/>
      <c r="G148" s="93">
        <v>727</v>
      </c>
      <c r="H148" s="112"/>
      <c r="I148" s="99">
        <f>ROUND((3762/1936.27)*1000,0)-0.5</f>
        <v>1942.5</v>
      </c>
      <c r="J148" s="68">
        <f>ROUND(1122500/1936.27,0)</f>
        <v>580</v>
      </c>
      <c r="K148" s="68">
        <v>756</v>
      </c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</row>
    <row r="149" spans="1:36" s="2" customFormat="1" ht="12.75">
      <c r="A149" s="61"/>
      <c r="B149" s="25" t="s">
        <v>52</v>
      </c>
      <c r="D149" s="35"/>
      <c r="E149" s="93"/>
      <c r="F149" s="112"/>
      <c r="G149" s="93">
        <v>265</v>
      </c>
      <c r="H149" s="93"/>
      <c r="I149" s="107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</row>
    <row r="150" spans="1:36" s="2" customFormat="1" ht="12.75">
      <c r="A150" s="122" t="s">
        <v>175</v>
      </c>
      <c r="B150" s="123"/>
      <c r="C150" s="123"/>
      <c r="D150" s="22"/>
      <c r="E150" s="70">
        <v>568</v>
      </c>
      <c r="F150" s="70"/>
      <c r="G150" s="84">
        <v>553</v>
      </c>
      <c r="H150" s="84"/>
      <c r="I150" s="84">
        <f>ROUND((12065/1936.27)*1000,0)</f>
        <v>6231</v>
      </c>
      <c r="J150" s="84">
        <f>ROUND(10200000/1936.27,0)</f>
        <v>5268</v>
      </c>
      <c r="K150" s="70">
        <v>4989</v>
      </c>
      <c r="L150" s="84">
        <f>ROUND((7773708/1936.27),0)</f>
        <v>4015</v>
      </c>
      <c r="M150" s="70">
        <v>6274</v>
      </c>
      <c r="N150" s="84">
        <v>6210</v>
      </c>
      <c r="O150" s="70">
        <v>4508</v>
      </c>
      <c r="P150" s="84">
        <v>4474</v>
      </c>
      <c r="Q150" s="70">
        <v>6940</v>
      </c>
      <c r="R150" s="84">
        <v>6772</v>
      </c>
      <c r="S150" s="70">
        <v>6441</v>
      </c>
      <c r="T150" s="84">
        <v>6342</v>
      </c>
      <c r="U150" s="70">
        <v>4608</v>
      </c>
      <c r="V150" s="84">
        <v>4523</v>
      </c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</row>
    <row r="151" spans="1:36" s="2" customFormat="1" ht="12.75">
      <c r="A151" s="130" t="s">
        <v>125</v>
      </c>
      <c r="B151" s="123"/>
      <c r="C151" s="123"/>
      <c r="D151" s="22"/>
      <c r="E151" s="67">
        <f aca="true" t="shared" si="24" ref="E151:V151">SUM(E152:E153)</f>
        <v>5886</v>
      </c>
      <c r="F151" s="67">
        <f t="shared" si="24"/>
        <v>296</v>
      </c>
      <c r="G151" s="67">
        <f t="shared" si="24"/>
        <v>5743</v>
      </c>
      <c r="H151" s="67">
        <f t="shared" si="24"/>
        <v>444</v>
      </c>
      <c r="I151" s="67">
        <f t="shared" si="24"/>
        <v>6575</v>
      </c>
      <c r="J151" s="67">
        <f t="shared" si="24"/>
        <v>1912</v>
      </c>
      <c r="K151" s="67">
        <f t="shared" si="24"/>
        <v>4768</v>
      </c>
      <c r="L151" s="67">
        <f t="shared" si="24"/>
        <v>301</v>
      </c>
      <c r="M151" s="67">
        <f t="shared" si="24"/>
        <v>6114</v>
      </c>
      <c r="N151" s="67">
        <f t="shared" si="24"/>
        <v>151</v>
      </c>
      <c r="O151" s="67">
        <f t="shared" si="24"/>
        <v>5663</v>
      </c>
      <c r="P151" s="67">
        <f t="shared" si="24"/>
        <v>480</v>
      </c>
      <c r="Q151" s="67">
        <f t="shared" si="24"/>
        <v>5774</v>
      </c>
      <c r="R151" s="67">
        <f t="shared" si="24"/>
        <v>308</v>
      </c>
      <c r="S151" s="67">
        <f t="shared" si="24"/>
        <v>6764</v>
      </c>
      <c r="T151" s="67">
        <f t="shared" si="24"/>
        <v>632</v>
      </c>
      <c r="U151" s="67">
        <f t="shared" si="24"/>
        <v>6566</v>
      </c>
      <c r="V151" s="67">
        <f t="shared" si="24"/>
        <v>698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</row>
    <row r="152" spans="1:36" s="2" customFormat="1" ht="12.75">
      <c r="A152" s="29"/>
      <c r="B152" s="24" t="s">
        <v>96</v>
      </c>
      <c r="C152" s="24" t="s">
        <v>96</v>
      </c>
      <c r="E152" s="47">
        <v>1244</v>
      </c>
      <c r="F152" s="48">
        <v>296</v>
      </c>
      <c r="G152" s="47">
        <v>1384</v>
      </c>
      <c r="H152" s="48">
        <v>444</v>
      </c>
      <c r="I152" s="56">
        <f>ROUND((5570/1936.27)*1000,0)</f>
        <v>2877</v>
      </c>
      <c r="J152" s="49">
        <f>ROUND(3701590/1936.27,0)</f>
        <v>1912</v>
      </c>
      <c r="K152" s="47">
        <v>799</v>
      </c>
      <c r="L152" s="53">
        <f>ROUND((583121/1936.27),0)</f>
        <v>301</v>
      </c>
      <c r="M152" s="47">
        <v>1113</v>
      </c>
      <c r="N152" s="53">
        <v>151</v>
      </c>
      <c r="O152" s="47">
        <v>1453</v>
      </c>
      <c r="P152" s="53">
        <v>480</v>
      </c>
      <c r="Q152" s="47">
        <v>1445</v>
      </c>
      <c r="R152" s="53">
        <v>308</v>
      </c>
      <c r="S152" s="47">
        <v>1451</v>
      </c>
      <c r="T152" s="53">
        <v>626</v>
      </c>
      <c r="U152" s="47">
        <v>1318</v>
      </c>
      <c r="V152" s="53">
        <v>562</v>
      </c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</row>
    <row r="153" spans="1:36" s="2" customFormat="1" ht="12.75">
      <c r="A153" s="37"/>
      <c r="B153" s="17" t="s">
        <v>12</v>
      </c>
      <c r="C153" s="17" t="s">
        <v>12</v>
      </c>
      <c r="D153" s="40"/>
      <c r="E153" s="69">
        <v>4642</v>
      </c>
      <c r="F153" s="82"/>
      <c r="G153" s="69">
        <v>4359</v>
      </c>
      <c r="H153" s="82"/>
      <c r="I153" s="69">
        <f>ROUND((7160/1936.27)*1000,0)</f>
        <v>3698</v>
      </c>
      <c r="J153" s="82"/>
      <c r="K153" s="69">
        <v>3969</v>
      </c>
      <c r="L153" s="82"/>
      <c r="M153" s="69">
        <v>5001</v>
      </c>
      <c r="N153" s="82"/>
      <c r="O153" s="69">
        <v>4210</v>
      </c>
      <c r="P153" s="82"/>
      <c r="Q153" s="69">
        <v>4329</v>
      </c>
      <c r="R153" s="82"/>
      <c r="S153" s="69">
        <v>5313</v>
      </c>
      <c r="T153" s="82">
        <v>6</v>
      </c>
      <c r="U153" s="69">
        <v>5248</v>
      </c>
      <c r="V153" s="82">
        <v>136</v>
      </c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</row>
    <row r="154" spans="1:36" s="2" customFormat="1" ht="12.75">
      <c r="A154" s="130" t="s">
        <v>126</v>
      </c>
      <c r="B154" s="123"/>
      <c r="C154" s="123"/>
      <c r="D154" s="22"/>
      <c r="E154" s="67">
        <f>SUM(E155:E158)</f>
        <v>215</v>
      </c>
      <c r="F154" s="67">
        <f aca="true" t="shared" si="25" ref="F154:V154">SUM(F155:F158)</f>
        <v>0</v>
      </c>
      <c r="G154" s="67">
        <f t="shared" si="25"/>
        <v>275</v>
      </c>
      <c r="H154" s="67">
        <f t="shared" si="25"/>
        <v>0</v>
      </c>
      <c r="I154" s="67">
        <f t="shared" si="25"/>
        <v>285</v>
      </c>
      <c r="J154" s="67">
        <f t="shared" si="25"/>
        <v>0</v>
      </c>
      <c r="K154" s="67">
        <f t="shared" si="25"/>
        <v>198</v>
      </c>
      <c r="L154" s="67">
        <f t="shared" si="25"/>
        <v>0</v>
      </c>
      <c r="M154" s="67">
        <f t="shared" si="25"/>
        <v>457</v>
      </c>
      <c r="N154" s="67">
        <f t="shared" si="25"/>
        <v>0</v>
      </c>
      <c r="O154" s="67">
        <f t="shared" si="25"/>
        <v>518</v>
      </c>
      <c r="P154" s="67">
        <f t="shared" si="25"/>
        <v>0</v>
      </c>
      <c r="Q154" s="67">
        <f t="shared" si="25"/>
        <v>447</v>
      </c>
      <c r="R154" s="67">
        <f t="shared" si="25"/>
        <v>0</v>
      </c>
      <c r="S154" s="67">
        <f t="shared" si="25"/>
        <v>328</v>
      </c>
      <c r="T154" s="67">
        <f t="shared" si="25"/>
        <v>0</v>
      </c>
      <c r="U154" s="67">
        <f t="shared" si="25"/>
        <v>183</v>
      </c>
      <c r="V154" s="67">
        <f t="shared" si="25"/>
        <v>0</v>
      </c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</row>
    <row r="155" spans="1:36" s="2" customFormat="1" ht="12.75">
      <c r="A155" s="9"/>
      <c r="B155" s="24" t="s">
        <v>8</v>
      </c>
      <c r="D155"/>
      <c r="E155" s="53"/>
      <c r="F155" s="49"/>
      <c r="G155" s="47"/>
      <c r="H155" s="48"/>
      <c r="I155" s="56"/>
      <c r="J155" s="49"/>
      <c r="K155" s="53"/>
      <c r="L155" s="49"/>
      <c r="M155" s="53">
        <v>115</v>
      </c>
      <c r="N155" s="49"/>
      <c r="O155" s="53">
        <v>158</v>
      </c>
      <c r="P155" s="49"/>
      <c r="Q155" s="53">
        <v>163</v>
      </c>
      <c r="R155" s="49"/>
      <c r="S155" s="53">
        <v>139</v>
      </c>
      <c r="T155" s="49"/>
      <c r="U155" s="53">
        <v>79</v>
      </c>
      <c r="V155" s="49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</row>
    <row r="156" spans="1:36" s="2" customFormat="1" ht="12.75">
      <c r="A156" s="9"/>
      <c r="B156" s="24" t="s">
        <v>32</v>
      </c>
      <c r="D156"/>
      <c r="E156" s="53">
        <v>187</v>
      </c>
      <c r="F156" s="49"/>
      <c r="G156" s="47">
        <v>262</v>
      </c>
      <c r="H156" s="48"/>
      <c r="I156" s="56">
        <f>ROUND((532/1936.27)*1000,0)</f>
        <v>275</v>
      </c>
      <c r="J156" s="49"/>
      <c r="K156" s="53">
        <v>187</v>
      </c>
      <c r="L156" s="49"/>
      <c r="M156" s="53">
        <v>233</v>
      </c>
      <c r="N156" s="49"/>
      <c r="O156" s="53">
        <v>185</v>
      </c>
      <c r="P156" s="49"/>
      <c r="Q156" s="53">
        <v>145</v>
      </c>
      <c r="R156" s="49"/>
      <c r="S156" s="53">
        <v>30</v>
      </c>
      <c r="T156" s="49"/>
      <c r="U156" s="53"/>
      <c r="V156" s="49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</row>
    <row r="157" spans="1:36" s="2" customFormat="1" ht="12.75">
      <c r="A157" s="9"/>
      <c r="B157" s="24" t="s">
        <v>33</v>
      </c>
      <c r="D157"/>
      <c r="E157" s="53">
        <v>11</v>
      </c>
      <c r="F157" s="49"/>
      <c r="G157" s="47">
        <v>13</v>
      </c>
      <c r="H157" s="48"/>
      <c r="I157" s="56">
        <f>ROUND((19/1936.27)*1000,0)</f>
        <v>10</v>
      </c>
      <c r="J157" s="49"/>
      <c r="K157" s="53">
        <v>11</v>
      </c>
      <c r="L157" s="49"/>
      <c r="M157" s="53">
        <v>7</v>
      </c>
      <c r="N157" s="49"/>
      <c r="O157" s="53">
        <v>7</v>
      </c>
      <c r="P157" s="49"/>
      <c r="Q157" s="53">
        <v>8</v>
      </c>
      <c r="R157" s="49"/>
      <c r="S157" s="53">
        <v>11</v>
      </c>
      <c r="T157" s="49"/>
      <c r="U157" s="53">
        <v>12</v>
      </c>
      <c r="V157" s="49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</row>
    <row r="158" spans="1:36" s="2" customFormat="1" ht="12.75">
      <c r="A158" s="9"/>
      <c r="B158" s="24" t="s">
        <v>108</v>
      </c>
      <c r="D158"/>
      <c r="E158" s="53">
        <v>17</v>
      </c>
      <c r="F158" s="49">
        <v>0</v>
      </c>
      <c r="G158" s="47">
        <v>0</v>
      </c>
      <c r="H158" s="48">
        <v>0</v>
      </c>
      <c r="I158" s="56">
        <v>0</v>
      </c>
      <c r="J158" s="49">
        <v>0</v>
      </c>
      <c r="K158" s="53">
        <v>0</v>
      </c>
      <c r="L158" s="49">
        <v>0</v>
      </c>
      <c r="M158" s="53">
        <v>102</v>
      </c>
      <c r="N158" s="49"/>
      <c r="O158" s="53">
        <v>168</v>
      </c>
      <c r="P158" s="49"/>
      <c r="Q158" s="53">
        <v>131</v>
      </c>
      <c r="R158" s="49"/>
      <c r="S158" s="53">
        <v>148</v>
      </c>
      <c r="T158" s="49"/>
      <c r="U158" s="53">
        <v>92</v>
      </c>
      <c r="V158" s="49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</row>
    <row r="159" spans="1:36" s="2" customFormat="1" ht="12.75">
      <c r="A159" s="162" t="s">
        <v>68</v>
      </c>
      <c r="B159" s="126"/>
      <c r="C159" s="126"/>
      <c r="D159" s="160"/>
      <c r="E159" s="161">
        <f aca="true" t="shared" si="26" ref="E159:R159">+E160+E167+E174+E181+E188+E195+E202+E209+E216</f>
        <v>23377</v>
      </c>
      <c r="F159" s="161">
        <f t="shared" si="26"/>
        <v>0</v>
      </c>
      <c r="G159" s="161">
        <f t="shared" si="26"/>
        <v>25280</v>
      </c>
      <c r="H159" s="161">
        <f t="shared" si="26"/>
        <v>21</v>
      </c>
      <c r="I159" s="161">
        <f t="shared" si="26"/>
        <v>27477.5</v>
      </c>
      <c r="J159" s="161">
        <f t="shared" si="26"/>
        <v>605</v>
      </c>
      <c r="K159" s="161">
        <f t="shared" si="26"/>
        <v>28627</v>
      </c>
      <c r="L159" s="161">
        <f t="shared" si="26"/>
        <v>19.108905266311</v>
      </c>
      <c r="M159" s="161">
        <f t="shared" si="26"/>
        <v>30113</v>
      </c>
      <c r="N159" s="161">
        <f t="shared" si="26"/>
        <v>31</v>
      </c>
      <c r="O159" s="161">
        <f t="shared" si="26"/>
        <v>31748</v>
      </c>
      <c r="P159" s="161">
        <f t="shared" si="26"/>
        <v>18</v>
      </c>
      <c r="Q159" s="161">
        <f t="shared" si="26"/>
        <v>31988</v>
      </c>
      <c r="R159" s="161">
        <f t="shared" si="26"/>
        <v>22</v>
      </c>
      <c r="S159" s="161">
        <f>+S160+S167+S174+S181+S188+S195+S202+S209+S216</f>
        <v>33320</v>
      </c>
      <c r="T159" s="161">
        <f>+T160+T167+T174+T181+T188+T195+T202+T209+T216</f>
        <v>98</v>
      </c>
      <c r="U159" s="161">
        <f>+U160+U167+U174+U181+U188+U195+U202+U209+U216</f>
        <v>33340</v>
      </c>
      <c r="V159" s="161">
        <f>+V160+V167+V174+V181+V188+V195+V202+V209+V216</f>
        <v>285</v>
      </c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</row>
    <row r="160" spans="1:36" s="2" customFormat="1" ht="12.75">
      <c r="A160" s="122" t="s">
        <v>34</v>
      </c>
      <c r="B160" s="123"/>
      <c r="C160" s="123"/>
      <c r="D160" s="22"/>
      <c r="E160" s="67">
        <f aca="true" t="shared" si="27" ref="E160:J160">SUM(E161:E166)</f>
        <v>1477</v>
      </c>
      <c r="F160" s="67">
        <f t="shared" si="27"/>
        <v>0</v>
      </c>
      <c r="G160" s="67">
        <f t="shared" si="27"/>
        <v>1496</v>
      </c>
      <c r="H160" s="67">
        <f t="shared" si="27"/>
        <v>0</v>
      </c>
      <c r="I160" s="67">
        <f t="shared" si="27"/>
        <v>1577</v>
      </c>
      <c r="J160" s="67">
        <f t="shared" si="27"/>
        <v>0</v>
      </c>
      <c r="K160" s="67">
        <f>SUM(K161:K166)+1</f>
        <v>1657</v>
      </c>
      <c r="L160" s="67">
        <f aca="true" t="shared" si="28" ref="L160:R160">SUM(L161:L166)</f>
        <v>0</v>
      </c>
      <c r="M160" s="67">
        <f t="shared" si="28"/>
        <v>1762</v>
      </c>
      <c r="N160" s="67">
        <f t="shared" si="28"/>
        <v>0</v>
      </c>
      <c r="O160" s="67">
        <f t="shared" si="28"/>
        <v>1864</v>
      </c>
      <c r="P160" s="67">
        <f t="shared" si="28"/>
        <v>0</v>
      </c>
      <c r="Q160" s="67">
        <f t="shared" si="28"/>
        <v>1893</v>
      </c>
      <c r="R160" s="67">
        <f t="shared" si="28"/>
        <v>0</v>
      </c>
      <c r="S160" s="67">
        <f>SUM(S161:S166)</f>
        <v>2163</v>
      </c>
      <c r="T160" s="67">
        <f>SUM(T161:T166)</f>
        <v>0</v>
      </c>
      <c r="U160" s="67">
        <f>SUM(U161:U166)</f>
        <v>2184</v>
      </c>
      <c r="V160" s="67">
        <f>SUM(V161:V166)</f>
        <v>30</v>
      </c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</row>
    <row r="161" spans="1:36" s="2" customFormat="1" ht="12.75">
      <c r="A161" s="10"/>
      <c r="B161" s="10" t="s">
        <v>35</v>
      </c>
      <c r="D161"/>
      <c r="E161" s="79">
        <f>ROUND(283*1000/1936.27,0)</f>
        <v>146</v>
      </c>
      <c r="F161" s="115"/>
      <c r="G161" s="79">
        <f>ROUND(303*1000/1936.27,0)</f>
        <v>156</v>
      </c>
      <c r="H161" s="115"/>
      <c r="I161" s="79">
        <f>ROUND(474*1000/1936.27,0)</f>
        <v>245</v>
      </c>
      <c r="J161" s="56"/>
      <c r="K161" s="79">
        <f>ROUND((508000/1936.27),0)</f>
        <v>262</v>
      </c>
      <c r="L161" s="54"/>
      <c r="M161" s="79">
        <v>281</v>
      </c>
      <c r="N161" s="54"/>
      <c r="O161" s="79">
        <v>229</v>
      </c>
      <c r="P161" s="54"/>
      <c r="Q161" s="79">
        <v>259</v>
      </c>
      <c r="R161" s="54"/>
      <c r="S161" s="79">
        <v>306</v>
      </c>
      <c r="T161" s="54"/>
      <c r="U161" s="79">
        <v>225</v>
      </c>
      <c r="V161" s="54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</row>
    <row r="162" spans="1:36" s="2" customFormat="1" ht="12.75">
      <c r="A162" s="10"/>
      <c r="B162" s="10" t="s">
        <v>36</v>
      </c>
      <c r="D162"/>
      <c r="E162" s="79">
        <f>ROUND(1882*1000/1936.27,0)</f>
        <v>972</v>
      </c>
      <c r="F162" s="116"/>
      <c r="G162" s="79">
        <f>ROUND(1868*1000/1936.27,0)</f>
        <v>965</v>
      </c>
      <c r="H162" s="116"/>
      <c r="I162" s="79">
        <f>ROUND(1825*1000/1936.27,0)</f>
        <v>943</v>
      </c>
      <c r="J162" s="54"/>
      <c r="K162" s="79">
        <f>ROUND((1833000/1936.27),0)</f>
        <v>947</v>
      </c>
      <c r="L162" s="54"/>
      <c r="M162" s="79">
        <v>959</v>
      </c>
      <c r="N162" s="54"/>
      <c r="O162" s="79">
        <v>1093</v>
      </c>
      <c r="P162" s="54"/>
      <c r="Q162" s="79">
        <v>1088</v>
      </c>
      <c r="R162" s="54"/>
      <c r="S162" s="79">
        <v>1286</v>
      </c>
      <c r="T162" s="54"/>
      <c r="U162" s="79">
        <v>1260</v>
      </c>
      <c r="V162" s="54">
        <v>30</v>
      </c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</row>
    <row r="163" spans="1:36" s="2" customFormat="1" ht="12.75">
      <c r="A163" s="10"/>
      <c r="B163" s="10" t="s">
        <v>37</v>
      </c>
      <c r="D163"/>
      <c r="E163" s="79">
        <f>ROUND(0*1000/1936.27,0)</f>
        <v>0</v>
      </c>
      <c r="F163" s="116"/>
      <c r="G163" s="79">
        <f>ROUND(0*1000/1936.27,0)</f>
        <v>0</v>
      </c>
      <c r="H163" s="116"/>
      <c r="I163" s="79">
        <v>0</v>
      </c>
      <c r="J163" s="54"/>
      <c r="K163" s="79">
        <v>0</v>
      </c>
      <c r="L163" s="54"/>
      <c r="M163" s="79">
        <v>7</v>
      </c>
      <c r="N163" s="54"/>
      <c r="O163" s="79">
        <v>7</v>
      </c>
      <c r="P163" s="54"/>
      <c r="Q163" s="79">
        <v>1</v>
      </c>
      <c r="R163" s="54"/>
      <c r="S163" s="79">
        <v>7</v>
      </c>
      <c r="T163" s="54"/>
      <c r="U163" s="79"/>
      <c r="V163" s="54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</row>
    <row r="164" spans="1:36" s="2" customFormat="1" ht="13.5" customHeight="1">
      <c r="A164" s="10"/>
      <c r="B164" s="10" t="s">
        <v>38</v>
      </c>
      <c r="D164"/>
      <c r="E164" s="79">
        <f>ROUND(6*1000/1936.27,0)</f>
        <v>3</v>
      </c>
      <c r="F164" s="116"/>
      <c r="G164" s="79">
        <f>ROUND(34*1000/1936.27,0)</f>
        <v>18</v>
      </c>
      <c r="H164" s="116"/>
      <c r="I164" s="79">
        <f>ROUND(28*1000/1936.27,0)</f>
        <v>14</v>
      </c>
      <c r="J164" s="54"/>
      <c r="K164" s="79">
        <f>ROUND((30000/1936.27),0)</f>
        <v>15</v>
      </c>
      <c r="L164" s="54"/>
      <c r="M164" s="79">
        <v>15</v>
      </c>
      <c r="N164" s="54"/>
      <c r="O164" s="79">
        <v>63</v>
      </c>
      <c r="P164" s="54"/>
      <c r="Q164" s="79">
        <v>66</v>
      </c>
      <c r="R164" s="54"/>
      <c r="S164" s="79">
        <v>63</v>
      </c>
      <c r="T164" s="54"/>
      <c r="U164" s="79">
        <v>67</v>
      </c>
      <c r="V164" s="54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</row>
    <row r="165" spans="1:36" s="2" customFormat="1" ht="12.75">
      <c r="A165" s="10"/>
      <c r="B165" s="10" t="s">
        <v>127</v>
      </c>
      <c r="D165"/>
      <c r="E165" s="79">
        <f>ROUND((552-6)*1000/1936.27,0)</f>
        <v>282</v>
      </c>
      <c r="F165" s="116"/>
      <c r="G165" s="79">
        <f>ROUND((595-34)*1000/1936.27,0)</f>
        <v>290</v>
      </c>
      <c r="H165" s="116"/>
      <c r="I165" s="79">
        <f>ROUND((603-28)*1000/1936.27,0)</f>
        <v>297</v>
      </c>
      <c r="J165" s="54"/>
      <c r="K165" s="79">
        <f>ROUND((664000/1936.27),0)</f>
        <v>343</v>
      </c>
      <c r="L165" s="54"/>
      <c r="M165" s="79">
        <v>262</v>
      </c>
      <c r="N165" s="54"/>
      <c r="O165" s="79">
        <v>256</v>
      </c>
      <c r="P165" s="54"/>
      <c r="Q165" s="79">
        <v>311</v>
      </c>
      <c r="R165" s="54"/>
      <c r="S165" s="79">
        <v>330</v>
      </c>
      <c r="T165" s="54"/>
      <c r="U165" s="79">
        <v>461</v>
      </c>
      <c r="V165" s="54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</row>
    <row r="166" spans="1:36" s="2" customFormat="1" ht="12.75">
      <c r="A166" s="10"/>
      <c r="B166" s="10" t="s">
        <v>128</v>
      </c>
      <c r="D166"/>
      <c r="E166" s="79">
        <v>74</v>
      </c>
      <c r="F166" s="79">
        <v>0</v>
      </c>
      <c r="G166" s="79">
        <v>67</v>
      </c>
      <c r="H166" s="79">
        <v>0</v>
      </c>
      <c r="I166" s="79">
        <v>78</v>
      </c>
      <c r="J166" s="79">
        <v>0</v>
      </c>
      <c r="K166" s="79">
        <v>89</v>
      </c>
      <c r="L166" s="79">
        <v>0</v>
      </c>
      <c r="M166" s="79">
        <v>238</v>
      </c>
      <c r="N166" s="79">
        <v>0</v>
      </c>
      <c r="O166" s="79">
        <v>216</v>
      </c>
      <c r="P166" s="79">
        <v>0</v>
      </c>
      <c r="Q166" s="79">
        <v>168</v>
      </c>
      <c r="R166" s="79">
        <v>0</v>
      </c>
      <c r="S166" s="79">
        <v>171</v>
      </c>
      <c r="T166" s="79"/>
      <c r="U166" s="79">
        <v>171</v>
      </c>
      <c r="V166" s="79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</row>
    <row r="167" spans="1:36" s="2" customFormat="1" ht="12.75">
      <c r="A167" s="122" t="s">
        <v>39</v>
      </c>
      <c r="B167" s="123"/>
      <c r="C167" s="123"/>
      <c r="D167" s="22"/>
      <c r="E167" s="67">
        <f aca="true" t="shared" si="29" ref="E167:R167">SUM(E168:E173)</f>
        <v>3704</v>
      </c>
      <c r="F167" s="67">
        <f t="shared" si="29"/>
        <v>0</v>
      </c>
      <c r="G167" s="67">
        <f t="shared" si="29"/>
        <v>4133</v>
      </c>
      <c r="H167" s="67">
        <f t="shared" si="29"/>
        <v>0</v>
      </c>
      <c r="I167" s="67">
        <f t="shared" si="29"/>
        <v>4448</v>
      </c>
      <c r="J167" s="67">
        <f t="shared" si="29"/>
        <v>53</v>
      </c>
      <c r="K167" s="67">
        <f t="shared" si="29"/>
        <v>4778</v>
      </c>
      <c r="L167" s="67">
        <f t="shared" si="29"/>
        <v>3.6151982936264053</v>
      </c>
      <c r="M167" s="67">
        <f t="shared" si="29"/>
        <v>5164</v>
      </c>
      <c r="N167" s="67">
        <f t="shared" si="29"/>
        <v>0</v>
      </c>
      <c r="O167" s="67">
        <f t="shared" si="29"/>
        <v>5400</v>
      </c>
      <c r="P167" s="67">
        <f t="shared" si="29"/>
        <v>4</v>
      </c>
      <c r="Q167" s="67">
        <f t="shared" si="29"/>
        <v>5354</v>
      </c>
      <c r="R167" s="67">
        <f t="shared" si="29"/>
        <v>2</v>
      </c>
      <c r="S167" s="67">
        <f>SUM(S168:S173)</f>
        <v>5564</v>
      </c>
      <c r="T167" s="67">
        <f>SUM(T168:T173)</f>
        <v>4</v>
      </c>
      <c r="U167" s="67">
        <f>SUM(U168:U173)</f>
        <v>5614</v>
      </c>
      <c r="V167" s="67">
        <f>SUM(V168:V173)</f>
        <v>100</v>
      </c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  <row r="168" spans="1:22" ht="12.75">
      <c r="A168" s="10"/>
      <c r="B168" s="10" t="s">
        <v>35</v>
      </c>
      <c r="E168" s="79">
        <f>ROUND(346*1000/1936.27,0)-1</f>
        <v>178</v>
      </c>
      <c r="F168" s="115"/>
      <c r="G168" s="79">
        <f>ROUND(451*1000/1936.27,0)</f>
        <v>233</v>
      </c>
      <c r="H168" s="115"/>
      <c r="I168" s="79">
        <f>ROUND(376*1000/1936.27,0)</f>
        <v>194</v>
      </c>
      <c r="J168" s="54"/>
      <c r="K168" s="79">
        <f>ROUND((518000/1936.27),0)</f>
        <v>268</v>
      </c>
      <c r="L168" s="54">
        <f>7/1.93627</f>
        <v>3.6151982936264053</v>
      </c>
      <c r="M168" s="79">
        <v>205</v>
      </c>
      <c r="N168" s="54"/>
      <c r="O168" s="79">
        <v>155</v>
      </c>
      <c r="P168" s="54"/>
      <c r="Q168" s="79">
        <v>165</v>
      </c>
      <c r="R168" s="54"/>
      <c r="S168" s="79">
        <v>163</v>
      </c>
      <c r="T168" s="54"/>
      <c r="U168" s="79">
        <v>202</v>
      </c>
      <c r="V168" s="54"/>
    </row>
    <row r="169" spans="1:22" ht="12.75">
      <c r="A169" s="10"/>
      <c r="B169" s="10" t="s">
        <v>36</v>
      </c>
      <c r="E169" s="79">
        <f>ROUND(5272*1000/1936.27,0)</f>
        <v>2723</v>
      </c>
      <c r="F169" s="116"/>
      <c r="G169" s="79">
        <f>ROUND(5493*1000/1936.27,0)</f>
        <v>2837</v>
      </c>
      <c r="H169" s="116"/>
      <c r="I169" s="79">
        <f>ROUND(6247*1000/1936.27,0)</f>
        <v>3226</v>
      </c>
      <c r="J169" s="54">
        <f>ROUND(103000/1936.27,0)</f>
        <v>53</v>
      </c>
      <c r="K169" s="79">
        <f>ROUND((6390000/1936.27),0)</f>
        <v>3300</v>
      </c>
      <c r="L169" s="54"/>
      <c r="M169" s="79">
        <v>3244</v>
      </c>
      <c r="N169" s="54"/>
      <c r="O169" s="79">
        <v>3393</v>
      </c>
      <c r="P169" s="54"/>
      <c r="Q169" s="79">
        <v>3171</v>
      </c>
      <c r="R169" s="54"/>
      <c r="S169" s="79">
        <v>3290</v>
      </c>
      <c r="T169" s="54"/>
      <c r="U169" s="79">
        <v>3320</v>
      </c>
      <c r="V169" s="54"/>
    </row>
    <row r="170" spans="1:22" ht="12.75">
      <c r="A170" s="10"/>
      <c r="B170" s="10" t="s">
        <v>37</v>
      </c>
      <c r="E170" s="79">
        <f>ROUND(0*1000/1936.27,0)</f>
        <v>0</v>
      </c>
      <c r="F170" s="116"/>
      <c r="G170" s="79">
        <f>ROUND(0*1000/1936.27,0)</f>
        <v>0</v>
      </c>
      <c r="H170" s="116"/>
      <c r="I170" s="79">
        <v>0</v>
      </c>
      <c r="J170" s="54"/>
      <c r="K170" s="79">
        <v>0</v>
      </c>
      <c r="L170" s="54"/>
      <c r="M170" s="79">
        <v>22</v>
      </c>
      <c r="N170" s="54"/>
      <c r="O170" s="79">
        <v>26</v>
      </c>
      <c r="P170" s="54"/>
      <c r="Q170" s="79">
        <v>36</v>
      </c>
      <c r="R170" s="54"/>
      <c r="S170" s="79">
        <v>43</v>
      </c>
      <c r="T170" s="54"/>
      <c r="U170" s="79"/>
      <c r="V170" s="54"/>
    </row>
    <row r="171" spans="1:22" ht="12.75">
      <c r="A171" s="10"/>
      <c r="B171" s="10" t="s">
        <v>38</v>
      </c>
      <c r="E171" s="79">
        <f>ROUND(22*1000/1936.27,0)</f>
        <v>11</v>
      </c>
      <c r="F171" s="116"/>
      <c r="G171" s="79">
        <f>ROUND(118*1000/1936.27,0)</f>
        <v>61</v>
      </c>
      <c r="H171" s="116"/>
      <c r="I171" s="79">
        <f>ROUND(98*1000/1936.27,0)</f>
        <v>51</v>
      </c>
      <c r="J171" s="54"/>
      <c r="K171" s="79">
        <f>ROUND((98000/1936.27),0)</f>
        <v>51</v>
      </c>
      <c r="L171" s="54"/>
      <c r="M171" s="79">
        <v>97</v>
      </c>
      <c r="N171" s="54"/>
      <c r="O171" s="79">
        <v>66</v>
      </c>
      <c r="P171" s="54"/>
      <c r="Q171" s="79">
        <v>76</v>
      </c>
      <c r="R171" s="54"/>
      <c r="S171" s="79">
        <v>85</v>
      </c>
      <c r="T171" s="54"/>
      <c r="U171" s="79">
        <v>92</v>
      </c>
      <c r="V171" s="54"/>
    </row>
    <row r="172" spans="1:22" ht="12.75">
      <c r="A172" s="10"/>
      <c r="B172" s="10" t="s">
        <v>127</v>
      </c>
      <c r="E172" s="79">
        <f>ROUND((1437-22)*1000/1936.27,0)</f>
        <v>731</v>
      </c>
      <c r="F172" s="116"/>
      <c r="G172" s="79">
        <f>ROUND((1773-118)*1000/1936.27,0)</f>
        <v>855</v>
      </c>
      <c r="H172" s="116"/>
      <c r="I172" s="79">
        <f>ROUND((1644-98)*1000/1936.27,0)</f>
        <v>798</v>
      </c>
      <c r="J172" s="54"/>
      <c r="K172" s="79">
        <f>ROUND(((1934000-98000)/1936.27),0)</f>
        <v>948</v>
      </c>
      <c r="L172" s="54"/>
      <c r="M172" s="79">
        <v>1085</v>
      </c>
      <c r="N172" s="54"/>
      <c r="O172" s="79">
        <v>1128</v>
      </c>
      <c r="P172" s="54"/>
      <c r="Q172" s="79">
        <v>1324</v>
      </c>
      <c r="R172" s="54"/>
      <c r="S172" s="79">
        <v>1397</v>
      </c>
      <c r="T172" s="54"/>
      <c r="U172" s="79">
        <v>1334</v>
      </c>
      <c r="V172" s="54"/>
    </row>
    <row r="173" spans="1:22" ht="12.75">
      <c r="A173" s="10"/>
      <c r="B173" s="10" t="s">
        <v>128</v>
      </c>
      <c r="E173" s="79">
        <v>61</v>
      </c>
      <c r="F173" s="79">
        <v>0</v>
      </c>
      <c r="G173" s="79">
        <v>147</v>
      </c>
      <c r="H173" s="79">
        <v>0</v>
      </c>
      <c r="I173" s="79">
        <v>179</v>
      </c>
      <c r="J173" s="79">
        <v>0</v>
      </c>
      <c r="K173" s="79">
        <v>211</v>
      </c>
      <c r="L173" s="79">
        <v>0</v>
      </c>
      <c r="M173" s="79">
        <v>511</v>
      </c>
      <c r="N173" s="79">
        <v>0</v>
      </c>
      <c r="O173" s="79">
        <v>632</v>
      </c>
      <c r="P173" s="79">
        <v>4</v>
      </c>
      <c r="Q173" s="79">
        <v>582</v>
      </c>
      <c r="R173" s="79">
        <v>2</v>
      </c>
      <c r="S173" s="79">
        <v>586</v>
      </c>
      <c r="T173" s="79">
        <v>4</v>
      </c>
      <c r="U173" s="79">
        <v>666</v>
      </c>
      <c r="V173" s="79">
        <v>100</v>
      </c>
    </row>
    <row r="174" spans="1:36" s="2" customFormat="1" ht="12.75">
      <c r="A174" s="122" t="s">
        <v>40</v>
      </c>
      <c r="B174" s="123"/>
      <c r="C174" s="123"/>
      <c r="D174" s="22"/>
      <c r="E174" s="67">
        <f aca="true" t="shared" si="30" ref="E174:R174">SUM(E175:E180)</f>
        <v>2417</v>
      </c>
      <c r="F174" s="67">
        <f t="shared" si="30"/>
        <v>0</v>
      </c>
      <c r="G174" s="67">
        <f t="shared" si="30"/>
        <v>2523</v>
      </c>
      <c r="H174" s="67">
        <f t="shared" si="30"/>
        <v>0</v>
      </c>
      <c r="I174" s="67">
        <f t="shared" si="30"/>
        <v>2656</v>
      </c>
      <c r="J174" s="67">
        <f t="shared" si="30"/>
        <v>0</v>
      </c>
      <c r="K174" s="67">
        <f t="shared" si="30"/>
        <v>2762</v>
      </c>
      <c r="L174" s="67">
        <f t="shared" si="30"/>
        <v>0</v>
      </c>
      <c r="M174" s="67">
        <f t="shared" si="30"/>
        <v>2844</v>
      </c>
      <c r="N174" s="67">
        <f t="shared" si="30"/>
        <v>0</v>
      </c>
      <c r="O174" s="67">
        <f t="shared" si="30"/>
        <v>2847</v>
      </c>
      <c r="P174" s="67">
        <f t="shared" si="30"/>
        <v>0</v>
      </c>
      <c r="Q174" s="67">
        <f t="shared" si="30"/>
        <v>2921</v>
      </c>
      <c r="R174" s="67">
        <f t="shared" si="30"/>
        <v>0</v>
      </c>
      <c r="S174" s="67">
        <f>SUM(S175:S180)</f>
        <v>2943</v>
      </c>
      <c r="T174" s="67">
        <f>SUM(T175:T180)</f>
        <v>0</v>
      </c>
      <c r="U174" s="67">
        <f>SUM(U175:U180)</f>
        <v>2973</v>
      </c>
      <c r="V174" s="67">
        <f>SUM(V175:V180)</f>
        <v>0</v>
      </c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</row>
    <row r="175" spans="1:22" ht="12.75">
      <c r="A175" s="10"/>
      <c r="B175" s="10" t="s">
        <v>35</v>
      </c>
      <c r="E175" s="79">
        <f>ROUND(206*1000/1936.27,0)+1</f>
        <v>107</v>
      </c>
      <c r="F175" s="115"/>
      <c r="G175" s="79">
        <f>ROUND(297*1000/1936.27,0)</f>
        <v>153</v>
      </c>
      <c r="H175" s="115"/>
      <c r="I175" s="79">
        <f>ROUND(472*1000/1936.27,0)</f>
        <v>244</v>
      </c>
      <c r="J175" s="54"/>
      <c r="K175" s="79">
        <f>ROUND((472000/1936.27),0)</f>
        <v>244</v>
      </c>
      <c r="L175" s="54"/>
      <c r="M175" s="79">
        <v>170</v>
      </c>
      <c r="N175" s="54"/>
      <c r="O175" s="79">
        <v>178</v>
      </c>
      <c r="P175" s="54"/>
      <c r="Q175" s="79">
        <v>156</v>
      </c>
      <c r="R175" s="54"/>
      <c r="S175" s="79">
        <v>112</v>
      </c>
      <c r="T175" s="54"/>
      <c r="U175" s="79">
        <v>136</v>
      </c>
      <c r="V175" s="54"/>
    </row>
    <row r="176" spans="1:22" ht="12.75">
      <c r="A176" s="10"/>
      <c r="B176" s="10" t="s">
        <v>36</v>
      </c>
      <c r="E176" s="79">
        <f>ROUND(3733*1000/1936.27,0)</f>
        <v>1928</v>
      </c>
      <c r="F176" s="116"/>
      <c r="G176" s="79">
        <f>ROUND(3732*1000/1936.27,0)</f>
        <v>1927</v>
      </c>
      <c r="H176" s="116"/>
      <c r="I176" s="79">
        <f>ROUND(3781*1000/1936.27,0)+1</f>
        <v>1954</v>
      </c>
      <c r="J176" s="54"/>
      <c r="K176" s="79">
        <f>ROUND((3882000/1936.27),0)</f>
        <v>2005</v>
      </c>
      <c r="L176" s="54"/>
      <c r="M176" s="79">
        <v>2041</v>
      </c>
      <c r="N176" s="54"/>
      <c r="O176" s="79">
        <v>1975</v>
      </c>
      <c r="P176" s="54"/>
      <c r="Q176" s="79">
        <v>2090</v>
      </c>
      <c r="R176" s="54"/>
      <c r="S176" s="79">
        <v>2118</v>
      </c>
      <c r="T176" s="54"/>
      <c r="U176" s="79">
        <v>2162</v>
      </c>
      <c r="V176" s="54"/>
    </row>
    <row r="177" spans="1:22" ht="12.75">
      <c r="A177" s="10"/>
      <c r="B177" s="10" t="s">
        <v>37</v>
      </c>
      <c r="E177" s="79">
        <f>ROUND(0*1000/1936.27,0)</f>
        <v>0</v>
      </c>
      <c r="F177" s="116"/>
      <c r="G177" s="79">
        <f>ROUND(0*1000/1936.27,0)</f>
        <v>0</v>
      </c>
      <c r="H177" s="116"/>
      <c r="I177" s="79">
        <v>0</v>
      </c>
      <c r="J177" s="54"/>
      <c r="K177" s="79">
        <v>0</v>
      </c>
      <c r="L177" s="54"/>
      <c r="M177" s="79">
        <v>26</v>
      </c>
      <c r="N177" s="54"/>
      <c r="O177" s="79">
        <v>26</v>
      </c>
      <c r="P177" s="54"/>
      <c r="Q177" s="79">
        <v>27</v>
      </c>
      <c r="R177" s="54"/>
      <c r="S177" s="79">
        <v>2</v>
      </c>
      <c r="T177" s="54"/>
      <c r="U177" s="79"/>
      <c r="V177" s="54"/>
    </row>
    <row r="178" spans="1:22" ht="12.75">
      <c r="A178" s="10"/>
      <c r="B178" s="10" t="s">
        <v>38</v>
      </c>
      <c r="E178" s="79">
        <f>ROUND(19*1000/1936.27,0)</f>
        <v>10</v>
      </c>
      <c r="F178" s="116"/>
      <c r="G178" s="79">
        <f>ROUND(100*1000/1936.27,0)</f>
        <v>52</v>
      </c>
      <c r="H178" s="116"/>
      <c r="I178" s="79">
        <f>ROUND(82*1000/1936.27,0)</f>
        <v>42</v>
      </c>
      <c r="J178" s="54"/>
      <c r="K178" s="79">
        <f>ROUND((98000/1936.27),0)</f>
        <v>51</v>
      </c>
      <c r="L178" s="54"/>
      <c r="M178" s="79">
        <v>50</v>
      </c>
      <c r="N178" s="54"/>
      <c r="O178" s="79">
        <v>60</v>
      </c>
      <c r="P178" s="54"/>
      <c r="Q178" s="79">
        <v>76</v>
      </c>
      <c r="R178" s="54"/>
      <c r="S178" s="79">
        <v>85</v>
      </c>
      <c r="T178" s="54"/>
      <c r="U178" s="79">
        <v>92</v>
      </c>
      <c r="V178" s="54"/>
    </row>
    <row r="179" spans="1:22" ht="12.75">
      <c r="A179" s="10"/>
      <c r="B179" s="10" t="s">
        <v>127</v>
      </c>
      <c r="E179" s="79">
        <f>ROUND((504-19)*1000/1936.27,0)</f>
        <v>250</v>
      </c>
      <c r="F179" s="116"/>
      <c r="G179" s="79">
        <f>ROUND((521)*1000/1936.27,0)</f>
        <v>269</v>
      </c>
      <c r="H179" s="116"/>
      <c r="I179" s="79">
        <f>ROUND((605-82)*1000/1936.27,0)</f>
        <v>270</v>
      </c>
      <c r="J179" s="54"/>
      <c r="K179" s="79">
        <f>ROUND(((752000-98000)/1936.27),0)</f>
        <v>338</v>
      </c>
      <c r="L179" s="54"/>
      <c r="M179" s="79">
        <v>387</v>
      </c>
      <c r="N179" s="54"/>
      <c r="O179" s="79">
        <v>417</v>
      </c>
      <c r="P179" s="54"/>
      <c r="Q179" s="79">
        <v>437</v>
      </c>
      <c r="R179" s="54"/>
      <c r="S179" s="79">
        <v>446</v>
      </c>
      <c r="T179" s="54"/>
      <c r="U179" s="79">
        <v>438</v>
      </c>
      <c r="V179" s="54"/>
    </row>
    <row r="180" spans="1:22" ht="12.75">
      <c r="A180" s="10"/>
      <c r="B180" s="10" t="s">
        <v>128</v>
      </c>
      <c r="E180" s="79">
        <v>122</v>
      </c>
      <c r="F180" s="79">
        <v>0</v>
      </c>
      <c r="G180" s="79">
        <v>122</v>
      </c>
      <c r="H180" s="79">
        <v>0</v>
      </c>
      <c r="I180" s="79">
        <v>146</v>
      </c>
      <c r="J180" s="79">
        <v>0</v>
      </c>
      <c r="K180" s="79">
        <v>124</v>
      </c>
      <c r="L180" s="79">
        <v>0</v>
      </c>
      <c r="M180" s="79">
        <v>170</v>
      </c>
      <c r="N180" s="79"/>
      <c r="O180" s="79">
        <v>191</v>
      </c>
      <c r="P180" s="79">
        <v>0</v>
      </c>
      <c r="Q180" s="79">
        <v>135</v>
      </c>
      <c r="R180" s="79">
        <v>0</v>
      </c>
      <c r="S180" s="79">
        <v>180</v>
      </c>
      <c r="T180" s="79"/>
      <c r="U180" s="79">
        <v>145</v>
      </c>
      <c r="V180" s="79"/>
    </row>
    <row r="181" spans="1:36" s="2" customFormat="1" ht="12.75">
      <c r="A181" s="122" t="s">
        <v>41</v>
      </c>
      <c r="B181" s="123"/>
      <c r="C181" s="123"/>
      <c r="D181" s="22"/>
      <c r="E181" s="67">
        <f aca="true" t="shared" si="31" ref="E181:J181">SUM(E182:E187)</f>
        <v>1937</v>
      </c>
      <c r="F181" s="67">
        <f t="shared" si="31"/>
        <v>0</v>
      </c>
      <c r="G181" s="67">
        <f t="shared" si="31"/>
        <v>2061</v>
      </c>
      <c r="H181" s="67">
        <f t="shared" si="31"/>
        <v>0</v>
      </c>
      <c r="I181" s="67">
        <f t="shared" si="31"/>
        <v>2190</v>
      </c>
      <c r="J181" s="67">
        <f t="shared" si="31"/>
        <v>15</v>
      </c>
      <c r="K181" s="67">
        <f>SUM(K182:K187)-1</f>
        <v>2364</v>
      </c>
      <c r="L181" s="67">
        <f aca="true" t="shared" si="32" ref="L181:R181">SUM(L182:L187)</f>
        <v>0</v>
      </c>
      <c r="M181" s="67">
        <f t="shared" si="32"/>
        <v>2568</v>
      </c>
      <c r="N181" s="67">
        <f t="shared" si="32"/>
        <v>26</v>
      </c>
      <c r="O181" s="67">
        <f t="shared" si="32"/>
        <v>2831</v>
      </c>
      <c r="P181" s="67">
        <f t="shared" si="32"/>
        <v>10</v>
      </c>
      <c r="Q181" s="67">
        <f t="shared" si="32"/>
        <v>2964</v>
      </c>
      <c r="R181" s="67">
        <f t="shared" si="32"/>
        <v>0</v>
      </c>
      <c r="S181" s="67">
        <f>SUM(S182:S187)</f>
        <v>3210</v>
      </c>
      <c r="T181" s="67">
        <f>SUM(T182:T187)</f>
        <v>90</v>
      </c>
      <c r="U181" s="67">
        <f>SUM(U182:U187)</f>
        <v>3227</v>
      </c>
      <c r="V181" s="67">
        <f>SUM(V182:V187)</f>
        <v>80</v>
      </c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</row>
    <row r="182" spans="1:22" ht="12.75">
      <c r="A182" s="10"/>
      <c r="B182" s="10" t="s">
        <v>35</v>
      </c>
      <c r="E182" s="79">
        <f>ROUND(240*1000/1936.27,0)-1</f>
        <v>123</v>
      </c>
      <c r="F182" s="79"/>
      <c r="G182" s="79">
        <f>ROUND(155*1000/1936.27,0)</f>
        <v>80</v>
      </c>
      <c r="H182" s="79"/>
      <c r="I182" s="79">
        <f>ROUND(206*1000/1936.27,0)-2</f>
        <v>104</v>
      </c>
      <c r="J182" s="79"/>
      <c r="K182" s="79">
        <f>ROUND((197000/1936.27),0)</f>
        <v>102</v>
      </c>
      <c r="L182" s="79"/>
      <c r="M182" s="79">
        <v>159</v>
      </c>
      <c r="N182" s="79"/>
      <c r="O182" s="79">
        <v>115</v>
      </c>
      <c r="P182" s="79"/>
      <c r="Q182" s="79">
        <v>144</v>
      </c>
      <c r="R182" s="79"/>
      <c r="S182" s="79">
        <v>126</v>
      </c>
      <c r="T182" s="79"/>
      <c r="U182" s="79">
        <v>174</v>
      </c>
      <c r="V182" s="79"/>
    </row>
    <row r="183" spans="1:22" ht="12.75">
      <c r="A183" s="10"/>
      <c r="B183" s="10" t="s">
        <v>36</v>
      </c>
      <c r="E183" s="79">
        <f>ROUND(2313*1000/1936.27,0)</f>
        <v>1195</v>
      </c>
      <c r="F183" s="116"/>
      <c r="G183" s="79">
        <f>ROUND(2530*1000/1936.27,0)</f>
        <v>1307</v>
      </c>
      <c r="H183" s="116"/>
      <c r="I183" s="79">
        <f>ROUND(2741*1000/1936.27,0)+1</f>
        <v>1417</v>
      </c>
      <c r="J183" s="54">
        <f>ROUND(30000/1936.27,0)</f>
        <v>15</v>
      </c>
      <c r="K183" s="79">
        <f>ROUND((2955000/1936.27),0)</f>
        <v>1526</v>
      </c>
      <c r="L183" s="54"/>
      <c r="M183" s="79">
        <v>1542</v>
      </c>
      <c r="N183" s="54">
        <v>26</v>
      </c>
      <c r="O183" s="79">
        <v>1718</v>
      </c>
      <c r="P183" s="54">
        <v>10</v>
      </c>
      <c r="Q183" s="79">
        <v>1805</v>
      </c>
      <c r="R183" s="54"/>
      <c r="S183" s="79">
        <v>2019</v>
      </c>
      <c r="T183" s="54">
        <v>90</v>
      </c>
      <c r="U183" s="79">
        <v>1932</v>
      </c>
      <c r="V183" s="54">
        <v>70</v>
      </c>
    </row>
    <row r="184" spans="1:22" ht="12.75">
      <c r="A184" s="10"/>
      <c r="B184" s="10" t="s">
        <v>37</v>
      </c>
      <c r="E184" s="79">
        <f>ROUND(0*1000/1936.27,0)</f>
        <v>0</v>
      </c>
      <c r="F184" s="116"/>
      <c r="G184" s="79">
        <f>ROUND(0*1000/1936.27,0)</f>
        <v>0</v>
      </c>
      <c r="H184" s="116"/>
      <c r="I184" s="79">
        <v>0</v>
      </c>
      <c r="J184" s="54"/>
      <c r="K184" s="79">
        <v>0</v>
      </c>
      <c r="L184" s="54"/>
      <c r="M184" s="79">
        <v>26</v>
      </c>
      <c r="N184" s="54"/>
      <c r="O184" s="79">
        <v>30</v>
      </c>
      <c r="P184" s="54"/>
      <c r="Q184" s="79">
        <v>40</v>
      </c>
      <c r="R184" s="54"/>
      <c r="S184" s="79">
        <v>29</v>
      </c>
      <c r="T184" s="54"/>
      <c r="U184" s="79"/>
      <c r="V184" s="54"/>
    </row>
    <row r="185" spans="1:22" ht="12.75">
      <c r="A185" s="10"/>
      <c r="B185" s="10" t="s">
        <v>38</v>
      </c>
      <c r="E185" s="79">
        <f>ROUND(12*1000/1936.27,0)</f>
        <v>6</v>
      </c>
      <c r="F185" s="116"/>
      <c r="G185" s="79">
        <f>ROUND(68*1000/1936.27,0)</f>
        <v>35</v>
      </c>
      <c r="H185" s="116"/>
      <c r="I185" s="79">
        <f>ROUND(56*1000/1936.27,0)</f>
        <v>29</v>
      </c>
      <c r="J185" s="54"/>
      <c r="K185" s="79">
        <f>ROUND((56000/1936.27),0)</f>
        <v>29</v>
      </c>
      <c r="L185" s="54"/>
      <c r="M185" s="79">
        <v>29</v>
      </c>
      <c r="N185" s="54"/>
      <c r="O185" s="79">
        <v>35</v>
      </c>
      <c r="P185" s="54"/>
      <c r="Q185" s="79">
        <v>44</v>
      </c>
      <c r="R185" s="54"/>
      <c r="S185" s="79">
        <v>49</v>
      </c>
      <c r="T185" s="54"/>
      <c r="U185" s="79">
        <v>53</v>
      </c>
      <c r="V185" s="54"/>
    </row>
    <row r="186" spans="1:22" ht="12.75">
      <c r="A186" s="10"/>
      <c r="B186" s="10" t="s">
        <v>127</v>
      </c>
      <c r="E186" s="79">
        <f>ROUND((686-12)*1000/1936.27,0)</f>
        <v>348</v>
      </c>
      <c r="F186" s="116"/>
      <c r="G186" s="79">
        <f>ROUND((697-68)*1000/1936.27,0)</f>
        <v>325</v>
      </c>
      <c r="H186" s="116"/>
      <c r="I186" s="79">
        <f>ROUND((693-56)*1000/1936.27,0)</f>
        <v>329</v>
      </c>
      <c r="J186" s="54"/>
      <c r="K186" s="79">
        <f>ROUND((760000/1936.27),0)</f>
        <v>393</v>
      </c>
      <c r="L186" s="54"/>
      <c r="M186" s="79">
        <v>441</v>
      </c>
      <c r="N186" s="54"/>
      <c r="O186" s="79">
        <v>474</v>
      </c>
      <c r="P186" s="54"/>
      <c r="Q186" s="79">
        <v>506</v>
      </c>
      <c r="R186" s="54"/>
      <c r="S186" s="79">
        <v>566</v>
      </c>
      <c r="T186" s="54"/>
      <c r="U186" s="79">
        <v>619</v>
      </c>
      <c r="V186" s="54"/>
    </row>
    <row r="187" spans="1:22" ht="12.75">
      <c r="A187" s="10"/>
      <c r="B187" s="10" t="s">
        <v>128</v>
      </c>
      <c r="E187" s="79">
        <v>265</v>
      </c>
      <c r="F187" s="79">
        <v>0</v>
      </c>
      <c r="G187" s="79">
        <v>314</v>
      </c>
      <c r="H187" s="79">
        <v>0</v>
      </c>
      <c r="I187" s="79">
        <v>311</v>
      </c>
      <c r="J187" s="79">
        <v>0</v>
      </c>
      <c r="K187" s="79">
        <v>315</v>
      </c>
      <c r="L187" s="79">
        <v>0</v>
      </c>
      <c r="M187" s="79">
        <v>371</v>
      </c>
      <c r="N187" s="79">
        <v>0</v>
      </c>
      <c r="O187" s="79">
        <v>459</v>
      </c>
      <c r="P187" s="79">
        <v>0</v>
      </c>
      <c r="Q187" s="79">
        <v>425</v>
      </c>
      <c r="R187" s="79">
        <v>0</v>
      </c>
      <c r="S187" s="79">
        <v>421</v>
      </c>
      <c r="T187" s="79"/>
      <c r="U187" s="79">
        <v>449</v>
      </c>
      <c r="V187" s="79">
        <v>10</v>
      </c>
    </row>
    <row r="188" spans="1:36" s="2" customFormat="1" ht="12.75">
      <c r="A188" s="122" t="s">
        <v>42</v>
      </c>
      <c r="B188" s="123"/>
      <c r="C188" s="123"/>
      <c r="D188" s="22"/>
      <c r="E188" s="67">
        <f aca="true" t="shared" si="33" ref="E188:R188">SUM(E189:E194)</f>
        <v>1924</v>
      </c>
      <c r="F188" s="67">
        <f t="shared" si="33"/>
        <v>0</v>
      </c>
      <c r="G188" s="67">
        <f t="shared" si="33"/>
        <v>2164</v>
      </c>
      <c r="H188" s="67">
        <f t="shared" si="33"/>
        <v>21</v>
      </c>
      <c r="I188" s="67">
        <f t="shared" si="33"/>
        <v>2768</v>
      </c>
      <c r="J188" s="67">
        <f t="shared" si="33"/>
        <v>480</v>
      </c>
      <c r="K188" s="67">
        <f t="shared" si="33"/>
        <v>2609</v>
      </c>
      <c r="L188" s="67">
        <f t="shared" si="33"/>
        <v>0</v>
      </c>
      <c r="M188" s="67">
        <f t="shared" si="33"/>
        <v>2694</v>
      </c>
      <c r="N188" s="67">
        <f t="shared" si="33"/>
        <v>0</v>
      </c>
      <c r="O188" s="67">
        <f t="shared" si="33"/>
        <v>2999</v>
      </c>
      <c r="P188" s="67">
        <f t="shared" si="33"/>
        <v>4</v>
      </c>
      <c r="Q188" s="67">
        <f t="shared" si="33"/>
        <v>3001</v>
      </c>
      <c r="R188" s="67">
        <f t="shared" si="33"/>
        <v>5</v>
      </c>
      <c r="S188" s="67">
        <f>SUM(S189:S194)</f>
        <v>3190</v>
      </c>
      <c r="T188" s="67">
        <f>SUM(T189:T194)</f>
        <v>2</v>
      </c>
      <c r="U188" s="67">
        <f>SUM(U189:U194)</f>
        <v>3172</v>
      </c>
      <c r="V188" s="67">
        <f>SUM(V189:V194)</f>
        <v>4</v>
      </c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</row>
    <row r="189" spans="1:22" ht="12.75">
      <c r="A189" s="10"/>
      <c r="B189" s="10" t="s">
        <v>35</v>
      </c>
      <c r="E189" s="79">
        <f>ROUND(189*1000/1936.27,0)+1</f>
        <v>99</v>
      </c>
      <c r="F189" s="79"/>
      <c r="G189" s="79">
        <f>ROUND(221*1000/1936.27,0)+1</f>
        <v>115</v>
      </c>
      <c r="H189" s="79">
        <v>21</v>
      </c>
      <c r="I189" s="79">
        <f>ROUND(289*1000/1936.27,0)</f>
        <v>149</v>
      </c>
      <c r="J189" s="79"/>
      <c r="K189" s="79">
        <f>ROUND((281000/1936.27),0)</f>
        <v>145</v>
      </c>
      <c r="L189" s="79"/>
      <c r="M189" s="79">
        <v>89</v>
      </c>
      <c r="N189" s="79"/>
      <c r="O189" s="79">
        <v>70</v>
      </c>
      <c r="P189" s="79"/>
      <c r="Q189" s="79">
        <v>138</v>
      </c>
      <c r="R189" s="79"/>
      <c r="S189" s="79">
        <v>155</v>
      </c>
      <c r="T189" s="79"/>
      <c r="U189" s="79">
        <v>224</v>
      </c>
      <c r="V189" s="79"/>
    </row>
    <row r="190" spans="1:22" ht="12.75">
      <c r="A190" s="10"/>
      <c r="B190" s="10" t="s">
        <v>36</v>
      </c>
      <c r="E190" s="79">
        <f>ROUND(2727*1000/1936.27,0)</f>
        <v>1408</v>
      </c>
      <c r="F190" s="116"/>
      <c r="G190" s="79">
        <f>ROUND(3031*1000/1936.27,0)</f>
        <v>1565</v>
      </c>
      <c r="H190" s="116"/>
      <c r="I190" s="79">
        <f>ROUND(3239*1000/1936.27,0)</f>
        <v>1673</v>
      </c>
      <c r="J190" s="54">
        <f>ROUND(87000/1936.27,0)</f>
        <v>45</v>
      </c>
      <c r="K190" s="79">
        <f>ROUND((3597000/1936.27),0)</f>
        <v>1858</v>
      </c>
      <c r="L190" s="54"/>
      <c r="M190" s="79">
        <v>1753</v>
      </c>
      <c r="N190" s="54"/>
      <c r="O190" s="79">
        <v>2070</v>
      </c>
      <c r="P190" s="54"/>
      <c r="Q190" s="79">
        <v>1922</v>
      </c>
      <c r="R190" s="54"/>
      <c r="S190" s="79">
        <v>2060</v>
      </c>
      <c r="T190" s="54"/>
      <c r="U190" s="79">
        <v>2090</v>
      </c>
      <c r="V190" s="54"/>
    </row>
    <row r="191" spans="1:22" ht="12.75">
      <c r="A191" s="10"/>
      <c r="B191" s="10" t="s">
        <v>37</v>
      </c>
      <c r="E191" s="79">
        <f>ROUND(0*1000/1936.27,0)</f>
        <v>0</v>
      </c>
      <c r="F191" s="116"/>
      <c r="G191" s="79">
        <f>ROUND(0*1000/1936.27,0)</f>
        <v>0</v>
      </c>
      <c r="H191" s="116"/>
      <c r="I191" s="79">
        <v>0</v>
      </c>
      <c r="J191" s="54"/>
      <c r="K191" s="79">
        <v>0</v>
      </c>
      <c r="L191" s="54"/>
      <c r="M191" s="79">
        <v>24</v>
      </c>
      <c r="N191" s="54"/>
      <c r="O191" s="79">
        <v>39</v>
      </c>
      <c r="P191" s="54"/>
      <c r="Q191" s="79">
        <v>41</v>
      </c>
      <c r="R191" s="54"/>
      <c r="S191" s="79">
        <v>32</v>
      </c>
      <c r="T191" s="54"/>
      <c r="U191" s="79"/>
      <c r="V191" s="54"/>
    </row>
    <row r="192" spans="1:22" ht="12.75">
      <c r="A192" s="10"/>
      <c r="B192" s="10" t="s">
        <v>38</v>
      </c>
      <c r="E192" s="79">
        <f>ROUND(0*1000/1936.27,0)</f>
        <v>0</v>
      </c>
      <c r="F192" s="116"/>
      <c r="G192" s="79">
        <v>0</v>
      </c>
      <c r="H192" s="116"/>
      <c r="I192" s="79">
        <f>ROUND(0*1000/1936.27,0)</f>
        <v>0</v>
      </c>
      <c r="J192" s="54"/>
      <c r="K192" s="79">
        <v>0</v>
      </c>
      <c r="L192" s="54"/>
      <c r="M192" s="79"/>
      <c r="N192" s="54"/>
      <c r="O192" s="79"/>
      <c r="P192" s="54"/>
      <c r="Q192" s="79"/>
      <c r="R192" s="54"/>
      <c r="S192" s="79"/>
      <c r="T192" s="54"/>
      <c r="U192" s="79"/>
      <c r="V192" s="54"/>
    </row>
    <row r="193" spans="1:22" ht="14.25" customHeight="1">
      <c r="A193" s="10"/>
      <c r="B193" s="10" t="s">
        <v>127</v>
      </c>
      <c r="E193" s="79">
        <f>ROUND(756*1000/1936.27,0)</f>
        <v>390</v>
      </c>
      <c r="F193" s="116"/>
      <c r="G193" s="79">
        <f>ROUND(885*1000/1936.27,0)</f>
        <v>457</v>
      </c>
      <c r="H193" s="116"/>
      <c r="I193" s="79">
        <f>ROUND(926*1000/1936.27,0)</f>
        <v>478</v>
      </c>
      <c r="J193" s="54"/>
      <c r="K193" s="79">
        <f>ROUND((1139000/1936.27),0)</f>
        <v>588</v>
      </c>
      <c r="L193" s="54"/>
      <c r="M193" s="79">
        <v>634</v>
      </c>
      <c r="N193" s="54"/>
      <c r="O193" s="79">
        <v>622</v>
      </c>
      <c r="P193" s="54"/>
      <c r="Q193" s="79">
        <v>741</v>
      </c>
      <c r="R193" s="54"/>
      <c r="S193" s="79">
        <v>828</v>
      </c>
      <c r="T193" s="54"/>
      <c r="U193" s="79">
        <v>771</v>
      </c>
      <c r="V193" s="54"/>
    </row>
    <row r="194" spans="1:33" ht="12.75">
      <c r="A194" s="10"/>
      <c r="B194" s="10" t="s">
        <v>128</v>
      </c>
      <c r="E194" s="79">
        <v>27</v>
      </c>
      <c r="F194" s="79">
        <v>0</v>
      </c>
      <c r="G194" s="79">
        <v>27</v>
      </c>
      <c r="H194" s="79">
        <v>0</v>
      </c>
      <c r="I194" s="79">
        <v>468</v>
      </c>
      <c r="J194" s="79">
        <v>435</v>
      </c>
      <c r="K194" s="79">
        <v>18</v>
      </c>
      <c r="L194" s="79">
        <v>0</v>
      </c>
      <c r="M194" s="79">
        <v>194</v>
      </c>
      <c r="N194" s="79">
        <v>0</v>
      </c>
      <c r="O194" s="79">
        <v>198</v>
      </c>
      <c r="P194" s="79">
        <v>4</v>
      </c>
      <c r="Q194" s="79">
        <v>159</v>
      </c>
      <c r="R194" s="79">
        <v>5</v>
      </c>
      <c r="S194" s="79">
        <v>115</v>
      </c>
      <c r="T194" s="79">
        <v>2</v>
      </c>
      <c r="U194" s="79">
        <v>87</v>
      </c>
      <c r="V194" s="79">
        <v>4</v>
      </c>
      <c r="W194" s="79">
        <v>0</v>
      </c>
      <c r="X194" s="79">
        <v>0</v>
      </c>
      <c r="Y194" s="79">
        <v>0</v>
      </c>
      <c r="Z194" s="79">
        <v>0</v>
      </c>
      <c r="AA194" s="79">
        <v>0</v>
      </c>
      <c r="AB194" s="79">
        <v>0</v>
      </c>
      <c r="AC194" s="79">
        <v>0</v>
      </c>
      <c r="AD194" s="79">
        <v>0</v>
      </c>
      <c r="AE194" s="79">
        <v>0</v>
      </c>
      <c r="AF194" s="79">
        <v>0</v>
      </c>
      <c r="AG194" s="79">
        <v>0</v>
      </c>
    </row>
    <row r="195" spans="1:36" s="2" customFormat="1" ht="12.75">
      <c r="A195" s="122" t="s">
        <v>43</v>
      </c>
      <c r="B195" s="123"/>
      <c r="C195" s="123"/>
      <c r="D195" s="22"/>
      <c r="E195" s="67">
        <f aca="true" t="shared" si="34" ref="E195:R195">SUM(E196:E201)</f>
        <v>2819</v>
      </c>
      <c r="F195" s="67">
        <f t="shared" si="34"/>
        <v>0</v>
      </c>
      <c r="G195" s="67">
        <f t="shared" si="34"/>
        <v>3149</v>
      </c>
      <c r="H195" s="67">
        <f t="shared" si="34"/>
        <v>0</v>
      </c>
      <c r="I195" s="67">
        <f t="shared" si="34"/>
        <v>3287</v>
      </c>
      <c r="J195" s="67">
        <f t="shared" si="34"/>
        <v>0</v>
      </c>
      <c r="K195" s="67">
        <f t="shared" si="34"/>
        <v>3312</v>
      </c>
      <c r="L195" s="67">
        <f t="shared" si="34"/>
        <v>0</v>
      </c>
      <c r="M195" s="67">
        <f t="shared" si="34"/>
        <v>3424</v>
      </c>
      <c r="N195" s="67">
        <f t="shared" si="34"/>
        <v>0</v>
      </c>
      <c r="O195" s="67">
        <f t="shared" si="34"/>
        <v>3530</v>
      </c>
      <c r="P195" s="67">
        <f t="shared" si="34"/>
        <v>0</v>
      </c>
      <c r="Q195" s="67">
        <f t="shared" si="34"/>
        <v>3386</v>
      </c>
      <c r="R195" s="67">
        <f t="shared" si="34"/>
        <v>0</v>
      </c>
      <c r="S195" s="67">
        <f>SUM(S196:S201)</f>
        <v>3492</v>
      </c>
      <c r="T195" s="67">
        <f>SUM(T196:T201)</f>
        <v>0</v>
      </c>
      <c r="U195" s="67">
        <f>SUM(U196:U201)</f>
        <v>3394</v>
      </c>
      <c r="V195" s="67">
        <f>SUM(V196:V201)</f>
        <v>12</v>
      </c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</row>
    <row r="196" spans="1:22" ht="12.75">
      <c r="A196" s="10"/>
      <c r="B196" s="10" t="s">
        <v>35</v>
      </c>
      <c r="E196" s="79">
        <f>ROUND(355*1000/1936.27,0)</f>
        <v>183</v>
      </c>
      <c r="F196" s="79"/>
      <c r="G196" s="79">
        <f>ROUND(348*1000/1936.27,0)</f>
        <v>180</v>
      </c>
      <c r="H196" s="79"/>
      <c r="I196" s="79">
        <f>ROUND(407*1000/1936.27,0)+2</f>
        <v>212</v>
      </c>
      <c r="J196" s="79"/>
      <c r="K196" s="79">
        <f>ROUND((502000/1936.27),0)</f>
        <v>259</v>
      </c>
      <c r="L196" s="79"/>
      <c r="M196" s="79">
        <v>206</v>
      </c>
      <c r="N196" s="79"/>
      <c r="O196" s="79">
        <v>158</v>
      </c>
      <c r="P196" s="79"/>
      <c r="Q196" s="79">
        <v>156</v>
      </c>
      <c r="R196" s="79"/>
      <c r="S196" s="79">
        <v>184</v>
      </c>
      <c r="T196" s="79"/>
      <c r="U196" s="79">
        <v>137</v>
      </c>
      <c r="V196" s="79"/>
    </row>
    <row r="197" spans="1:22" ht="12.75">
      <c r="A197" s="10"/>
      <c r="B197" s="10" t="s">
        <v>36</v>
      </c>
      <c r="E197" s="79">
        <f>ROUND(4193*1000/1936.27,0)</f>
        <v>2166</v>
      </c>
      <c r="F197" s="116"/>
      <c r="G197" s="79">
        <f>ROUND(4384*1000/1936.27,0)</f>
        <v>2264</v>
      </c>
      <c r="H197" s="116"/>
      <c r="I197" s="79">
        <f>ROUND(4506*1000/1936.27,0)+1</f>
        <v>2328</v>
      </c>
      <c r="J197" s="54"/>
      <c r="K197" s="79">
        <f>ROUND((4314000/1936.27),0)</f>
        <v>2228</v>
      </c>
      <c r="L197" s="54"/>
      <c r="M197" s="79">
        <v>2309</v>
      </c>
      <c r="N197" s="54"/>
      <c r="O197" s="79">
        <v>2417</v>
      </c>
      <c r="P197" s="54"/>
      <c r="Q197" s="79">
        <v>2305</v>
      </c>
      <c r="R197" s="54"/>
      <c r="S197" s="79">
        <v>2281</v>
      </c>
      <c r="T197" s="54"/>
      <c r="U197" s="79">
        <v>2093</v>
      </c>
      <c r="V197" s="54"/>
    </row>
    <row r="198" spans="1:22" ht="12.75">
      <c r="A198" s="10"/>
      <c r="B198" s="10" t="s">
        <v>37</v>
      </c>
      <c r="E198" s="79">
        <f>ROUND(0*1000/1936.27,0)</f>
        <v>0</v>
      </c>
      <c r="F198" s="116"/>
      <c r="G198" s="79">
        <f>ROUND(0*1000/1936.27,0)</f>
        <v>0</v>
      </c>
      <c r="H198" s="116"/>
      <c r="I198" s="79">
        <v>0</v>
      </c>
      <c r="J198" s="54"/>
      <c r="K198" s="79">
        <v>0</v>
      </c>
      <c r="L198" s="54"/>
      <c r="M198" s="79">
        <v>46</v>
      </c>
      <c r="N198" s="54"/>
      <c r="O198" s="79">
        <v>56</v>
      </c>
      <c r="P198" s="54"/>
      <c r="Q198" s="79">
        <v>47</v>
      </c>
      <c r="R198" s="54"/>
      <c r="S198" s="79">
        <v>50</v>
      </c>
      <c r="T198" s="54"/>
      <c r="U198" s="79"/>
      <c r="V198" s="54"/>
    </row>
    <row r="199" spans="1:22" ht="12.75">
      <c r="A199" s="10"/>
      <c r="B199" s="10" t="s">
        <v>38</v>
      </c>
      <c r="E199" s="79">
        <f>ROUND(0*1000/1936.27,0)</f>
        <v>0</v>
      </c>
      <c r="F199" s="116"/>
      <c r="G199" s="79">
        <f>ROUND(351*1000/1936.27,0)</f>
        <v>181</v>
      </c>
      <c r="H199" s="116"/>
      <c r="I199" s="79">
        <f>ROUND(262*1000/1936.27,0)</f>
        <v>135</v>
      </c>
      <c r="J199" s="54"/>
      <c r="K199" s="79">
        <f>ROUND((262000/1936.27),0)</f>
        <v>135</v>
      </c>
      <c r="L199" s="54"/>
      <c r="M199" s="79">
        <v>135</v>
      </c>
      <c r="N199" s="54"/>
      <c r="O199" s="79">
        <v>169</v>
      </c>
      <c r="P199" s="54"/>
      <c r="Q199" s="79">
        <v>214</v>
      </c>
      <c r="R199" s="54"/>
      <c r="S199" s="79">
        <v>238</v>
      </c>
      <c r="T199" s="54"/>
      <c r="U199" s="79">
        <v>258</v>
      </c>
      <c r="V199" s="54"/>
    </row>
    <row r="200" spans="1:22" ht="12.75">
      <c r="A200" s="10"/>
      <c r="B200" s="10" t="s">
        <v>127</v>
      </c>
      <c r="E200" s="79">
        <f>ROUND(876*1000/1936.27,0)</f>
        <v>452</v>
      </c>
      <c r="F200" s="116"/>
      <c r="G200" s="79">
        <f>ROUND((1331-351)*1000/1936.27,0)</f>
        <v>506</v>
      </c>
      <c r="H200" s="116"/>
      <c r="I200" s="79">
        <f>ROUND((1405-262)*1000/1936.27,0)</f>
        <v>590</v>
      </c>
      <c r="J200" s="54"/>
      <c r="K200" s="79">
        <f>ROUND((1295000/1936.27),0)</f>
        <v>669</v>
      </c>
      <c r="L200" s="54"/>
      <c r="M200" s="79">
        <v>656</v>
      </c>
      <c r="N200" s="54"/>
      <c r="O200" s="79">
        <v>650</v>
      </c>
      <c r="P200" s="54"/>
      <c r="Q200" s="79">
        <v>584</v>
      </c>
      <c r="R200" s="54"/>
      <c r="S200" s="79">
        <v>662</v>
      </c>
      <c r="T200" s="54"/>
      <c r="U200" s="79">
        <v>835</v>
      </c>
      <c r="V200" s="54"/>
    </row>
    <row r="201" spans="1:22" ht="12.75">
      <c r="A201" s="10"/>
      <c r="B201" s="10" t="s">
        <v>128</v>
      </c>
      <c r="E201" s="79">
        <v>18</v>
      </c>
      <c r="F201" s="79">
        <v>0</v>
      </c>
      <c r="G201" s="79">
        <v>18</v>
      </c>
      <c r="H201" s="79">
        <v>0</v>
      </c>
      <c r="I201" s="79">
        <v>22</v>
      </c>
      <c r="J201" s="79">
        <v>0</v>
      </c>
      <c r="K201" s="79">
        <v>21</v>
      </c>
      <c r="L201" s="79">
        <v>0</v>
      </c>
      <c r="M201" s="79">
        <v>72</v>
      </c>
      <c r="N201" s="79">
        <v>0</v>
      </c>
      <c r="O201" s="79">
        <v>80</v>
      </c>
      <c r="P201" s="79">
        <v>0</v>
      </c>
      <c r="Q201" s="79">
        <v>80</v>
      </c>
      <c r="R201" s="79">
        <v>0</v>
      </c>
      <c r="S201" s="79">
        <v>77</v>
      </c>
      <c r="T201" s="79"/>
      <c r="U201" s="79">
        <v>71</v>
      </c>
      <c r="V201" s="79">
        <v>12</v>
      </c>
    </row>
    <row r="202" spans="1:36" s="2" customFormat="1" ht="12.75">
      <c r="A202" s="122" t="s">
        <v>44</v>
      </c>
      <c r="B202" s="123"/>
      <c r="C202" s="123"/>
      <c r="D202" s="22"/>
      <c r="E202" s="67">
        <f aca="true" t="shared" si="35" ref="E202:R202">SUM(E203:E208)</f>
        <v>2725</v>
      </c>
      <c r="F202" s="67">
        <f t="shared" si="35"/>
        <v>0</v>
      </c>
      <c r="G202" s="67">
        <f t="shared" si="35"/>
        <v>2991</v>
      </c>
      <c r="H202" s="67">
        <f t="shared" si="35"/>
        <v>0</v>
      </c>
      <c r="I202" s="67">
        <f t="shared" si="35"/>
        <v>3212</v>
      </c>
      <c r="J202" s="67">
        <f t="shared" si="35"/>
        <v>42</v>
      </c>
      <c r="K202" s="67">
        <f t="shared" si="35"/>
        <v>3484</v>
      </c>
      <c r="L202" s="67">
        <f t="shared" si="35"/>
        <v>0</v>
      </c>
      <c r="M202" s="67">
        <f t="shared" si="35"/>
        <v>3564</v>
      </c>
      <c r="N202" s="67">
        <f t="shared" si="35"/>
        <v>0</v>
      </c>
      <c r="O202" s="67">
        <f t="shared" si="35"/>
        <v>3958</v>
      </c>
      <c r="P202" s="67">
        <f t="shared" si="35"/>
        <v>0</v>
      </c>
      <c r="Q202" s="67">
        <f t="shared" si="35"/>
        <v>4002</v>
      </c>
      <c r="R202" s="67">
        <f t="shared" si="35"/>
        <v>0</v>
      </c>
      <c r="S202" s="67">
        <f>SUM(S203:S208)</f>
        <v>4281</v>
      </c>
      <c r="T202" s="67">
        <f>SUM(T203:T208)</f>
        <v>2</v>
      </c>
      <c r="U202" s="67">
        <f>SUM(U203:U208)</f>
        <v>4233</v>
      </c>
      <c r="V202" s="67">
        <f>SUM(V203:V208)</f>
        <v>35</v>
      </c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</row>
    <row r="203" spans="1:22" ht="12.75">
      <c r="A203" s="10"/>
      <c r="B203" s="10" t="s">
        <v>35</v>
      </c>
      <c r="E203" s="79">
        <f>ROUND(325*1000/1936.27,0)</f>
        <v>168</v>
      </c>
      <c r="F203" s="79"/>
      <c r="G203" s="79">
        <f>ROUND(550*1000/1936.27,0)</f>
        <v>284</v>
      </c>
      <c r="H203" s="79"/>
      <c r="I203" s="79">
        <f>ROUND(305*1000/1936.27,0)</f>
        <v>158</v>
      </c>
      <c r="J203" s="79"/>
      <c r="K203" s="79">
        <f>ROUND((307000/1936.27),0)</f>
        <v>159</v>
      </c>
      <c r="L203" s="79"/>
      <c r="M203" s="79">
        <v>192</v>
      </c>
      <c r="N203" s="79"/>
      <c r="O203" s="79">
        <v>198</v>
      </c>
      <c r="P203" s="79"/>
      <c r="Q203" s="79">
        <v>187</v>
      </c>
      <c r="R203" s="79"/>
      <c r="S203" s="79">
        <v>184</v>
      </c>
      <c r="T203" s="79">
        <v>2</v>
      </c>
      <c r="U203" s="79">
        <v>153</v>
      </c>
      <c r="V203" s="79"/>
    </row>
    <row r="204" spans="1:22" ht="12.75">
      <c r="A204" s="10"/>
      <c r="B204" s="10" t="s">
        <v>36</v>
      </c>
      <c r="E204" s="79">
        <f>ROUND(3976*1000/1936.27,0)</f>
        <v>2053</v>
      </c>
      <c r="F204" s="116"/>
      <c r="G204" s="79">
        <f>ROUND(4057*1000/1936.27,0)</f>
        <v>2095</v>
      </c>
      <c r="H204" s="116"/>
      <c r="I204" s="79">
        <f>ROUND(4748*1000/1936.27,0)+1</f>
        <v>2453</v>
      </c>
      <c r="J204" s="54">
        <f>ROUND(81600/1936.27,0)</f>
        <v>42</v>
      </c>
      <c r="K204" s="79">
        <f>ROUND((4982000/1936.27),0)</f>
        <v>2573</v>
      </c>
      <c r="L204" s="54"/>
      <c r="M204" s="79">
        <v>2528</v>
      </c>
      <c r="N204" s="54"/>
      <c r="O204" s="79">
        <v>2798</v>
      </c>
      <c r="P204" s="54"/>
      <c r="Q204" s="79">
        <v>2787</v>
      </c>
      <c r="R204" s="54"/>
      <c r="S204" s="79">
        <v>3043</v>
      </c>
      <c r="T204" s="54"/>
      <c r="U204" s="79">
        <v>2956</v>
      </c>
      <c r="V204" s="54">
        <v>5</v>
      </c>
    </row>
    <row r="205" spans="1:22" ht="12.75">
      <c r="A205" s="10"/>
      <c r="B205" s="10" t="s">
        <v>37</v>
      </c>
      <c r="E205" s="79">
        <f>ROUND(0*1000/1936.27,0)</f>
        <v>0</v>
      </c>
      <c r="F205" s="116"/>
      <c r="G205" s="79">
        <f>ROUND(0*1000/1936.27,0)</f>
        <v>0</v>
      </c>
      <c r="H205" s="116"/>
      <c r="I205" s="79">
        <v>0</v>
      </c>
      <c r="J205" s="54"/>
      <c r="K205" s="79">
        <v>0</v>
      </c>
      <c r="L205" s="54"/>
      <c r="M205" s="79">
        <v>59</v>
      </c>
      <c r="N205" s="54"/>
      <c r="O205" s="79">
        <v>46</v>
      </c>
      <c r="P205" s="54"/>
      <c r="Q205" s="79">
        <v>78</v>
      </c>
      <c r="R205" s="54"/>
      <c r="S205" s="79">
        <v>63</v>
      </c>
      <c r="T205" s="54"/>
      <c r="U205" s="79"/>
      <c r="V205" s="54"/>
    </row>
    <row r="206" spans="1:22" ht="12.75">
      <c r="A206" s="10"/>
      <c r="B206" s="10" t="s">
        <v>38</v>
      </c>
      <c r="E206" s="79">
        <f>ROUND(25*1000/1936.27,0)</f>
        <v>13</v>
      </c>
      <c r="F206" s="116"/>
      <c r="G206" s="79">
        <f>ROUND(136*1000/1936.27,0)</f>
        <v>70</v>
      </c>
      <c r="H206" s="116"/>
      <c r="I206" s="79">
        <f>ROUND(113*1000/1936.27,0)</f>
        <v>58</v>
      </c>
      <c r="J206" s="54"/>
      <c r="K206" s="79">
        <f>ROUND((98000/1936.27),0)</f>
        <v>51</v>
      </c>
      <c r="L206" s="54"/>
      <c r="M206" s="79">
        <v>108</v>
      </c>
      <c r="N206" s="54"/>
      <c r="O206" s="79">
        <v>83</v>
      </c>
      <c r="P206" s="54"/>
      <c r="Q206" s="79">
        <v>123</v>
      </c>
      <c r="R206" s="54"/>
      <c r="S206" s="79">
        <v>127</v>
      </c>
      <c r="T206" s="54"/>
      <c r="U206" s="79">
        <v>104</v>
      </c>
      <c r="V206" s="54"/>
    </row>
    <row r="207" spans="1:22" ht="12.75">
      <c r="A207" s="10"/>
      <c r="B207" s="10" t="s">
        <v>127</v>
      </c>
      <c r="E207" s="79">
        <f>ROUND((815-25)*1000/1936.27,0)</f>
        <v>408</v>
      </c>
      <c r="F207" s="116"/>
      <c r="G207" s="79">
        <f>ROUND((989-136)*1000/1936.27,0)</f>
        <v>441</v>
      </c>
      <c r="H207" s="116"/>
      <c r="I207" s="79">
        <f>ROUND((975-113)*1000/1936.27,0)</f>
        <v>445</v>
      </c>
      <c r="J207" s="54"/>
      <c r="K207" s="79">
        <f>ROUND((1143000/1936.27),0)</f>
        <v>590</v>
      </c>
      <c r="L207" s="54"/>
      <c r="M207" s="79">
        <v>583</v>
      </c>
      <c r="N207" s="54"/>
      <c r="O207" s="79">
        <v>718</v>
      </c>
      <c r="P207" s="54"/>
      <c r="Q207" s="79">
        <v>730</v>
      </c>
      <c r="R207" s="54"/>
      <c r="S207" s="79">
        <v>757</v>
      </c>
      <c r="T207" s="54"/>
      <c r="U207" s="79">
        <v>902</v>
      </c>
      <c r="V207" s="54">
        <v>30</v>
      </c>
    </row>
    <row r="208" spans="1:22" ht="12.75">
      <c r="A208" s="17"/>
      <c r="B208" s="17" t="s">
        <v>128</v>
      </c>
      <c r="D208" s="131"/>
      <c r="E208" s="78">
        <v>83</v>
      </c>
      <c r="F208" s="78">
        <v>0</v>
      </c>
      <c r="G208" s="78">
        <v>101</v>
      </c>
      <c r="H208" s="78">
        <v>0</v>
      </c>
      <c r="I208" s="78">
        <v>98</v>
      </c>
      <c r="J208" s="78">
        <v>0</v>
      </c>
      <c r="K208" s="78">
        <v>111</v>
      </c>
      <c r="L208" s="78">
        <v>0</v>
      </c>
      <c r="M208" s="78">
        <v>94</v>
      </c>
      <c r="N208" s="78">
        <v>0</v>
      </c>
      <c r="O208" s="78">
        <v>115</v>
      </c>
      <c r="P208" s="78">
        <v>0</v>
      </c>
      <c r="Q208" s="78">
        <v>97</v>
      </c>
      <c r="R208" s="78">
        <v>0</v>
      </c>
      <c r="S208" s="78">
        <v>107</v>
      </c>
      <c r="T208" s="78"/>
      <c r="U208" s="78">
        <v>118</v>
      </c>
      <c r="V208" s="78"/>
    </row>
    <row r="209" spans="1:36" s="2" customFormat="1" ht="12.75">
      <c r="A209" s="122" t="s">
        <v>45</v>
      </c>
      <c r="B209" s="123"/>
      <c r="C209" s="123"/>
      <c r="D209" s="22"/>
      <c r="E209" s="67">
        <f aca="true" t="shared" si="36" ref="E209:J209">SUM(E210:E215)</f>
        <v>3059</v>
      </c>
      <c r="F209" s="67">
        <f t="shared" si="36"/>
        <v>0</v>
      </c>
      <c r="G209" s="67">
        <f t="shared" si="36"/>
        <v>3122</v>
      </c>
      <c r="H209" s="67">
        <f t="shared" si="36"/>
        <v>0</v>
      </c>
      <c r="I209" s="67">
        <f t="shared" si="36"/>
        <v>3371.5</v>
      </c>
      <c r="J209" s="67">
        <f t="shared" si="36"/>
        <v>0</v>
      </c>
      <c r="K209" s="67">
        <f>SUM(K210:K215)-1</f>
        <v>3499</v>
      </c>
      <c r="L209" s="67">
        <f aca="true" t="shared" si="37" ref="L209:R209">SUM(L210:L215)</f>
        <v>0</v>
      </c>
      <c r="M209" s="67">
        <f t="shared" si="37"/>
        <v>3534</v>
      </c>
      <c r="N209" s="67">
        <f t="shared" si="37"/>
        <v>0</v>
      </c>
      <c r="O209" s="67">
        <f t="shared" si="37"/>
        <v>3814</v>
      </c>
      <c r="P209" s="67">
        <f t="shared" si="37"/>
        <v>0</v>
      </c>
      <c r="Q209" s="67">
        <f t="shared" si="37"/>
        <v>3838</v>
      </c>
      <c r="R209" s="67">
        <f t="shared" si="37"/>
        <v>0</v>
      </c>
      <c r="S209" s="67">
        <f>SUM(S210:S215)</f>
        <v>3823</v>
      </c>
      <c r="T209" s="67">
        <f>SUM(T210:T215)</f>
        <v>0</v>
      </c>
      <c r="U209" s="67">
        <f>SUM(U210:U215)</f>
        <v>3926</v>
      </c>
      <c r="V209" s="67">
        <f>SUM(V210:V215)</f>
        <v>18</v>
      </c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</row>
    <row r="210" spans="1:22" ht="12.75">
      <c r="A210" s="10"/>
      <c r="B210" s="10" t="s">
        <v>35</v>
      </c>
      <c r="E210" s="79">
        <f>ROUND(312*1000/1936.27,0)+1</f>
        <v>162</v>
      </c>
      <c r="F210" s="79"/>
      <c r="G210" s="79">
        <f>ROUND(347*1000/1936.27,0)</f>
        <v>179</v>
      </c>
      <c r="H210" s="79"/>
      <c r="I210" s="79">
        <f>ROUND(397*1000/1936.27,0)</f>
        <v>205</v>
      </c>
      <c r="J210" s="79"/>
      <c r="K210" s="79">
        <f>ROUND((448000/1936.27),0)</f>
        <v>231</v>
      </c>
      <c r="L210" s="79"/>
      <c r="M210" s="79">
        <v>197</v>
      </c>
      <c r="N210" s="79"/>
      <c r="O210" s="79">
        <v>211</v>
      </c>
      <c r="P210" s="79"/>
      <c r="Q210" s="79">
        <v>172</v>
      </c>
      <c r="R210" s="79"/>
      <c r="S210" s="79">
        <v>189</v>
      </c>
      <c r="T210" s="79"/>
      <c r="U210" s="79">
        <v>253</v>
      </c>
      <c r="V210" s="79">
        <v>18</v>
      </c>
    </row>
    <row r="211" spans="1:22" ht="12.75">
      <c r="A211" s="10"/>
      <c r="B211" s="10" t="s">
        <v>36</v>
      </c>
      <c r="E211" s="79">
        <f>ROUND(4189*1000/1936.27,0)</f>
        <v>2163</v>
      </c>
      <c r="F211" s="116"/>
      <c r="G211" s="79">
        <f>ROUND(4364*1000/1936.27,0)</f>
        <v>2254</v>
      </c>
      <c r="H211" s="116"/>
      <c r="I211" s="79">
        <f>ROUND(4632*1000/1936.27,0)+0.5</f>
        <v>2392.5</v>
      </c>
      <c r="J211" s="54"/>
      <c r="K211" s="79">
        <f>ROUND((4482000/1936.27),0)</f>
        <v>2315</v>
      </c>
      <c r="L211" s="54"/>
      <c r="M211" s="79">
        <v>2265</v>
      </c>
      <c r="N211" s="54"/>
      <c r="O211" s="79">
        <v>2499</v>
      </c>
      <c r="P211" s="54"/>
      <c r="Q211" s="79">
        <v>2503</v>
      </c>
      <c r="R211" s="54"/>
      <c r="S211" s="79">
        <v>2492</v>
      </c>
      <c r="T211" s="54"/>
      <c r="U211" s="79">
        <v>2550</v>
      </c>
      <c r="V211" s="54"/>
    </row>
    <row r="212" spans="1:22" ht="12.75">
      <c r="A212" s="10"/>
      <c r="B212" s="10" t="s">
        <v>37</v>
      </c>
      <c r="E212" s="79">
        <f>ROUND(0*1000/1936.27,0)</f>
        <v>0</v>
      </c>
      <c r="F212" s="116"/>
      <c r="G212" s="79">
        <f>ROUND(0*1000/1936.27,0)</f>
        <v>0</v>
      </c>
      <c r="H212" s="116"/>
      <c r="I212" s="79">
        <v>0</v>
      </c>
      <c r="J212" s="54"/>
      <c r="K212" s="79">
        <v>0</v>
      </c>
      <c r="L212" s="54"/>
      <c r="M212" s="79">
        <v>32</v>
      </c>
      <c r="N212" s="54"/>
      <c r="O212" s="79">
        <v>40</v>
      </c>
      <c r="P212" s="54"/>
      <c r="Q212" s="79">
        <v>43</v>
      </c>
      <c r="R212" s="54"/>
      <c r="S212" s="79">
        <v>48</v>
      </c>
      <c r="T212" s="54"/>
      <c r="U212" s="79"/>
      <c r="V212" s="54"/>
    </row>
    <row r="213" spans="1:22" ht="12.75">
      <c r="A213" s="10"/>
      <c r="B213" s="10" t="s">
        <v>38</v>
      </c>
      <c r="E213" s="79">
        <f>ROUND(0*1000/1936.27,0)</f>
        <v>0</v>
      </c>
      <c r="F213" s="116"/>
      <c r="G213" s="79">
        <v>0</v>
      </c>
      <c r="H213" s="116"/>
      <c r="I213" s="79">
        <v>0</v>
      </c>
      <c r="J213" s="54"/>
      <c r="K213" s="79">
        <f>ROUND((56000/1936.27),0)</f>
        <v>29</v>
      </c>
      <c r="L213" s="54"/>
      <c r="M213" s="79">
        <v>29</v>
      </c>
      <c r="N213" s="54"/>
      <c r="O213" s="79">
        <v>35</v>
      </c>
      <c r="P213" s="54"/>
      <c r="Q213" s="79">
        <v>44</v>
      </c>
      <c r="R213" s="54"/>
      <c r="S213" s="79">
        <v>60</v>
      </c>
      <c r="T213" s="54"/>
      <c r="U213" s="79">
        <v>65</v>
      </c>
      <c r="V213" s="54"/>
    </row>
    <row r="214" spans="1:22" ht="12.75">
      <c r="A214" s="10"/>
      <c r="B214" s="10" t="s">
        <v>127</v>
      </c>
      <c r="E214" s="79">
        <f>ROUND(1272*1000/1936.27,0)</f>
        <v>657</v>
      </c>
      <c r="F214" s="116"/>
      <c r="G214" s="79">
        <f>ROUND(1271*1000/1936.27,0)</f>
        <v>656</v>
      </c>
      <c r="H214" s="116"/>
      <c r="I214" s="79">
        <f>ROUND(1301*1000/1936.27,0)</f>
        <v>672</v>
      </c>
      <c r="J214" s="54"/>
      <c r="K214" s="79">
        <f>ROUND((1587000/1936.27),0)</f>
        <v>820</v>
      </c>
      <c r="L214" s="54"/>
      <c r="M214" s="79">
        <v>849</v>
      </c>
      <c r="N214" s="54"/>
      <c r="O214" s="79">
        <v>898</v>
      </c>
      <c r="P214" s="54"/>
      <c r="Q214" s="79">
        <v>984</v>
      </c>
      <c r="R214" s="54"/>
      <c r="S214" s="79">
        <v>938</v>
      </c>
      <c r="T214" s="54"/>
      <c r="U214" s="79">
        <v>921</v>
      </c>
      <c r="V214" s="54"/>
    </row>
    <row r="215" spans="1:22" ht="12.75">
      <c r="A215" s="10"/>
      <c r="B215" s="10" t="s">
        <v>128</v>
      </c>
      <c r="E215" s="79">
        <v>77</v>
      </c>
      <c r="F215" s="79">
        <v>0</v>
      </c>
      <c r="G215" s="79">
        <v>33</v>
      </c>
      <c r="H215" s="79">
        <v>0</v>
      </c>
      <c r="I215" s="79">
        <v>102</v>
      </c>
      <c r="J215" s="79">
        <v>0</v>
      </c>
      <c r="K215" s="79">
        <v>105</v>
      </c>
      <c r="L215" s="79">
        <v>0</v>
      </c>
      <c r="M215" s="79">
        <v>162</v>
      </c>
      <c r="N215" s="79">
        <v>0</v>
      </c>
      <c r="O215" s="79">
        <v>131</v>
      </c>
      <c r="P215" s="79">
        <v>0</v>
      </c>
      <c r="Q215" s="79">
        <v>92</v>
      </c>
      <c r="R215" s="79">
        <v>0</v>
      </c>
      <c r="S215" s="79">
        <v>96</v>
      </c>
      <c r="T215" s="79"/>
      <c r="U215" s="79">
        <v>137</v>
      </c>
      <c r="V215" s="79"/>
    </row>
    <row r="216" spans="1:36" s="2" customFormat="1" ht="12.75">
      <c r="A216" s="122" t="s">
        <v>46</v>
      </c>
      <c r="B216" s="123"/>
      <c r="C216" s="123"/>
      <c r="D216" s="22"/>
      <c r="E216" s="67">
        <f aca="true" t="shared" si="38" ref="E216:R216">SUM(E217:E222)</f>
        <v>3315</v>
      </c>
      <c r="F216" s="67">
        <f t="shared" si="38"/>
        <v>0</v>
      </c>
      <c r="G216" s="67">
        <f t="shared" si="38"/>
        <v>3641</v>
      </c>
      <c r="H216" s="67">
        <f t="shared" si="38"/>
        <v>0</v>
      </c>
      <c r="I216" s="67">
        <f t="shared" si="38"/>
        <v>3968</v>
      </c>
      <c r="J216" s="67">
        <f t="shared" si="38"/>
        <v>15</v>
      </c>
      <c r="K216" s="67">
        <f t="shared" si="38"/>
        <v>4162</v>
      </c>
      <c r="L216" s="67">
        <f t="shared" si="38"/>
        <v>15.493706972684596</v>
      </c>
      <c r="M216" s="67">
        <f t="shared" si="38"/>
        <v>4559</v>
      </c>
      <c r="N216" s="67">
        <f t="shared" si="38"/>
        <v>5</v>
      </c>
      <c r="O216" s="67">
        <f t="shared" si="38"/>
        <v>4505</v>
      </c>
      <c r="P216" s="67">
        <f t="shared" si="38"/>
        <v>0</v>
      </c>
      <c r="Q216" s="67">
        <f t="shared" si="38"/>
        <v>4629</v>
      </c>
      <c r="R216" s="67">
        <f t="shared" si="38"/>
        <v>15</v>
      </c>
      <c r="S216" s="67">
        <f>SUM(S217:S222)</f>
        <v>4654</v>
      </c>
      <c r="T216" s="67">
        <f>SUM(T217:T222)</f>
        <v>0</v>
      </c>
      <c r="U216" s="67">
        <f>SUM(U217:U222)</f>
        <v>4617</v>
      </c>
      <c r="V216" s="67">
        <f>SUM(V217:V222)</f>
        <v>6</v>
      </c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</row>
    <row r="217" spans="1:22" ht="12.75">
      <c r="A217" s="16"/>
      <c r="B217" s="10" t="s">
        <v>35</v>
      </c>
      <c r="E217" s="79">
        <f>ROUND(673*1000/1936.27,0)</f>
        <v>348</v>
      </c>
      <c r="F217" s="79"/>
      <c r="G217" s="79">
        <f>ROUND(714*1000/1936.27,0)+1</f>
        <v>370</v>
      </c>
      <c r="H217" s="79"/>
      <c r="I217" s="79">
        <f>ROUND(674*1000/1936.27,0)+1</f>
        <v>349</v>
      </c>
      <c r="J217" s="79"/>
      <c r="K217" s="79">
        <f>ROUND((598000/1936.27),0)</f>
        <v>309</v>
      </c>
      <c r="L217" s="79"/>
      <c r="M217" s="79">
        <v>289</v>
      </c>
      <c r="N217" s="79"/>
      <c r="O217" s="79">
        <v>199</v>
      </c>
      <c r="P217" s="79"/>
      <c r="Q217" s="79">
        <v>263</v>
      </c>
      <c r="R217" s="79"/>
      <c r="S217" s="79">
        <v>275</v>
      </c>
      <c r="T217" s="79"/>
      <c r="U217" s="79">
        <v>335</v>
      </c>
      <c r="V217" s="79"/>
    </row>
    <row r="218" spans="1:22" ht="12.75">
      <c r="A218" s="16"/>
      <c r="B218" s="10" t="s">
        <v>36</v>
      </c>
      <c r="E218" s="79">
        <f>ROUND(4398*1000/1936.27,0)</f>
        <v>2271</v>
      </c>
      <c r="F218" s="56"/>
      <c r="G218" s="79">
        <f>ROUND(4726*1000/1936.27,0)</f>
        <v>2441</v>
      </c>
      <c r="H218" s="56"/>
      <c r="I218" s="79">
        <f>ROUND(5196*1000/1936.27,0)</f>
        <v>2684</v>
      </c>
      <c r="J218" s="56"/>
      <c r="K218" s="79">
        <f>ROUND((5430000/1936.27),0)</f>
        <v>2804</v>
      </c>
      <c r="L218" s="56">
        <f>30/1.93627</f>
        <v>15.493706972684596</v>
      </c>
      <c r="M218" s="79">
        <v>2883</v>
      </c>
      <c r="N218" s="56"/>
      <c r="O218" s="79">
        <v>2919</v>
      </c>
      <c r="P218" s="56"/>
      <c r="Q218" s="79">
        <v>2929</v>
      </c>
      <c r="R218" s="56"/>
      <c r="S218" s="79">
        <v>2719</v>
      </c>
      <c r="T218" s="56"/>
      <c r="U218" s="79">
        <v>2692</v>
      </c>
      <c r="V218" s="56">
        <v>6</v>
      </c>
    </row>
    <row r="219" spans="1:22" ht="12.75">
      <c r="A219" s="16"/>
      <c r="B219" s="10" t="s">
        <v>37</v>
      </c>
      <c r="E219" s="79">
        <f>ROUND(0*1000/1936.27,0)</f>
        <v>0</v>
      </c>
      <c r="F219" s="56"/>
      <c r="G219" s="79">
        <f>ROUND(0*1000/1936.27,0)</f>
        <v>0</v>
      </c>
      <c r="H219" s="56"/>
      <c r="I219" s="79">
        <v>0</v>
      </c>
      <c r="J219" s="56"/>
      <c r="K219" s="79">
        <v>0</v>
      </c>
      <c r="L219" s="56"/>
      <c r="M219" s="79">
        <v>58</v>
      </c>
      <c r="N219" s="56"/>
      <c r="O219" s="79">
        <v>79</v>
      </c>
      <c r="P219" s="56"/>
      <c r="Q219" s="79">
        <v>50</v>
      </c>
      <c r="R219" s="56"/>
      <c r="S219" s="79">
        <v>91</v>
      </c>
      <c r="T219" s="56"/>
      <c r="U219" s="79"/>
      <c r="V219" s="56"/>
    </row>
    <row r="220" spans="1:22" ht="12.75">
      <c r="A220" s="16"/>
      <c r="B220" s="10" t="s">
        <v>38</v>
      </c>
      <c r="E220" s="79">
        <f>ROUND(34*1000/1936.27,0)</f>
        <v>18</v>
      </c>
      <c r="F220" s="56"/>
      <c r="G220" s="79">
        <f>ROUND(134*1000/1936.27,0)</f>
        <v>69</v>
      </c>
      <c r="H220" s="56"/>
      <c r="I220" s="79">
        <f>ROUND(110*1000/1936.27,0)</f>
        <v>57</v>
      </c>
      <c r="J220" s="56"/>
      <c r="K220" s="79">
        <f>ROUND((139000/1936.27),0)</f>
        <v>72</v>
      </c>
      <c r="L220" s="56"/>
      <c r="M220" s="79">
        <v>72</v>
      </c>
      <c r="N220" s="56"/>
      <c r="O220" s="79">
        <v>85</v>
      </c>
      <c r="P220" s="56"/>
      <c r="Q220" s="79">
        <v>118</v>
      </c>
      <c r="R220" s="56"/>
      <c r="S220" s="79">
        <v>131</v>
      </c>
      <c r="T220" s="56"/>
      <c r="U220" s="79">
        <v>154</v>
      </c>
      <c r="V220" s="56"/>
    </row>
    <row r="221" spans="1:22" ht="12.75">
      <c r="A221" s="16"/>
      <c r="B221" s="10" t="s">
        <v>127</v>
      </c>
      <c r="E221" s="79">
        <f>ROUND((1049-34)*1000/1936.27,0)</f>
        <v>524</v>
      </c>
      <c r="F221" s="56"/>
      <c r="G221" s="79">
        <f>ROUND((1251-134)*1000/1936.27,0)</f>
        <v>577</v>
      </c>
      <c r="H221" s="56"/>
      <c r="I221" s="79">
        <f>ROUND((1487-110)*1000/1936.27,0)</f>
        <v>711</v>
      </c>
      <c r="J221" s="56"/>
      <c r="K221" s="79">
        <f>ROUND((1589000/1936.27),0)</f>
        <v>821</v>
      </c>
      <c r="L221" s="56"/>
      <c r="M221" s="79">
        <v>924</v>
      </c>
      <c r="N221" s="56"/>
      <c r="O221" s="79">
        <v>853</v>
      </c>
      <c r="P221" s="56"/>
      <c r="Q221" s="79">
        <v>949</v>
      </c>
      <c r="R221" s="56"/>
      <c r="S221" s="79">
        <v>1077</v>
      </c>
      <c r="T221" s="56"/>
      <c r="U221" s="79">
        <v>1056</v>
      </c>
      <c r="V221" s="56"/>
    </row>
    <row r="222" spans="1:22" ht="12.75">
      <c r="A222" s="16"/>
      <c r="B222" s="10" t="s">
        <v>128</v>
      </c>
      <c r="E222" s="78">
        <v>154</v>
      </c>
      <c r="F222" s="78">
        <v>0</v>
      </c>
      <c r="G222" s="78">
        <v>184</v>
      </c>
      <c r="H222" s="78">
        <v>0</v>
      </c>
      <c r="I222" s="78">
        <v>167</v>
      </c>
      <c r="J222" s="78">
        <v>15</v>
      </c>
      <c r="K222" s="78">
        <v>156</v>
      </c>
      <c r="L222" s="78">
        <v>0</v>
      </c>
      <c r="M222" s="78">
        <v>333</v>
      </c>
      <c r="N222" s="78">
        <v>5</v>
      </c>
      <c r="O222" s="78">
        <v>370</v>
      </c>
      <c r="P222" s="78">
        <v>0</v>
      </c>
      <c r="Q222" s="78">
        <v>320</v>
      </c>
      <c r="R222" s="78">
        <v>15</v>
      </c>
      <c r="S222" s="78">
        <v>361</v>
      </c>
      <c r="T222" s="78"/>
      <c r="U222" s="78">
        <v>380</v>
      </c>
      <c r="V222" s="78"/>
    </row>
    <row r="223" spans="1:22" ht="15.75">
      <c r="A223" s="127" t="s">
        <v>47</v>
      </c>
      <c r="B223" s="128"/>
      <c r="C223" s="128"/>
      <c r="D223" s="42"/>
      <c r="E223" s="80">
        <f aca="true" t="shared" si="39" ref="E223:V223">+E159+E54+E22+E12+E9</f>
        <v>113908</v>
      </c>
      <c r="F223" s="80">
        <f t="shared" si="39"/>
        <v>8376</v>
      </c>
      <c r="G223" s="80">
        <f t="shared" si="39"/>
        <v>113934</v>
      </c>
      <c r="H223" s="80">
        <f t="shared" si="39"/>
        <v>14721</v>
      </c>
      <c r="I223" s="80">
        <f t="shared" si="39"/>
        <v>128265</v>
      </c>
      <c r="J223" s="80">
        <f t="shared" si="39"/>
        <v>19397</v>
      </c>
      <c r="K223" s="80">
        <f t="shared" si="39"/>
        <v>127825</v>
      </c>
      <c r="L223" s="80">
        <f t="shared" si="39"/>
        <v>15915.873571351101</v>
      </c>
      <c r="M223" s="80">
        <f t="shared" si="39"/>
        <v>138404</v>
      </c>
      <c r="N223" s="80">
        <f t="shared" si="39"/>
        <v>21562</v>
      </c>
      <c r="O223" s="80">
        <f t="shared" si="39"/>
        <v>144124</v>
      </c>
      <c r="P223" s="80">
        <f t="shared" si="39"/>
        <v>23216</v>
      </c>
      <c r="Q223" s="80">
        <f t="shared" si="39"/>
        <v>151817</v>
      </c>
      <c r="R223" s="80">
        <f t="shared" si="39"/>
        <v>24283</v>
      </c>
      <c r="S223" s="80">
        <f t="shared" si="39"/>
        <v>154088</v>
      </c>
      <c r="T223" s="80">
        <f t="shared" si="39"/>
        <v>27537</v>
      </c>
      <c r="U223" s="80">
        <f t="shared" si="39"/>
        <v>135717</v>
      </c>
      <c r="V223" s="80">
        <f t="shared" si="39"/>
        <v>16907</v>
      </c>
    </row>
    <row r="224" ht="6" customHeight="1">
      <c r="A224" s="25"/>
    </row>
    <row r="225" spans="1:20" ht="12.75">
      <c r="A225" s="19" t="s">
        <v>84</v>
      </c>
      <c r="O225" s="32"/>
      <c r="P225" s="32"/>
      <c r="Q225" s="32"/>
      <c r="R225" s="32"/>
      <c r="S225" s="32"/>
      <c r="T225" s="32"/>
    </row>
    <row r="226" ht="12.75">
      <c r="A226" s="19" t="s">
        <v>130</v>
      </c>
    </row>
    <row r="227" ht="3" customHeight="1"/>
    <row r="228" ht="12.75">
      <c r="A228" s="34" t="s">
        <v>115</v>
      </c>
    </row>
    <row r="229" ht="12.75">
      <c r="A229" s="25"/>
    </row>
    <row r="230" spans="1:13" ht="12.75">
      <c r="A230" s="25"/>
      <c r="M230" s="64"/>
    </row>
    <row r="231" ht="12.75">
      <c r="A231" s="19"/>
    </row>
    <row r="232" ht="12.75">
      <c r="A232" s="19"/>
    </row>
    <row r="233" spans="1:36" s="1" customFormat="1" ht="12.75">
      <c r="A233" s="19"/>
      <c r="B233" s="3"/>
      <c r="C233" s="3"/>
      <c r="D233"/>
      <c r="E233" s="64"/>
      <c r="F233" s="64"/>
      <c r="G233" s="64"/>
      <c r="H233" s="64"/>
      <c r="I233" s="64"/>
      <c r="J233" s="64"/>
      <c r="K233" s="64"/>
      <c r="L233" s="64"/>
      <c r="M233" s="81"/>
      <c r="N233" s="81"/>
      <c r="O233" s="64"/>
      <c r="P233" s="81"/>
      <c r="Q233" s="64"/>
      <c r="R233" s="81"/>
      <c r="S233" s="64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5" ht="12.75">
      <c r="A255" s="19"/>
    </row>
    <row r="409" ht="12.75">
      <c r="F409" s="64">
        <f>133000</f>
        <v>133000</v>
      </c>
    </row>
    <row r="411" ht="12.75">
      <c r="F411" s="64">
        <v>1936.27</v>
      </c>
    </row>
    <row r="412" ht="12.75">
      <c r="F412" s="64">
        <f>+F409/F411</f>
        <v>68.6887675789017</v>
      </c>
    </row>
    <row r="442" ht="12.75">
      <c r="E442" s="64" t="s">
        <v>48</v>
      </c>
    </row>
  </sheetData>
  <hyperlinks>
    <hyperlink ref="A92:C92" location="ISTRUZIONE!D1" display="ISTRUZIONE!D1"/>
    <hyperlink ref="A92" location="ISTRUZIONE!E1" display="ISTRUZIONE!E1"/>
    <hyperlink ref="C92" location="ISTRUZIONE!V1" display="ISTRUZIONE!V1"/>
    <hyperlink ref="A123:C123" location="'SPORT E GIOVANI'!V1" display="'SPORT E GIOVANI'!V1"/>
    <hyperlink ref="A55:C55" location="'Lavori pubblici'!A1" display="'Lavori pubblici'!A1"/>
    <hyperlink ref="A151:C151" location="'Ambiente e verde'!A1" display="'Ambiente e verde'!A1"/>
    <hyperlink ref="A33:C33" location="PERSONALE!R1" display="PERSONALE!R1"/>
    <hyperlink ref="A40:C40" location="'P&amp;C'!S1" display="'P&amp;C'!S1"/>
    <hyperlink ref="A44:C44" location="'SISTEMI INFO'!S1" display="'SISTEMI INFO'!S1"/>
    <hyperlink ref="A117:C117" location="ECONOMIA!T1" display="ECONOMIA!T1"/>
    <hyperlink ref="A100:C100" location="CULTURA!R1" display="CULTURA!R1"/>
    <hyperlink ref="A138:C138" location="MOBILITA!T1" display="MOBILITA!T1"/>
    <hyperlink ref="A131:C131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9" location="QUARTIERI!A1" display="QUARTIERI!A1"/>
    <hyperlink ref="A25:C25" location="'AFFARI IST'!S1" display="'AFFARI IST'!S1"/>
    <hyperlink ref="A30:C30" location="ACQUISTI!S1" display="ACQUISTI!S1"/>
    <hyperlink ref="A9:C9" location="'DIREZIONE GEN'!S1" display="'DIREZIONE GEN'!S1"/>
    <hyperlink ref="A223:C223" location="TOTALE!T1" display="TOTALE!T1"/>
    <hyperlink ref="A23:C23" location="'STAFF AMM.'!A1" display="'STAFF AMM.'!A1"/>
    <hyperlink ref="A48:C48" location="RAGIONERIA!A1" display="RAGIONERIA!A1"/>
    <hyperlink ref="A79:C79" location="ENTRATE!A1" display="ENTRATE!A1"/>
    <hyperlink ref="A80:C80" location="PATRIMONIO!A1" display="PATRIMONIO!A1"/>
    <hyperlink ref="A150:C150" location="'Interventi per casa'!A1" display="'Interventi per casa'!A1"/>
    <hyperlink ref="A154:C154" location="DEMOGRAFICI!A1" display="DEMOGRAFICI!A1"/>
    <hyperlink ref="A154" location="'Servizi demografici'!A1" display="'Servizi demografici'!A1"/>
    <hyperlink ref="A9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erale'!A1" display="'Segreteria Generale'!A1"/>
    <hyperlink ref="A23" location="'Staff Amm Gare'!A1" display="'Staff Amm Gare'!A1"/>
    <hyperlink ref="A25" location="'Affari ist'!A1" display="'Affari ist'!A1"/>
    <hyperlink ref="A48" location="Ragioneria!A1" display="Ragioneria!A1"/>
    <hyperlink ref="A30" location="Acquisti!A1" display="Acquisti!A1"/>
    <hyperlink ref="A33" location="'Personale '!A1" display="'Personale '!A1"/>
    <hyperlink ref="A40" location="'P&amp;C'!A1" display="'P&amp;C'!A1"/>
    <hyperlink ref="A44" location="'Sistemi info'!A1" display="'Sistemi info'!A1"/>
    <hyperlink ref="A55" location="LLPP!A1" display="LLPP!A1"/>
    <hyperlink ref="A81" location="'Sociale e salute'!A1" display="'Sociale e salute'!A1"/>
    <hyperlink ref="A100" location="Cultura!A1" display="Cultura!A1"/>
    <hyperlink ref="A117" location="Economia!A1" display="Economia!A1"/>
    <hyperlink ref="A123" location="Sport!A1" display="Sport!A1"/>
    <hyperlink ref="A131" location="'Programmi urb'!A1" display="'Programmi urb'!A1"/>
    <hyperlink ref="A138" location="Mobilità!A1" display="Mobilità!A1"/>
    <hyperlink ref="A150" location="Casa!A1" display="Casa!A1"/>
    <hyperlink ref="A151" location="'Ambiente '!A1" display="'Ambiente '!A1"/>
    <hyperlink ref="A50" location="'Comunicazione '!A1" display="'Comunicazione '!A1"/>
    <hyperlink ref="A73" location="PM!A1" display="PM!A1"/>
    <hyperlink ref="A223" location="'TOTALE CS'!A1" display="'TOTALE CS'!A1"/>
    <hyperlink ref="A12" location="'Staff politico isti'!A1" display="'Staff politico isti'!A1"/>
    <hyperlink ref="A22" location="'Settori di staff'!A1" display="'Settori di staff'!A1"/>
    <hyperlink ref="A49" location="'Coord Quartieri'!A1" display="'Coord Quartieri'!A1"/>
    <hyperlink ref="A54" location="'Settori di line'!A1" display="'Settori di line'!A1"/>
    <hyperlink ref="A160" location="Q.Borgo!A1" display="Q.Borgo!A1"/>
    <hyperlink ref="A167" location="Q.Navile!A1" display="Q.Navile!A1"/>
    <hyperlink ref="A174" location="Q.Porto!A1" display="Q.Porto!A1"/>
    <hyperlink ref="A181" location="Q.Reno!A1" display="Q.Reno!A1"/>
    <hyperlink ref="A188" location="Q.SDonato!A1" display="Q.SDonato!A1"/>
    <hyperlink ref="A195" location="Q.SStefano!A1" display="Q.SStefano!A1"/>
    <hyperlink ref="A202" location="Q.SVitale!A1" display="Q.SVitale!A1"/>
    <hyperlink ref="A209" location="Q.Saragozza!A1" display="Q.Saragozza!A1"/>
    <hyperlink ref="A216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27" sqref="A27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179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'!E23</f>
        <v>0</v>
      </c>
      <c r="C3" s="43">
        <f>+'Cons spec netti '!F23</f>
        <v>0</v>
      </c>
      <c r="D3" s="43">
        <f>+'Cons spec netti '!G23</f>
        <v>0</v>
      </c>
      <c r="E3" s="43">
        <f>+'Cons spec netti '!H23</f>
        <v>0</v>
      </c>
      <c r="F3" s="43">
        <f>+'Cons spec netti '!I23</f>
        <v>0</v>
      </c>
      <c r="G3" s="43">
        <f>+'Cons spec netti '!J23</f>
        <v>0</v>
      </c>
      <c r="H3" s="43">
        <f>+'Cons spec netti '!K23</f>
        <v>7</v>
      </c>
      <c r="I3" s="43">
        <f>+'Cons spec netti '!L23</f>
        <v>6</v>
      </c>
      <c r="J3" s="43">
        <f>+'Cons spec netti '!M23</f>
        <v>5</v>
      </c>
    </row>
    <row r="4" spans="1:10" ht="15" customHeight="1">
      <c r="A4" s="51" t="s">
        <v>54</v>
      </c>
      <c r="B4" s="43">
        <f>+'Cons spec tot e finalizzati'!F23</f>
        <v>0</v>
      </c>
      <c r="C4" s="32">
        <f>+'Cons spec tot e finalizzati'!H23</f>
        <v>0</v>
      </c>
      <c r="D4" s="45">
        <f>+'Cons spec tot e finalizzati'!J23</f>
        <v>0</v>
      </c>
      <c r="E4" s="45">
        <f>+'Cons spec tot e finalizzati'!L23</f>
        <v>0</v>
      </c>
      <c r="F4" s="45">
        <f>+'Cons spec tot e finalizzati'!N23</f>
        <v>0</v>
      </c>
      <c r="G4" s="45">
        <f>+'Cons spec tot e finalizzati'!P23</f>
        <v>0</v>
      </c>
      <c r="H4" s="45">
        <f>+'Cons spec tot e finalizzati'!R23</f>
        <v>0</v>
      </c>
      <c r="I4" s="45">
        <f>+'Cons spec tot e finalizzati'!T23</f>
        <v>0</v>
      </c>
      <c r="J4" s="45">
        <f>+'Cons spec tot e finalizzati'!V23</f>
        <v>0</v>
      </c>
    </row>
    <row r="5" spans="2:3" ht="12.75">
      <c r="B5" s="43"/>
      <c r="C5" s="4"/>
    </row>
    <row r="6" spans="2:10" ht="12.75">
      <c r="B6" s="156"/>
      <c r="C6" s="157"/>
      <c r="D6" s="157"/>
      <c r="E6" s="157"/>
      <c r="F6" s="157"/>
      <c r="G6" s="157"/>
      <c r="H6" s="157"/>
      <c r="I6" s="157"/>
      <c r="J6" s="157"/>
    </row>
    <row r="7" spans="2:7" ht="12.75">
      <c r="B7" s="44"/>
      <c r="C7" s="44"/>
      <c r="D7" s="44"/>
      <c r="E7" s="44"/>
      <c r="G7" s="44"/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7" ht="12.75">
      <c r="A27" s="174" t="s">
        <v>186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147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'!E24</f>
        <v>278</v>
      </c>
      <c r="C3" s="43">
        <f>+'Cons spec netti '!F24</f>
        <v>315</v>
      </c>
      <c r="D3" s="43">
        <f>+'Cons spec netti '!G24</f>
        <v>227</v>
      </c>
      <c r="E3" s="43">
        <f>+'Cons spec netti '!H24</f>
        <v>239</v>
      </c>
      <c r="F3" s="43">
        <f>+'Cons spec netti '!I24</f>
        <v>280</v>
      </c>
      <c r="G3" s="43">
        <f>+'Cons spec netti '!J24</f>
        <v>265</v>
      </c>
      <c r="H3" s="43">
        <f>+'Cons spec netti '!K24</f>
        <v>215</v>
      </c>
      <c r="I3" s="43">
        <f>+'Cons spec netti '!L24</f>
        <v>203</v>
      </c>
      <c r="J3" s="43">
        <f>+'Cons spec netti '!M24</f>
        <v>224</v>
      </c>
    </row>
    <row r="4" spans="1:10" ht="15" customHeight="1">
      <c r="A4" s="51" t="s">
        <v>54</v>
      </c>
      <c r="B4" s="43">
        <f>+'Cons spec tot e finalizzati'!F24</f>
        <v>0</v>
      </c>
      <c r="C4" s="43">
        <f>+'Cons spec tot e finalizzati'!H24</f>
        <v>0</v>
      </c>
      <c r="D4" s="45">
        <f>+'Cons spec tot e finalizzati'!J24</f>
        <v>0</v>
      </c>
      <c r="E4" s="45">
        <f>+'Cons spec tot e finalizzati'!L24</f>
        <v>0</v>
      </c>
      <c r="F4" s="45">
        <f>+'Cons spec tot e finalizzati'!N24</f>
        <v>0</v>
      </c>
      <c r="G4" s="45">
        <f>+'Cons spec tot e finalizzati'!P24</f>
        <v>0</v>
      </c>
      <c r="H4" s="45">
        <f>+'Cons spec tot e finalizzati'!R24</f>
        <v>0</v>
      </c>
      <c r="I4" s="45">
        <f>+'Cons spec tot e finalizzati'!T24</f>
        <v>0</v>
      </c>
      <c r="J4" s="45">
        <f>+'Cons spec tot e finalizzati'!V24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113.30935251798562</v>
      </c>
      <c r="D6" s="157">
        <f t="shared" si="0"/>
        <v>81.65467625899281</v>
      </c>
      <c r="E6" s="157">
        <f t="shared" si="0"/>
        <v>85.97122302158273</v>
      </c>
      <c r="F6" s="157">
        <f t="shared" si="0"/>
        <v>100.71942446043165</v>
      </c>
      <c r="G6" s="157">
        <f t="shared" si="0"/>
        <v>95.32374100719424</v>
      </c>
      <c r="H6" s="157">
        <f t="shared" si="0"/>
        <v>77.33812949640287</v>
      </c>
      <c r="I6" s="157">
        <f t="shared" si="0"/>
        <v>73.02158273381295</v>
      </c>
      <c r="J6" s="157">
        <f t="shared" si="0"/>
        <v>80.57553956834532</v>
      </c>
    </row>
    <row r="7" spans="1:10" ht="12.75">
      <c r="A7" t="s">
        <v>51</v>
      </c>
      <c r="B7" s="44">
        <f>+'Partecipazione soc'!B7</f>
        <v>100</v>
      </c>
      <c r="C7" s="44">
        <f>+'Partecipazione soc'!C7</f>
        <v>101.8</v>
      </c>
      <c r="D7" s="44">
        <f>+'Partecipazione soc'!D7</f>
        <v>104.3</v>
      </c>
      <c r="E7" s="44">
        <f>+'Partecipazione soc'!E7</f>
        <v>107</v>
      </c>
      <c r="F7" s="44">
        <f>+'Partecipazione soc'!F7</f>
        <v>109.6</v>
      </c>
      <c r="G7" s="44">
        <f>+'Partecipazione soc'!G7</f>
        <v>111.7</v>
      </c>
      <c r="H7" s="44">
        <f>+'Partecipazione soc'!H7</f>
        <v>113.5</v>
      </c>
      <c r="I7" s="44">
        <f>+'Partecipazione soc'!I7</f>
        <v>115.1</v>
      </c>
      <c r="J7" s="44">
        <f>+'Partecipazione soc'!J7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9" width="7.140625" style="0" bestFit="1" customWidth="1"/>
    <col min="10" max="10" width="7.7109375" style="0" bestFit="1" customWidth="1"/>
  </cols>
  <sheetData>
    <row r="1" ht="12.75">
      <c r="A1" t="s">
        <v>180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'!E25</f>
        <v>490</v>
      </c>
      <c r="C3" s="43">
        <f>+'Cons spec netti '!F25</f>
        <v>459</v>
      </c>
      <c r="D3" s="43">
        <f>+'Cons spec netti '!G25</f>
        <v>235</v>
      </c>
      <c r="E3" s="43">
        <f>+'Cons spec netti '!H25</f>
        <v>225</v>
      </c>
      <c r="F3" s="43">
        <f>+'Cons spec netti '!I25</f>
        <v>182</v>
      </c>
      <c r="G3" s="43">
        <f>+'Cons spec netti '!J25</f>
        <v>188</v>
      </c>
      <c r="H3" s="43">
        <f>+'Cons spec netti '!K25</f>
        <v>143</v>
      </c>
      <c r="I3" s="43">
        <f>+'Cons spec netti '!L25</f>
        <v>89</v>
      </c>
      <c r="J3" s="43">
        <f>+'Cons spec netti '!M25</f>
        <v>48</v>
      </c>
    </row>
    <row r="4" spans="1:10" ht="15" customHeight="1">
      <c r="A4" s="51" t="s">
        <v>54</v>
      </c>
      <c r="B4" s="43">
        <f>+'Cons spec tot e finalizzati'!F25</f>
        <v>0</v>
      </c>
      <c r="C4" s="43">
        <f>+'Cons spec tot e finalizzati'!H25</f>
        <v>41</v>
      </c>
      <c r="D4" s="45">
        <f>+'Cons spec tot e finalizzati'!J25</f>
        <v>0</v>
      </c>
      <c r="E4" s="45">
        <f>+'Cons spec tot e finalizzati'!L25</f>
        <v>0</v>
      </c>
      <c r="F4" s="45">
        <f>+'Cons spec tot e finalizzati'!N25</f>
        <v>0</v>
      </c>
      <c r="G4" s="45">
        <f>+'Cons spec tot e finalizzati'!P25</f>
        <v>0</v>
      </c>
      <c r="H4" s="45">
        <f>+'Cons spec tot e finalizzati'!R25</f>
        <v>0</v>
      </c>
      <c r="I4" s="45">
        <f>+'Cons spec tot e finalizzati'!T25</f>
        <v>0</v>
      </c>
      <c r="J4" s="45">
        <f>+'Cons spec tot e finalizzati'!V25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93.6734693877551</v>
      </c>
      <c r="D6" s="157">
        <f t="shared" si="0"/>
        <v>47.95918367346938</v>
      </c>
      <c r="E6" s="157">
        <f t="shared" si="0"/>
        <v>45.91836734693878</v>
      </c>
      <c r="F6" s="157">
        <f t="shared" si="0"/>
        <v>37.142857142857146</v>
      </c>
      <c r="G6" s="157">
        <f t="shared" si="0"/>
        <v>38.36734693877551</v>
      </c>
      <c r="H6" s="157">
        <f t="shared" si="0"/>
        <v>29.183673469387756</v>
      </c>
      <c r="I6" s="157">
        <f t="shared" si="0"/>
        <v>18.16326530612245</v>
      </c>
      <c r="J6" s="157">
        <f t="shared" si="0"/>
        <v>9.795918367346939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149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'!E30</f>
        <v>44</v>
      </c>
      <c r="C3" s="43">
        <f>+'Cons spec netti '!F30</f>
        <v>46</v>
      </c>
      <c r="D3" s="43">
        <f>+'Cons spec netti '!G30</f>
        <v>46</v>
      </c>
      <c r="E3" s="43">
        <f>+'Cons spec netti '!H30</f>
        <v>30</v>
      </c>
      <c r="F3" s="43">
        <f>+'Cons spec netti '!I30</f>
        <v>4</v>
      </c>
      <c r="G3" s="43">
        <f>+'Cons spec netti '!J30</f>
        <v>26</v>
      </c>
      <c r="H3" s="43">
        <f>+'Cons spec netti '!K30</f>
        <v>39</v>
      </c>
      <c r="I3" s="43">
        <f>+'Cons spec netti '!L30</f>
        <v>65</v>
      </c>
      <c r="J3" s="43">
        <f>+'Cons spec netti '!M30</f>
        <v>105</v>
      </c>
    </row>
    <row r="4" spans="1:10" ht="15" customHeight="1">
      <c r="A4" s="51" t="s">
        <v>54</v>
      </c>
      <c r="B4" s="43">
        <f>+'Cons spec tot e finalizzati'!F30</f>
        <v>0</v>
      </c>
      <c r="C4" s="43">
        <f>+'Cons spec tot e finalizzati'!H30</f>
        <v>0</v>
      </c>
      <c r="D4" s="45">
        <f>+'Cons spec tot e finalizzati'!J30</f>
        <v>0</v>
      </c>
      <c r="E4" s="45">
        <f>+'Cons spec tot e finalizzati'!L30</f>
        <v>0</v>
      </c>
      <c r="F4" s="45">
        <f>+'Cons spec tot e finalizzati'!N30</f>
        <v>0</v>
      </c>
      <c r="G4" s="45">
        <f>+'Cons spec tot e finalizzati'!P30</f>
        <v>0</v>
      </c>
      <c r="H4" s="45">
        <f>+'Cons spec tot e finalizzati'!R30</f>
        <v>0</v>
      </c>
      <c r="I4" s="45">
        <f>+'Cons spec tot e finalizzati'!T30</f>
        <v>0</v>
      </c>
      <c r="J4" s="45">
        <f>+'Cons spec tot e finalizzati'!V30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104.54545454545455</v>
      </c>
      <c r="D6" s="157">
        <f t="shared" si="0"/>
        <v>104.54545454545455</v>
      </c>
      <c r="E6" s="157">
        <f t="shared" si="0"/>
        <v>68.18181818181817</v>
      </c>
      <c r="F6" s="157">
        <f t="shared" si="0"/>
        <v>9.090909090909092</v>
      </c>
      <c r="G6" s="157">
        <f t="shared" si="0"/>
        <v>59.09090909090909</v>
      </c>
      <c r="H6" s="157">
        <f t="shared" si="0"/>
        <v>88.63636363636364</v>
      </c>
      <c r="I6" s="157">
        <f t="shared" si="0"/>
        <v>147.72727272727272</v>
      </c>
      <c r="J6" s="157">
        <f t="shared" si="0"/>
        <v>238.63636363636363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150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'!E33</f>
        <v>1120</v>
      </c>
      <c r="C3" s="43">
        <f>+'Cons spec netti '!F33</f>
        <v>1240</v>
      </c>
      <c r="D3" s="43">
        <f>+'Cons spec netti '!G33</f>
        <v>1008</v>
      </c>
      <c r="E3" s="43">
        <f>+'Cons spec netti '!H33</f>
        <v>1045</v>
      </c>
      <c r="F3" s="43">
        <f>+'Cons spec netti '!I33</f>
        <v>1041</v>
      </c>
      <c r="G3" s="43">
        <f>+'Cons spec netti '!J33</f>
        <v>962</v>
      </c>
      <c r="H3" s="43">
        <f>+'Cons spec netti '!K33</f>
        <v>879</v>
      </c>
      <c r="I3" s="43">
        <f>+'Cons spec netti '!L33</f>
        <v>946</v>
      </c>
      <c r="J3" s="43">
        <f>+'Cons spec netti '!M33</f>
        <v>435</v>
      </c>
    </row>
    <row r="4" spans="1:10" ht="15" customHeight="1">
      <c r="A4" s="51" t="s">
        <v>54</v>
      </c>
      <c r="B4" s="43">
        <f>+'Cons spec tot e finalizzati'!F33</f>
        <v>0</v>
      </c>
      <c r="C4" s="43">
        <f>+'Cons spec tot e finalizzati'!H33</f>
        <v>0</v>
      </c>
      <c r="D4" s="45">
        <f>+'Cons spec tot e finalizzati'!J33</f>
        <v>0</v>
      </c>
      <c r="E4" s="45">
        <f>+'Cons spec tot e finalizzati'!L33</f>
        <v>0</v>
      </c>
      <c r="F4" s="45">
        <f>+'Cons spec tot e finalizzati'!N33</f>
        <v>0</v>
      </c>
      <c r="G4" s="45">
        <f>+'Cons spec tot e finalizzati'!P33</f>
        <v>0</v>
      </c>
      <c r="H4" s="45">
        <f>+'Cons spec tot e finalizzati'!R33</f>
        <v>0</v>
      </c>
      <c r="I4" s="45">
        <f>+'Cons spec tot e finalizzati'!T33</f>
        <v>0</v>
      </c>
      <c r="J4" s="45">
        <f>+'Cons spec tot e finalizzati'!V33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110.71428571428572</v>
      </c>
      <c r="D6" s="157">
        <f t="shared" si="0"/>
        <v>90</v>
      </c>
      <c r="E6" s="157">
        <f t="shared" si="0"/>
        <v>93.30357142857143</v>
      </c>
      <c r="F6" s="157">
        <f t="shared" si="0"/>
        <v>92.94642857142857</v>
      </c>
      <c r="G6" s="157">
        <f t="shared" si="0"/>
        <v>85.89285714285714</v>
      </c>
      <c r="H6" s="157">
        <f t="shared" si="0"/>
        <v>78.48214285714286</v>
      </c>
      <c r="I6" s="157">
        <f t="shared" si="0"/>
        <v>84.46428571428571</v>
      </c>
      <c r="J6" s="157">
        <f t="shared" si="0"/>
        <v>38.839285714285715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64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'!E40</f>
        <v>80</v>
      </c>
      <c r="C3" s="43">
        <f>+'Cons spec netti '!F40</f>
        <v>89</v>
      </c>
      <c r="D3" s="43">
        <f>+'Cons spec netti '!G40</f>
        <v>116</v>
      </c>
      <c r="E3" s="43">
        <f>+'Cons spec netti '!H40</f>
        <v>80</v>
      </c>
      <c r="F3" s="43">
        <f>+'Cons spec netti '!I40</f>
        <v>107</v>
      </c>
      <c r="G3" s="43">
        <f>+'Cons spec netti '!J40</f>
        <v>58</v>
      </c>
      <c r="H3" s="43">
        <f>+'Cons spec netti '!K40</f>
        <v>46</v>
      </c>
      <c r="I3" s="43">
        <f>+'Cons spec netti '!L40</f>
        <v>54</v>
      </c>
      <c r="J3" s="43">
        <f>+'Cons spec netti '!M40</f>
        <v>33</v>
      </c>
    </row>
    <row r="4" spans="1:10" ht="15" customHeight="1">
      <c r="A4" s="51" t="s">
        <v>54</v>
      </c>
      <c r="B4" s="43">
        <f>+'Cons spec tot e finalizzati'!F40</f>
        <v>0</v>
      </c>
      <c r="C4" s="43">
        <f>+'Cons spec tot e finalizzati'!H40</f>
        <v>0</v>
      </c>
      <c r="D4" s="45">
        <f>+'Cons spec tot e finalizzati'!J40</f>
        <v>0</v>
      </c>
      <c r="E4" s="45">
        <f>+'Cons spec tot e finalizzati'!L40</f>
        <v>0</v>
      </c>
      <c r="F4" s="45">
        <f>+'Cons spec tot e finalizzati'!N40</f>
        <v>0</v>
      </c>
      <c r="G4" s="45">
        <f>+'Cons spec tot e finalizzati'!P40</f>
        <v>0</v>
      </c>
      <c r="H4" s="45">
        <f>+'Cons spec tot e finalizzati'!R40</f>
        <v>0</v>
      </c>
      <c r="I4" s="45">
        <f>+'Cons spec tot e finalizzati'!T40</f>
        <v>0</v>
      </c>
      <c r="J4" s="45">
        <f>+'Cons spec tot e finalizzati'!V40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111.25</v>
      </c>
      <c r="D6" s="157">
        <f t="shared" si="0"/>
        <v>145</v>
      </c>
      <c r="E6" s="157">
        <f t="shared" si="0"/>
        <v>100</v>
      </c>
      <c r="F6" s="157">
        <f t="shared" si="0"/>
        <v>133.75</v>
      </c>
      <c r="G6" s="157">
        <f t="shared" si="0"/>
        <v>72.5</v>
      </c>
      <c r="H6" s="157">
        <f t="shared" si="0"/>
        <v>57.49999999999999</v>
      </c>
      <c r="I6" s="157">
        <f t="shared" si="0"/>
        <v>67.5</v>
      </c>
      <c r="J6" s="157">
        <f t="shared" si="0"/>
        <v>41.25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151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'!E44</f>
        <v>8829</v>
      </c>
      <c r="C3" s="43">
        <f>+'Cons spec netti '!F44</f>
        <v>7879</v>
      </c>
      <c r="D3" s="43">
        <f>+'Cons spec netti '!G44</f>
        <v>9104</v>
      </c>
      <c r="E3" s="43">
        <f>+'Cons spec netti '!H44</f>
        <v>7903.412395998492</v>
      </c>
      <c r="F3" s="43">
        <f>+'Cons spec netti '!I44</f>
        <v>7893</v>
      </c>
      <c r="G3" s="43">
        <f>+'Cons spec netti '!J44</f>
        <v>8031</v>
      </c>
      <c r="H3" s="43">
        <f>+'Cons spec netti '!K44</f>
        <v>8218</v>
      </c>
      <c r="I3" s="43">
        <f>+'Cons spec netti '!L44</f>
        <v>7619</v>
      </c>
      <c r="J3" s="43">
        <f>+'Cons spec netti '!M44</f>
        <v>6189</v>
      </c>
    </row>
    <row r="4" spans="1:10" ht="15" customHeight="1">
      <c r="A4" s="51" t="s">
        <v>54</v>
      </c>
      <c r="B4" s="43">
        <f>+'Cons spec tot e finalizzati'!F44</f>
        <v>0</v>
      </c>
      <c r="C4" s="43">
        <f>+'Cons spec tot e finalizzati'!H44</f>
        <v>0</v>
      </c>
      <c r="D4" s="45">
        <f>+'Cons spec tot e finalizzati'!J44</f>
        <v>0</v>
      </c>
      <c r="E4" s="45">
        <f>+'Cons spec tot e finalizzati'!L44</f>
        <v>112.58760400150805</v>
      </c>
      <c r="F4" s="45">
        <f>+'Cons spec tot e finalizzati'!N44</f>
        <v>620</v>
      </c>
      <c r="G4" s="45">
        <f>+'Cons spec tot e finalizzati'!P44</f>
        <v>404</v>
      </c>
      <c r="H4" s="45">
        <f>+'Cons spec tot e finalizzati'!R44</f>
        <v>78</v>
      </c>
      <c r="I4" s="45">
        <f>+'Cons spec tot e finalizzati'!T44</f>
        <v>20</v>
      </c>
      <c r="J4" s="45">
        <f>+'Cons spec tot e finalizzati'!V44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89.2400045305244</v>
      </c>
      <c r="D6" s="157">
        <f t="shared" si="0"/>
        <v>103.11473553063767</v>
      </c>
      <c r="E6" s="157">
        <f t="shared" si="0"/>
        <v>89.51650692035895</v>
      </c>
      <c r="F6" s="157">
        <f t="shared" si="0"/>
        <v>89.39857288481141</v>
      </c>
      <c r="G6" s="157">
        <f t="shared" si="0"/>
        <v>90.96160380564051</v>
      </c>
      <c r="H6" s="157">
        <f t="shared" si="0"/>
        <v>93.07962396647412</v>
      </c>
      <c r="I6" s="157">
        <f t="shared" si="0"/>
        <v>86.29516366519424</v>
      </c>
      <c r="J6" s="157">
        <f t="shared" si="0"/>
        <v>70.09853890587836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181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'!E48</f>
        <v>132</v>
      </c>
      <c r="C3" s="43">
        <f>+'Cons spec netti '!F48</f>
        <v>150</v>
      </c>
      <c r="D3" s="43">
        <f>+'Cons spec netti '!G48</f>
        <v>162</v>
      </c>
      <c r="E3" s="43">
        <f>+'Cons spec netti '!H48</f>
        <v>169</v>
      </c>
      <c r="F3" s="43">
        <f>+'Cons spec netti '!I48</f>
        <v>244</v>
      </c>
      <c r="G3" s="43">
        <f>+'Cons spec netti '!J48</f>
        <v>304</v>
      </c>
      <c r="H3" s="43">
        <f>+'Cons spec netti '!K48</f>
        <v>227</v>
      </c>
      <c r="I3" s="43">
        <f>+'Cons spec netti '!L48</f>
        <v>246</v>
      </c>
      <c r="J3" s="43">
        <f>+'Cons spec netti '!M48</f>
        <v>146</v>
      </c>
    </row>
    <row r="4" spans="1:10" ht="15" customHeight="1">
      <c r="A4" s="51" t="s">
        <v>54</v>
      </c>
      <c r="B4" s="43">
        <f>+'Cons spec tot e finalizzati'!F48</f>
        <v>0</v>
      </c>
      <c r="C4" s="43">
        <f>+'Cons spec tot e finalizzati'!H48</f>
        <v>0</v>
      </c>
      <c r="D4" s="45">
        <f>+'Cons spec tot e finalizzati'!J48</f>
        <v>0</v>
      </c>
      <c r="E4" s="45">
        <f>+'Cons spec tot e finalizzati'!L48</f>
        <v>0</v>
      </c>
      <c r="F4" s="45">
        <f>+'Cons spec tot e finalizzati'!N48</f>
        <v>0</v>
      </c>
      <c r="G4" s="45">
        <f>+'Cons spec tot e finalizzati'!P48</f>
        <v>0</v>
      </c>
      <c r="H4" s="45">
        <f>+'Cons spec tot e finalizzati'!R48</f>
        <v>0</v>
      </c>
      <c r="I4" s="45">
        <f>+'Cons spec tot e finalizzati'!T48</f>
        <v>0</v>
      </c>
      <c r="J4" s="45">
        <f>+'Cons spec tot e finalizzati'!V48</f>
        <v>0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 aca="true" t="shared" si="0" ref="C6:J6">+C3/$B$3*100</f>
        <v>113.63636363636364</v>
      </c>
      <c r="D6" s="157">
        <f t="shared" si="0"/>
        <v>122.72727272727273</v>
      </c>
      <c r="E6" s="157">
        <f t="shared" si="0"/>
        <v>128.03030303030303</v>
      </c>
      <c r="F6" s="157">
        <f t="shared" si="0"/>
        <v>184.84848484848484</v>
      </c>
      <c r="G6" s="157">
        <f t="shared" si="0"/>
        <v>230.3030303030303</v>
      </c>
      <c r="H6" s="157">
        <f t="shared" si="0"/>
        <v>171.96969696969697</v>
      </c>
      <c r="I6" s="157">
        <f t="shared" si="0"/>
        <v>186.36363636363635</v>
      </c>
      <c r="J6" s="157">
        <f t="shared" si="0"/>
        <v>110.6060606060606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165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'!E49</f>
        <v>232</v>
      </c>
      <c r="C3" s="43">
        <f>+'Cons spec netti '!F49</f>
        <v>540</v>
      </c>
      <c r="D3" s="43">
        <f>+'Cons spec netti '!G49</f>
        <v>959</v>
      </c>
      <c r="E3" s="43">
        <f>+'Cons spec netti '!H49</f>
        <v>876</v>
      </c>
      <c r="F3" s="43">
        <f>+'Cons spec netti '!I49</f>
        <v>809</v>
      </c>
      <c r="G3" s="43">
        <f>+'Cons spec netti '!J49</f>
        <v>395</v>
      </c>
      <c r="H3" s="43">
        <f>+'Cons spec netti '!K49</f>
        <v>668</v>
      </c>
      <c r="I3" s="43">
        <f>+'Cons spec netti '!L49</f>
        <v>346</v>
      </c>
      <c r="J3" s="43">
        <f>+'Cons spec netti '!M49</f>
        <v>340</v>
      </c>
    </row>
    <row r="4" spans="1:10" ht="15" customHeight="1">
      <c r="A4" s="51" t="s">
        <v>54</v>
      </c>
      <c r="B4" s="43">
        <f>+'Cons spec tot e finalizzati'!F49</f>
        <v>0</v>
      </c>
      <c r="C4" s="43">
        <f>+'Cons spec tot e finalizzati'!H49</f>
        <v>0</v>
      </c>
      <c r="D4" s="45">
        <f>+'Cons spec tot e finalizzati'!J49</f>
        <v>8</v>
      </c>
      <c r="E4" s="45">
        <f>+'Cons spec tot e finalizzati'!L49</f>
        <v>0</v>
      </c>
      <c r="F4" s="45">
        <f>+'Cons spec tot e finalizzati'!N49</f>
        <v>7</v>
      </c>
      <c r="G4" s="45">
        <f>+'Cons spec tot e finalizzati'!P49</f>
        <v>7</v>
      </c>
      <c r="H4" s="45">
        <f>+'Cons spec tot e finalizzati'!R49</f>
        <v>9</v>
      </c>
      <c r="I4" s="45">
        <f>+'Cons spec tot e finalizzati'!T49</f>
        <v>0</v>
      </c>
      <c r="J4" s="45">
        <f>+'Cons spec tot e finalizzati'!V49</f>
        <v>0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 aca="true" t="shared" si="0" ref="C6:J6">+C3/$B$3*100</f>
        <v>232.75862068965517</v>
      </c>
      <c r="D6" s="157">
        <f t="shared" si="0"/>
        <v>413.36206896551727</v>
      </c>
      <c r="E6" s="157">
        <f t="shared" si="0"/>
        <v>377.58620689655174</v>
      </c>
      <c r="F6" s="157">
        <f t="shared" si="0"/>
        <v>348.7068965517241</v>
      </c>
      <c r="G6" s="157">
        <f t="shared" si="0"/>
        <v>170.25862068965517</v>
      </c>
      <c r="H6" s="157">
        <f t="shared" si="0"/>
        <v>287.9310344827586</v>
      </c>
      <c r="I6" s="157">
        <f t="shared" si="0"/>
        <v>149.13793103448276</v>
      </c>
      <c r="J6" s="157">
        <f t="shared" si="0"/>
        <v>146.55172413793102</v>
      </c>
    </row>
    <row r="7" spans="1:10" ht="12.75">
      <c r="A7" t="s">
        <v>51</v>
      </c>
      <c r="B7" s="44">
        <f>+Legale!B7</f>
        <v>100</v>
      </c>
      <c r="C7" s="44">
        <f>+Legale!C7</f>
        <v>101.8</v>
      </c>
      <c r="D7" s="44">
        <f>+Legale!D7</f>
        <v>104.3</v>
      </c>
      <c r="E7" s="44">
        <f>+Legale!E7</f>
        <v>107</v>
      </c>
      <c r="F7" s="44">
        <f>+Legale!F7</f>
        <v>109.6</v>
      </c>
      <c r="G7" s="44">
        <f>+Legale!G7</f>
        <v>111.7</v>
      </c>
      <c r="H7" s="44">
        <f>+Legale!H7</f>
        <v>113.5</v>
      </c>
      <c r="I7" s="44">
        <f>+Legale!I7</f>
        <v>115.1</v>
      </c>
      <c r="J7" s="44">
        <f>+Legale!J7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98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'!E50</f>
        <v>1330</v>
      </c>
      <c r="C3" s="43">
        <f>+'Cons spec netti '!F50</f>
        <v>1417</v>
      </c>
      <c r="D3" s="43">
        <f>+'Cons spec netti '!G50</f>
        <v>1272</v>
      </c>
      <c r="E3" s="43">
        <f>+'Cons spec netti '!H50</f>
        <v>1568.769603412747</v>
      </c>
      <c r="F3" s="43">
        <f>+'Cons spec netti '!I50</f>
        <v>1060</v>
      </c>
      <c r="G3" s="43">
        <f>+'Cons spec netti '!J50</f>
        <v>863</v>
      </c>
      <c r="H3" s="43">
        <f>+'Cons spec netti '!K50</f>
        <v>724</v>
      </c>
      <c r="I3" s="43">
        <f>+'Cons spec netti '!L50</f>
        <v>728</v>
      </c>
      <c r="J3" s="43">
        <f>+'Cons spec netti '!M50</f>
        <v>413</v>
      </c>
    </row>
    <row r="4" spans="1:10" ht="15" customHeight="1">
      <c r="A4" s="51" t="s">
        <v>54</v>
      </c>
      <c r="B4" s="43">
        <f>+'Cons spec tot e finalizzati'!F50</f>
        <v>44</v>
      </c>
      <c r="C4" s="43">
        <f>+'Cons spec tot e finalizzati'!H50</f>
        <v>49</v>
      </c>
      <c r="D4" s="45">
        <f>+'Cons spec tot e finalizzati'!J50</f>
        <v>81</v>
      </c>
      <c r="E4" s="45">
        <f>+'Cons spec tot e finalizzati'!L50</f>
        <v>202.2303965872528</v>
      </c>
      <c r="F4" s="45">
        <f>+'Cons spec tot e finalizzati'!N50</f>
        <v>21</v>
      </c>
      <c r="G4" s="45">
        <f>+'Cons spec tot e finalizzati'!P50</f>
        <v>20</v>
      </c>
      <c r="H4" s="45">
        <f>+'Cons spec tot e finalizzati'!R50</f>
        <v>23</v>
      </c>
      <c r="I4" s="45">
        <f>+'Cons spec tot e finalizzati'!T50</f>
        <v>52</v>
      </c>
      <c r="J4" s="45">
        <f>+'Cons spec tot e finalizzati'!V50</f>
        <v>1</v>
      </c>
    </row>
    <row r="5" spans="2:3" ht="12.75">
      <c r="B5" s="43"/>
      <c r="C5" s="4"/>
    </row>
    <row r="6" spans="1:10" ht="12.75">
      <c r="A6" t="s">
        <v>55</v>
      </c>
      <c r="B6" s="156" t="e">
        <f>+B7</f>
        <v>#REF!</v>
      </c>
      <c r="C6" s="157">
        <f>+C3/$B$3*100</f>
        <v>106.54135338345864</v>
      </c>
      <c r="D6" s="157">
        <f aca="true" t="shared" si="0" ref="D6:J6">+D3/$B$3*100</f>
        <v>95.6390977443609</v>
      </c>
      <c r="E6" s="157">
        <f t="shared" si="0"/>
        <v>117.95260176035691</v>
      </c>
      <c r="F6" s="157">
        <f t="shared" si="0"/>
        <v>79.69924812030075</v>
      </c>
      <c r="G6" s="157">
        <f t="shared" si="0"/>
        <v>64.88721804511279</v>
      </c>
      <c r="H6" s="157">
        <f t="shared" si="0"/>
        <v>54.4360902255639</v>
      </c>
      <c r="I6" s="157">
        <f t="shared" si="0"/>
        <v>54.736842105263165</v>
      </c>
      <c r="J6" s="157">
        <f t="shared" si="0"/>
        <v>31.05263157894737</v>
      </c>
    </row>
    <row r="7" spans="1:10" ht="12.75">
      <c r="A7" t="s">
        <v>51</v>
      </c>
      <c r="B7" s="44" t="e">
        <f>+#REF!</f>
        <v>#REF!</v>
      </c>
      <c r="C7" s="44" t="e">
        <f>+#REF!</f>
        <v>#REF!</v>
      </c>
      <c r="D7" s="44" t="e">
        <f>+#REF!</f>
        <v>#REF!</v>
      </c>
      <c r="E7" s="44" t="e">
        <f>+#REF!</f>
        <v>#REF!</v>
      </c>
      <c r="F7" s="44" t="e">
        <f>+#REF!</f>
        <v>#REF!</v>
      </c>
      <c r="G7" s="44" t="e">
        <f>+#REF!</f>
        <v>#REF!</v>
      </c>
      <c r="H7" s="44" t="e">
        <f>+#REF!</f>
        <v>#REF!</v>
      </c>
      <c r="I7" s="44" t="e">
        <f>+#REF!</f>
        <v>#REF!</v>
      </c>
      <c r="J7" s="44" t="e">
        <f>+#REF!</f>
        <v>#REF!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1"/>
  <sheetViews>
    <sheetView workbookViewId="0" topLeftCell="A1">
      <pane ySplit="8" topLeftCell="BM20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2.00390625" style="3" customWidth="1"/>
    <col min="4" max="4" width="0.5625" style="0" customWidth="1"/>
    <col min="5" max="8" width="11.00390625" style="64" customWidth="1"/>
    <col min="9" max="9" width="11.00390625" style="81" customWidth="1"/>
    <col min="10" max="12" width="11.00390625" style="64" customWidth="1"/>
    <col min="13" max="13" width="11.00390625" style="43" bestFit="1" customWidth="1"/>
  </cols>
  <sheetData>
    <row r="1" spans="1:13" s="2" customFormat="1" ht="20.25">
      <c r="A1" s="50" t="s">
        <v>155</v>
      </c>
      <c r="B1" s="3"/>
      <c r="C1" s="3"/>
      <c r="D1"/>
      <c r="E1" s="64"/>
      <c r="F1" s="64"/>
      <c r="G1" s="64"/>
      <c r="H1" s="64"/>
      <c r="I1" s="81"/>
      <c r="J1" s="64"/>
      <c r="K1" s="64"/>
      <c r="L1" s="64"/>
      <c r="M1" s="153"/>
    </row>
    <row r="2" spans="1:13" s="2" customFormat="1" ht="12.75">
      <c r="A2" s="3"/>
      <c r="B2" s="3"/>
      <c r="C2" s="3"/>
      <c r="D2"/>
      <c r="E2" s="64"/>
      <c r="F2" s="86"/>
      <c r="G2" s="86"/>
      <c r="H2" s="86"/>
      <c r="I2" s="81"/>
      <c r="J2" s="64"/>
      <c r="K2" s="64"/>
      <c r="L2" s="64"/>
      <c r="M2" s="153"/>
    </row>
    <row r="3" spans="1:13" s="2" customFormat="1" ht="15.75">
      <c r="A3" s="5"/>
      <c r="B3" s="5"/>
      <c r="C3" s="5"/>
      <c r="D3"/>
      <c r="E3" s="64"/>
      <c r="F3" s="86"/>
      <c r="G3" s="88"/>
      <c r="H3" s="88"/>
      <c r="I3" s="90"/>
      <c r="J3" s="65"/>
      <c r="K3" s="65"/>
      <c r="L3" s="65"/>
      <c r="M3" s="153"/>
    </row>
    <row r="4" spans="1:13" s="2" customFormat="1" ht="12.75">
      <c r="A4" s="5"/>
      <c r="B4" s="5"/>
      <c r="C4" s="5"/>
      <c r="D4"/>
      <c r="E4" s="64"/>
      <c r="F4" s="64"/>
      <c r="G4" s="64"/>
      <c r="H4" s="64"/>
      <c r="I4" s="81"/>
      <c r="J4" s="64"/>
      <c r="K4" s="64"/>
      <c r="L4" s="64"/>
      <c r="M4" s="153"/>
    </row>
    <row r="5" spans="1:13" s="2" customFormat="1" ht="12.75">
      <c r="A5" s="52" t="s">
        <v>114</v>
      </c>
      <c r="B5" s="7"/>
      <c r="C5" s="7"/>
      <c r="D5"/>
      <c r="E5" s="64"/>
      <c r="F5" s="64"/>
      <c r="G5" s="64"/>
      <c r="H5" s="64"/>
      <c r="I5" s="81"/>
      <c r="J5" s="64"/>
      <c r="K5" s="64"/>
      <c r="L5" s="64"/>
      <c r="M5" s="153"/>
    </row>
    <row r="6" spans="1:13" s="2" customFormat="1" ht="12.75">
      <c r="A6" s="8"/>
      <c r="B6" s="12"/>
      <c r="C6" s="8"/>
      <c r="D6"/>
      <c r="E6" s="117">
        <v>1998</v>
      </c>
      <c r="F6" s="117">
        <v>1999</v>
      </c>
      <c r="G6" s="117">
        <v>2000</v>
      </c>
      <c r="H6" s="117">
        <v>2001</v>
      </c>
      <c r="I6" s="117">
        <v>2002</v>
      </c>
      <c r="J6" s="117">
        <v>2003</v>
      </c>
      <c r="K6" s="117">
        <v>2004</v>
      </c>
      <c r="L6" s="154">
        <v>2005</v>
      </c>
      <c r="M6" s="154">
        <v>2006</v>
      </c>
    </row>
    <row r="7" spans="1:13" s="2" customFormat="1" ht="12.75">
      <c r="A7" s="8"/>
      <c r="B7" s="8"/>
      <c r="C7" s="8"/>
      <c r="D7"/>
      <c r="E7" s="91" t="s">
        <v>53</v>
      </c>
      <c r="F7" s="91" t="s">
        <v>53</v>
      </c>
      <c r="G7" s="91" t="s">
        <v>53</v>
      </c>
      <c r="H7" s="134" t="s">
        <v>53</v>
      </c>
      <c r="I7" s="134" t="s">
        <v>53</v>
      </c>
      <c r="J7" s="134" t="s">
        <v>53</v>
      </c>
      <c r="K7" s="134" t="s">
        <v>53</v>
      </c>
      <c r="L7" s="155" t="s">
        <v>53</v>
      </c>
      <c r="M7" s="155" t="s">
        <v>154</v>
      </c>
    </row>
    <row r="8" spans="1:13" s="2" customFormat="1" ht="12.75">
      <c r="A8" s="8"/>
      <c r="B8" s="8"/>
      <c r="C8" s="8"/>
      <c r="D8"/>
      <c r="E8" s="66" t="s">
        <v>49</v>
      </c>
      <c r="F8" s="66" t="s">
        <v>49</v>
      </c>
      <c r="G8" s="66" t="s">
        <v>49</v>
      </c>
      <c r="H8" s="66" t="s">
        <v>49</v>
      </c>
      <c r="I8" s="66" t="s">
        <v>49</v>
      </c>
      <c r="J8" s="66" t="s">
        <v>49</v>
      </c>
      <c r="K8" s="66" t="s">
        <v>49</v>
      </c>
      <c r="L8" s="66" t="s">
        <v>49</v>
      </c>
      <c r="M8" s="66" t="s">
        <v>49</v>
      </c>
    </row>
    <row r="9" spans="1:13" s="2" customFormat="1" ht="12.75">
      <c r="A9" s="122" t="s">
        <v>0</v>
      </c>
      <c r="B9" s="123"/>
      <c r="C9" s="123"/>
      <c r="D9" s="21"/>
      <c r="E9" s="67">
        <f>+'Cons spec tot e finalizzati'!E9-'Cons spec tot e finalizzati'!F9</f>
        <v>5</v>
      </c>
      <c r="F9" s="67">
        <f>+'Cons spec tot e finalizzati'!G9-'Cons spec tot e finalizzati'!H9</f>
        <v>2</v>
      </c>
      <c r="G9" s="67">
        <f>+'Cons spec tot e finalizzati'!I9-'Cons spec tot e finalizzati'!J9</f>
        <v>5</v>
      </c>
      <c r="H9" s="67">
        <f>+'Cons spec tot e finalizzati'!K9-'Cons spec tot e finalizzati'!L9</f>
        <v>56</v>
      </c>
      <c r="I9" s="67">
        <f>+'Cons spec tot e finalizzati'!M9-'Cons spec tot e finalizzati'!N9</f>
        <v>168</v>
      </c>
      <c r="J9" s="67">
        <f>+'Cons spec tot e finalizzati'!O9-'Cons spec tot e finalizzati'!P9</f>
        <v>199</v>
      </c>
      <c r="K9" s="67">
        <f>+'Cons spec tot e finalizzati'!Q9-'Cons spec tot e finalizzati'!R9</f>
        <v>86</v>
      </c>
      <c r="L9" s="67">
        <f>+'Cons spec tot e finalizzati'!S9-'Cons spec tot e finalizzati'!T9</f>
        <v>57</v>
      </c>
      <c r="M9" s="67">
        <f>+'Cons spec tot e finalizzati'!U9-'Cons spec tot e finalizzati'!V9</f>
        <v>8</v>
      </c>
    </row>
    <row r="10" spans="1:13" s="2" customFormat="1" ht="12.75">
      <c r="A10" s="9"/>
      <c r="B10" s="6" t="s">
        <v>160</v>
      </c>
      <c r="C10" s="20"/>
      <c r="D10" s="20"/>
      <c r="E10" s="56">
        <f>+'Cons spec tot e finalizzati'!E10-'Cons spec tot e finalizzati'!F10</f>
        <v>5</v>
      </c>
      <c r="F10" s="56">
        <f>+'Cons spec tot e finalizzati'!G10-'Cons spec tot e finalizzati'!H10</f>
        <v>2</v>
      </c>
      <c r="G10" s="56">
        <f>+'Cons spec tot e finalizzati'!I10-'Cons spec tot e finalizzati'!J10</f>
        <v>5</v>
      </c>
      <c r="H10" s="56">
        <f>+'Cons spec tot e finalizzati'!K10-'Cons spec tot e finalizzati'!L10</f>
        <v>56</v>
      </c>
      <c r="I10" s="56">
        <f>+'Cons spec tot e finalizzati'!M10-'Cons spec tot e finalizzati'!N10</f>
        <v>168</v>
      </c>
      <c r="J10" s="56">
        <f>+'Cons spec tot e finalizzati'!O10-'Cons spec tot e finalizzati'!P10</f>
        <v>199</v>
      </c>
      <c r="K10" s="56">
        <f>+'Cons spec tot e finalizzati'!Q10-'Cons spec tot e finalizzati'!R10</f>
        <v>86</v>
      </c>
      <c r="L10" s="56">
        <f>+'Cons spec tot e finalizzati'!S10-'Cons spec tot e finalizzati'!T10</f>
        <v>57</v>
      </c>
      <c r="M10" s="56">
        <f>+'Cons spec tot e finalizzati'!U10-'Cons spec tot e finalizzati'!V10</f>
        <v>8</v>
      </c>
    </row>
    <row r="11" spans="1:13" s="2" customFormat="1" ht="12.75">
      <c r="A11" s="29"/>
      <c r="B11" s="24" t="s">
        <v>161</v>
      </c>
      <c r="C11" s="24"/>
      <c r="E11" s="53">
        <f>+'Cons spec tot e finalizzati'!E11-'Cons spec tot e finalizzati'!F11</f>
        <v>0</v>
      </c>
      <c r="F11" s="53">
        <f>+'Cons spec tot e finalizzati'!G11-'Cons spec tot e finalizzati'!H11</f>
        <v>0</v>
      </c>
      <c r="G11" s="53">
        <f>+'Cons spec tot e finalizzati'!I11-'Cons spec tot e finalizzati'!J11</f>
        <v>0</v>
      </c>
      <c r="H11" s="56">
        <f>+'Cons spec tot e finalizzati'!K11-'Cons spec tot e finalizzati'!L11</f>
        <v>0</v>
      </c>
      <c r="I11" s="53">
        <f>+'Cons spec tot e finalizzati'!M11-'Cons spec tot e finalizzati'!N11</f>
        <v>0</v>
      </c>
      <c r="J11" s="53">
        <f>+'Cons spec tot e finalizzati'!O11-'Cons spec tot e finalizzati'!P11</f>
        <v>0</v>
      </c>
      <c r="K11" s="53">
        <f>+'Cons spec tot e finalizzati'!Q11-'Cons spec tot e finalizzati'!R11</f>
        <v>0</v>
      </c>
      <c r="L11" s="53">
        <f>+'Cons spec tot e finalizzati'!S11-'Cons spec tot e finalizzati'!T11</f>
        <v>0</v>
      </c>
      <c r="M11" s="53">
        <f>+'Cons spec tot e finalizzati'!U11-'Cons spec tot e finalizzati'!V11</f>
        <v>0</v>
      </c>
    </row>
    <row r="12" spans="1:13" s="2" customFormat="1" ht="12.75">
      <c r="A12" s="162" t="s">
        <v>162</v>
      </c>
      <c r="B12" s="126"/>
      <c r="C12" s="126"/>
      <c r="D12" s="160"/>
      <c r="E12" s="161">
        <f>+'Cons spec tot e finalizzati'!E12-'Cons spec tot e finalizzati'!F12</f>
        <v>1942</v>
      </c>
      <c r="F12" s="161">
        <f>+'Cons spec tot e finalizzati'!G12-'Cons spec tot e finalizzati'!H12</f>
        <v>2308</v>
      </c>
      <c r="G12" s="161">
        <f>+'Cons spec tot e finalizzati'!I12-'Cons spec tot e finalizzati'!J12</f>
        <v>2278</v>
      </c>
      <c r="H12" s="161">
        <f>+'Cons spec tot e finalizzati'!K12-'Cons spec tot e finalizzati'!L12</f>
        <v>3690</v>
      </c>
      <c r="I12" s="161">
        <f>+'Cons spec tot e finalizzati'!M12-'Cons spec tot e finalizzati'!N12</f>
        <v>3790</v>
      </c>
      <c r="J12" s="161">
        <f>+'Cons spec tot e finalizzati'!O12-'Cons spec tot e finalizzati'!P12</f>
        <v>3849</v>
      </c>
      <c r="K12" s="161">
        <f>+'Cons spec tot e finalizzati'!Q12-'Cons spec tot e finalizzati'!R12</f>
        <v>3669</v>
      </c>
      <c r="L12" s="161">
        <f>+'Cons spec tot e finalizzati'!S12-'Cons spec tot e finalizzati'!T12</f>
        <v>3251</v>
      </c>
      <c r="M12" s="161">
        <f>+'Cons spec tot e finalizzati'!U12-'Cons spec tot e finalizzati'!V12</f>
        <v>1931</v>
      </c>
    </row>
    <row r="13" spans="1:13" s="2" customFormat="1" ht="12.75">
      <c r="A13" s="159" t="s">
        <v>159</v>
      </c>
      <c r="B13" s="125"/>
      <c r="C13" s="125"/>
      <c r="D13" s="22"/>
      <c r="E13" s="71">
        <f>+'Cons spec tot e finalizzati'!E13-'Cons spec tot e finalizzati'!F13</f>
        <v>1449</v>
      </c>
      <c r="F13" s="71">
        <f>+'Cons spec tot e finalizzati'!G13-'Cons spec tot e finalizzati'!H13</f>
        <v>1735</v>
      </c>
      <c r="G13" s="71">
        <f>+'Cons spec tot e finalizzati'!I13-'Cons spec tot e finalizzati'!J13</f>
        <v>1517</v>
      </c>
      <c r="H13" s="71">
        <f>+'Cons spec tot e finalizzati'!K13-'Cons spec tot e finalizzati'!L13</f>
        <v>2350</v>
      </c>
      <c r="I13" s="71">
        <f>+'Cons spec tot e finalizzati'!M13-'Cons spec tot e finalizzati'!N13</f>
        <v>2642</v>
      </c>
      <c r="J13" s="71">
        <f>+'Cons spec tot e finalizzati'!O13-'Cons spec tot e finalizzati'!P13</f>
        <v>2612</v>
      </c>
      <c r="K13" s="71">
        <f>+'Cons spec tot e finalizzati'!Q13-'Cons spec tot e finalizzati'!R13</f>
        <v>2312</v>
      </c>
      <c r="L13" s="71">
        <f>+'Cons spec tot e finalizzati'!S13-'Cons spec tot e finalizzati'!T13</f>
        <v>1859</v>
      </c>
      <c r="M13" s="71">
        <f>+'Cons spec tot e finalizzati'!U13-'Cons spec tot e finalizzati'!V13</f>
        <v>834</v>
      </c>
    </row>
    <row r="14" spans="1:13" s="2" customFormat="1" ht="12.75">
      <c r="A14" s="31"/>
      <c r="B14" s="24" t="s">
        <v>69</v>
      </c>
      <c r="C14" s="24"/>
      <c r="E14" s="47">
        <f>+'Cons spec tot e finalizzati'!E14-'Cons spec tot e finalizzati'!F14</f>
        <v>692</v>
      </c>
      <c r="F14" s="53">
        <f>+'Cons spec tot e finalizzati'!G14-'Cons spec tot e finalizzati'!H14</f>
        <v>568</v>
      </c>
      <c r="G14" s="47">
        <f>+'Cons spec tot e finalizzati'!I14-'Cons spec tot e finalizzati'!J14</f>
        <v>504</v>
      </c>
      <c r="H14" s="56">
        <f>+'Cons spec tot e finalizzati'!K14-'Cons spec tot e finalizzati'!L14</f>
        <v>817</v>
      </c>
      <c r="I14" s="53">
        <f>+'Cons spec tot e finalizzati'!M14-'Cons spec tot e finalizzati'!N14</f>
        <v>537</v>
      </c>
      <c r="J14" s="53">
        <f>+'Cons spec tot e finalizzati'!O14-'Cons spec tot e finalizzati'!P14</f>
        <v>321</v>
      </c>
      <c r="K14" s="53">
        <f>+'Cons spec tot e finalizzati'!Q14-'Cons spec tot e finalizzati'!R14</f>
        <v>186</v>
      </c>
      <c r="L14" s="53">
        <f>+'Cons spec tot e finalizzati'!S14-'Cons spec tot e finalizzati'!T14</f>
        <v>25</v>
      </c>
      <c r="M14" s="53">
        <f>+'Cons spec tot e finalizzati'!U14-'Cons spec tot e finalizzati'!V14</f>
        <v>25</v>
      </c>
    </row>
    <row r="15" spans="1:13" s="2" customFormat="1" ht="12.75">
      <c r="A15" s="31"/>
      <c r="B15" s="23" t="s">
        <v>81</v>
      </c>
      <c r="C15" s="25"/>
      <c r="D15" s="35"/>
      <c r="E15" s="47">
        <f>+'Cons spec tot e finalizzati'!E15-'Cons spec tot e finalizzati'!F15</f>
        <v>247</v>
      </c>
      <c r="F15" s="47">
        <f>+'Cons spec tot e finalizzati'!G15-'Cons spec tot e finalizzati'!H15</f>
        <v>258</v>
      </c>
      <c r="G15" s="47">
        <f>+'Cons spec tot e finalizzati'!I15-'Cons spec tot e finalizzati'!J15</f>
        <v>278</v>
      </c>
      <c r="H15" s="56">
        <f>+'Cons spec tot e finalizzati'!K15-'Cons spec tot e finalizzati'!L15</f>
        <v>233</v>
      </c>
      <c r="I15" s="53">
        <f>+'Cons spec tot e finalizzati'!M15-'Cons spec tot e finalizzati'!N15</f>
        <v>231</v>
      </c>
      <c r="J15" s="53">
        <f>+'Cons spec tot e finalizzati'!O15-'Cons spec tot e finalizzati'!P15</f>
        <v>271</v>
      </c>
      <c r="K15" s="53">
        <f>+'Cons spec tot e finalizzati'!Q15-'Cons spec tot e finalizzati'!R15</f>
        <v>234</v>
      </c>
      <c r="L15" s="53">
        <f>+'Cons spec tot e finalizzati'!S15-'Cons spec tot e finalizzati'!T15</f>
        <v>225</v>
      </c>
      <c r="M15" s="53">
        <f>+'Cons spec tot e finalizzati'!U15-'Cons spec tot e finalizzati'!V15</f>
        <v>34</v>
      </c>
    </row>
    <row r="16" spans="1:13" s="26" customFormat="1" ht="12.75">
      <c r="A16" s="13"/>
      <c r="B16" s="10" t="s">
        <v>3</v>
      </c>
      <c r="C16" s="10"/>
      <c r="D16"/>
      <c r="E16" s="72">
        <f>+'Cons spec tot e finalizzati'!E16-'Cons spec tot e finalizzati'!F16</f>
        <v>0</v>
      </c>
      <c r="F16" s="72">
        <f>+'Cons spec tot e finalizzati'!G16-'Cons spec tot e finalizzati'!H16</f>
        <v>135</v>
      </c>
      <c r="G16" s="72">
        <f>+'Cons spec tot e finalizzati'!I16-'Cons spec tot e finalizzati'!J16</f>
        <v>211</v>
      </c>
      <c r="H16" s="56">
        <f>+'Cons spec tot e finalizzati'!K16-'Cons spec tot e finalizzati'!L16</f>
        <v>382</v>
      </c>
      <c r="I16" s="56">
        <f>+'Cons spec tot e finalizzati'!M16-'Cons spec tot e finalizzati'!N16</f>
        <v>234</v>
      </c>
      <c r="J16" s="56">
        <f>+'Cons spec tot e finalizzati'!O16-'Cons spec tot e finalizzati'!P16</f>
        <v>442</v>
      </c>
      <c r="K16" s="56">
        <f>+'Cons spec tot e finalizzati'!Q16-'Cons spec tot e finalizzati'!R16</f>
        <v>481</v>
      </c>
      <c r="L16" s="56">
        <f>+'Cons spec tot e finalizzati'!S16-'Cons spec tot e finalizzati'!T16</f>
        <v>599</v>
      </c>
      <c r="M16" s="56">
        <f>+'Cons spec tot e finalizzati'!U16-'Cons spec tot e finalizzati'!V16</f>
        <v>425</v>
      </c>
    </row>
    <row r="17" spans="1:13" s="26" customFormat="1" ht="12.75">
      <c r="A17" s="13"/>
      <c r="B17" s="10" t="s">
        <v>61</v>
      </c>
      <c r="C17" s="10"/>
      <c r="D17"/>
      <c r="E17" s="72">
        <f>+'Cons spec tot e finalizzati'!E17-'Cons spec tot e finalizzati'!F17</f>
        <v>0</v>
      </c>
      <c r="F17" s="72">
        <f>+'Cons spec tot e finalizzati'!G17-'Cons spec tot e finalizzati'!H17</f>
        <v>0</v>
      </c>
      <c r="G17" s="72">
        <f>+'Cons spec tot e finalizzati'!I17-'Cons spec tot e finalizzati'!J17</f>
        <v>0</v>
      </c>
      <c r="H17" s="56">
        <f>+'Cons spec tot e finalizzati'!K17-'Cons spec tot e finalizzati'!L17</f>
        <v>0</v>
      </c>
      <c r="I17" s="56">
        <f>+'Cons spec tot e finalizzati'!M17-'Cons spec tot e finalizzati'!N17</f>
        <v>214</v>
      </c>
      <c r="J17" s="56">
        <f>+'Cons spec tot e finalizzati'!O17-'Cons spec tot e finalizzati'!P17</f>
        <v>195</v>
      </c>
      <c r="K17" s="56">
        <f>+'Cons spec tot e finalizzati'!Q17-'Cons spec tot e finalizzati'!R17</f>
        <v>177</v>
      </c>
      <c r="L17" s="56">
        <f>+'Cons spec tot e finalizzati'!S17-'Cons spec tot e finalizzati'!T17</f>
        <v>0</v>
      </c>
      <c r="M17" s="56">
        <f>+'Cons spec tot e finalizzati'!U17-'Cons spec tot e finalizzati'!V17</f>
        <v>0</v>
      </c>
    </row>
    <row r="18" spans="1:13" s="26" customFormat="1" ht="12.75">
      <c r="A18" s="13"/>
      <c r="B18" s="10" t="s">
        <v>119</v>
      </c>
      <c r="C18" s="10"/>
      <c r="D18"/>
      <c r="E18" s="72">
        <f>+'Cons spec tot e finalizzati'!E18-'Cons spec tot e finalizzati'!F18</f>
        <v>510</v>
      </c>
      <c r="F18" s="72">
        <f>+'Cons spec tot e finalizzati'!F18-'Cons spec tot e finalizzati'!G18</f>
        <v>-847</v>
      </c>
      <c r="G18" s="72">
        <f>+'Cons spec tot e finalizzati'!G18-'Cons spec tot e finalizzati'!H18</f>
        <v>774</v>
      </c>
      <c r="H18" s="72">
        <f>+'Cons spec tot e finalizzati'!H18-'Cons spec tot e finalizzati'!I18</f>
        <v>-574</v>
      </c>
      <c r="I18" s="72">
        <f>+'Cons spec tot e finalizzati'!I18-'Cons spec tot e finalizzati'!J18</f>
        <v>524</v>
      </c>
      <c r="J18" s="72">
        <f>+'Cons spec tot e finalizzati'!J18-'Cons spec tot e finalizzati'!K18</f>
        <v>-718</v>
      </c>
      <c r="K18" s="72">
        <f>+'Cons spec tot e finalizzati'!K18-'Cons spec tot e finalizzati'!L18</f>
        <v>918</v>
      </c>
      <c r="L18" s="72">
        <f>+'Cons spec tot e finalizzati'!L18-'Cons spec tot e finalizzati'!M18</f>
        <v>-1570</v>
      </c>
      <c r="M18" s="72">
        <f>+'Cons spec tot e finalizzati'!M18-'Cons spec tot e finalizzati'!N18</f>
        <v>1426</v>
      </c>
    </row>
    <row r="19" spans="1:13" s="2" customFormat="1" ht="12.75">
      <c r="A19" s="122" t="s">
        <v>4</v>
      </c>
      <c r="B19" s="123"/>
      <c r="C19" s="123"/>
      <c r="D19" s="22"/>
      <c r="E19" s="70">
        <f>+'Cons spec tot e finalizzati'!E19-'Cons spec tot e finalizzati'!F19</f>
        <v>334</v>
      </c>
      <c r="F19" s="70">
        <f>+'Cons spec tot e finalizzati'!G19-'Cons spec tot e finalizzati'!H19</f>
        <v>315</v>
      </c>
      <c r="G19" s="84">
        <f>+'Cons spec tot e finalizzati'!I19-'Cons spec tot e finalizzati'!J19</f>
        <v>361</v>
      </c>
      <c r="H19" s="84">
        <f>+'Cons spec tot e finalizzati'!K19-'Cons spec tot e finalizzati'!L19</f>
        <v>339</v>
      </c>
      <c r="I19" s="70">
        <f>+'Cons spec tot e finalizzati'!M19-'Cons spec tot e finalizzati'!N19</f>
        <v>265</v>
      </c>
      <c r="J19" s="70">
        <f>+'Cons spec tot e finalizzati'!O19-'Cons spec tot e finalizzati'!P19</f>
        <v>250</v>
      </c>
      <c r="K19" s="70">
        <f>+'Cons spec tot e finalizzati'!Q19-'Cons spec tot e finalizzati'!R19</f>
        <v>359</v>
      </c>
      <c r="L19" s="70">
        <f>+'Cons spec tot e finalizzati'!S19-'Cons spec tot e finalizzati'!T19</f>
        <v>378</v>
      </c>
      <c r="M19" s="70">
        <f>+'Cons spec tot e finalizzati'!U19-'Cons spec tot e finalizzati'!V19</f>
        <v>310</v>
      </c>
    </row>
    <row r="20" spans="1:13" s="2" customFormat="1" ht="12.75">
      <c r="A20" s="122" t="s">
        <v>118</v>
      </c>
      <c r="B20" s="123"/>
      <c r="C20" s="123"/>
      <c r="D20" s="22"/>
      <c r="E20" s="70">
        <f>+'Cons spec tot e finalizzati'!E20-'Cons spec tot e finalizzati'!F20</f>
        <v>159</v>
      </c>
      <c r="F20" s="70">
        <f>+'Cons spec tot e finalizzati'!G20-'Cons spec tot e finalizzati'!H20</f>
        <v>258</v>
      </c>
      <c r="G20" s="84">
        <f>+'Cons spec tot e finalizzati'!I20-'Cons spec tot e finalizzati'!J20</f>
        <v>150</v>
      </c>
      <c r="H20" s="84">
        <f>+'Cons spec tot e finalizzati'!K20-'Cons spec tot e finalizzati'!L20</f>
        <v>127</v>
      </c>
      <c r="I20" s="70">
        <f>+'Cons spec tot e finalizzati'!M20-'Cons spec tot e finalizzati'!N20</f>
        <v>73</v>
      </c>
      <c r="J20" s="70">
        <f>+'Cons spec tot e finalizzati'!O20-'Cons spec tot e finalizzati'!P20</f>
        <v>71</v>
      </c>
      <c r="K20" s="70">
        <f>+'Cons spec tot e finalizzati'!Q20-'Cons spec tot e finalizzati'!R20</f>
        <v>124</v>
      </c>
      <c r="L20" s="70">
        <f>+'Cons spec tot e finalizzati'!S20-'Cons spec tot e finalizzati'!T20</f>
        <v>63</v>
      </c>
      <c r="M20" s="70">
        <f>+'Cons spec tot e finalizzati'!U20-'Cons spec tot e finalizzati'!V20</f>
        <v>90</v>
      </c>
    </row>
    <row r="21" spans="1:13" s="2" customFormat="1" ht="12.75">
      <c r="A21" s="122" t="s">
        <v>71</v>
      </c>
      <c r="B21" s="123"/>
      <c r="C21" s="123"/>
      <c r="D21" s="22"/>
      <c r="E21" s="70">
        <f>+'Cons spec tot e finalizzati'!E21-'Cons spec tot e finalizzati'!F21</f>
        <v>0</v>
      </c>
      <c r="F21" s="70">
        <f>+'Cons spec tot e finalizzati'!G21-'Cons spec tot e finalizzati'!H21</f>
        <v>0</v>
      </c>
      <c r="G21" s="84">
        <f>+'Cons spec tot e finalizzati'!I21-'Cons spec tot e finalizzati'!J21</f>
        <v>250</v>
      </c>
      <c r="H21" s="84">
        <f>+'Cons spec tot e finalizzati'!K21-'Cons spec tot e finalizzati'!L21</f>
        <v>874</v>
      </c>
      <c r="I21" s="70">
        <f>+'Cons spec tot e finalizzati'!M21-'Cons spec tot e finalizzati'!N21</f>
        <v>810</v>
      </c>
      <c r="J21" s="70">
        <f>+'Cons spec tot e finalizzati'!O21-'Cons spec tot e finalizzati'!P21</f>
        <v>916</v>
      </c>
      <c r="K21" s="70">
        <f>+'Cons spec tot e finalizzati'!Q21-'Cons spec tot e finalizzati'!R21</f>
        <v>874</v>
      </c>
      <c r="L21" s="70">
        <f>+'Cons spec tot e finalizzati'!S21-'Cons spec tot e finalizzati'!T21</f>
        <v>951</v>
      </c>
      <c r="M21" s="70">
        <f>+'Cons spec tot e finalizzati'!U21-'Cons spec tot e finalizzati'!V21</f>
        <v>697</v>
      </c>
    </row>
    <row r="22" spans="1:13" s="2" customFormat="1" ht="12.75">
      <c r="A22" s="162" t="s">
        <v>163</v>
      </c>
      <c r="B22" s="126"/>
      <c r="C22" s="126"/>
      <c r="D22" s="160"/>
      <c r="E22" s="161">
        <f>+'Cons spec tot e finalizzati'!E22-'Cons spec tot e finalizzati'!F22</f>
        <v>12535</v>
      </c>
      <c r="F22" s="161">
        <f>+'Cons spec tot e finalizzati'!G22-'Cons spec tot e finalizzati'!H22</f>
        <v>12135</v>
      </c>
      <c r="G22" s="161">
        <f>+'Cons spec tot e finalizzati'!I22-'Cons spec tot e finalizzati'!J22</f>
        <v>13129</v>
      </c>
      <c r="H22" s="161">
        <f>+'Cons spec tot e finalizzati'!K22-'Cons spec tot e finalizzati'!L22</f>
        <v>12136.18199941124</v>
      </c>
      <c r="I22" s="161">
        <f>+'Cons spec tot e finalizzati'!M22-'Cons spec tot e finalizzati'!N22</f>
        <v>11620</v>
      </c>
      <c r="J22" s="161">
        <f>+'Cons spec tot e finalizzati'!O22-'Cons spec tot e finalizzati'!P22</f>
        <v>11092</v>
      </c>
      <c r="K22" s="161">
        <f>+'Cons spec tot e finalizzati'!Q22-'Cons spec tot e finalizzati'!R22</f>
        <v>11166</v>
      </c>
      <c r="L22" s="161">
        <f>+'Cons spec tot e finalizzati'!S22-'Cons spec tot e finalizzati'!T22</f>
        <v>10302</v>
      </c>
      <c r="M22" s="161">
        <f>+'Cons spec tot e finalizzati'!U22-'Cons spec tot e finalizzati'!V22</f>
        <v>7938</v>
      </c>
    </row>
    <row r="23" spans="1:13" s="2" customFormat="1" ht="12.75">
      <c r="A23" s="124" t="s">
        <v>120</v>
      </c>
      <c r="B23" s="125"/>
      <c r="C23" s="125"/>
      <c r="D23" s="22"/>
      <c r="E23" s="163">
        <f>+'Cons spec tot e finalizzati'!E23-'Cons spec tot e finalizzati'!F23</f>
        <v>0</v>
      </c>
      <c r="F23" s="163">
        <f>+'Cons spec tot e finalizzati'!G23-'Cons spec tot e finalizzati'!H23</f>
        <v>0</v>
      </c>
      <c r="G23" s="164">
        <f>+'Cons spec tot e finalizzati'!I23-'Cons spec tot e finalizzati'!J23</f>
        <v>0</v>
      </c>
      <c r="H23" s="164">
        <f>+'Cons spec tot e finalizzati'!K23-'Cons spec tot e finalizzati'!L23</f>
        <v>0</v>
      </c>
      <c r="I23" s="163">
        <f>+'Cons spec tot e finalizzati'!M23-'Cons spec tot e finalizzati'!N23</f>
        <v>0</v>
      </c>
      <c r="J23" s="163">
        <f>+'Cons spec tot e finalizzati'!O23-'Cons spec tot e finalizzati'!P23</f>
        <v>0</v>
      </c>
      <c r="K23" s="163">
        <f>+'Cons spec tot e finalizzati'!Q23-'Cons spec tot e finalizzati'!R23</f>
        <v>7</v>
      </c>
      <c r="L23" s="163">
        <f>+'Cons spec tot e finalizzati'!S23-'Cons spec tot e finalizzati'!T23</f>
        <v>6</v>
      </c>
      <c r="M23" s="163">
        <f>+'Cons spec tot e finalizzati'!U23-'Cons spec tot e finalizzati'!V23</f>
        <v>5</v>
      </c>
    </row>
    <row r="24" spans="1:13" s="2" customFormat="1" ht="12.75">
      <c r="A24" s="122" t="s">
        <v>70</v>
      </c>
      <c r="B24" s="123"/>
      <c r="C24" s="123"/>
      <c r="D24" s="22"/>
      <c r="E24" s="70">
        <f>+'Cons spec tot e finalizzati'!E24-'Cons spec tot e finalizzati'!F24</f>
        <v>278</v>
      </c>
      <c r="F24" s="70">
        <f>+'Cons spec tot e finalizzati'!G24-'Cons spec tot e finalizzati'!H24</f>
        <v>315</v>
      </c>
      <c r="G24" s="84">
        <f>+'Cons spec tot e finalizzati'!I24-'Cons spec tot e finalizzati'!J24</f>
        <v>227</v>
      </c>
      <c r="H24" s="84">
        <f>+'Cons spec tot e finalizzati'!K24-'Cons spec tot e finalizzati'!L24</f>
        <v>239</v>
      </c>
      <c r="I24" s="70">
        <f>+'Cons spec tot e finalizzati'!M24-'Cons spec tot e finalizzati'!N24</f>
        <v>280</v>
      </c>
      <c r="J24" s="70">
        <f>+'Cons spec tot e finalizzati'!O24-'Cons spec tot e finalizzati'!P24</f>
        <v>265</v>
      </c>
      <c r="K24" s="70">
        <f>+'Cons spec tot e finalizzati'!Q24-'Cons spec tot e finalizzati'!R24</f>
        <v>215</v>
      </c>
      <c r="L24" s="70">
        <f>+'Cons spec tot e finalizzati'!S24-'Cons spec tot e finalizzati'!T24</f>
        <v>203</v>
      </c>
      <c r="M24" s="70">
        <f>+'Cons spec tot e finalizzati'!U24-'Cons spec tot e finalizzati'!V24</f>
        <v>224</v>
      </c>
    </row>
    <row r="25" spans="1:13" s="2" customFormat="1" ht="12.75">
      <c r="A25" s="130" t="s">
        <v>164</v>
      </c>
      <c r="B25" s="123"/>
      <c r="C25" s="123"/>
      <c r="D25" s="22"/>
      <c r="E25" s="71">
        <f>+'Cons spec tot e finalizzati'!E25-'Cons spec tot e finalizzati'!F25</f>
        <v>490</v>
      </c>
      <c r="F25" s="71">
        <f>+'Cons spec tot e finalizzati'!G25-'Cons spec tot e finalizzati'!H25</f>
        <v>459</v>
      </c>
      <c r="G25" s="71">
        <f>+'Cons spec tot e finalizzati'!I25-'Cons spec tot e finalizzati'!J25</f>
        <v>235</v>
      </c>
      <c r="H25" s="71">
        <f>+'Cons spec tot e finalizzati'!K25-'Cons spec tot e finalizzati'!L25</f>
        <v>225</v>
      </c>
      <c r="I25" s="71">
        <f>+'Cons spec tot e finalizzati'!M25-'Cons spec tot e finalizzati'!N25</f>
        <v>182</v>
      </c>
      <c r="J25" s="71">
        <f>+'Cons spec tot e finalizzati'!O25-'Cons spec tot e finalizzati'!P25</f>
        <v>188</v>
      </c>
      <c r="K25" s="71">
        <f>+'Cons spec tot e finalizzati'!Q25-'Cons spec tot e finalizzati'!R25</f>
        <v>143</v>
      </c>
      <c r="L25" s="71">
        <f>+'Cons spec tot e finalizzati'!S25-'Cons spec tot e finalizzati'!T25</f>
        <v>89</v>
      </c>
      <c r="M25" s="71">
        <f>+'Cons spec tot e finalizzati'!U25-'Cons spec tot e finalizzati'!V25</f>
        <v>48</v>
      </c>
    </row>
    <row r="26" spans="1:13" s="2" customFormat="1" ht="12.75">
      <c r="A26" s="29"/>
      <c r="B26" s="24" t="s">
        <v>6</v>
      </c>
      <c r="C26" s="24"/>
      <c r="E26" s="53">
        <f>+'Cons spec tot e finalizzati'!E26-'Cons spec tot e finalizzati'!F26</f>
        <v>154</v>
      </c>
      <c r="F26" s="53">
        <f>+'Cons spec tot e finalizzati'!G26-'Cons spec tot e finalizzati'!H26</f>
        <v>200</v>
      </c>
      <c r="G26" s="53">
        <f>+'Cons spec tot e finalizzati'!I26-'Cons spec tot e finalizzati'!J26</f>
        <v>79</v>
      </c>
      <c r="H26" s="56">
        <f>+'Cons spec tot e finalizzati'!K26-'Cons spec tot e finalizzati'!L26</f>
        <v>98</v>
      </c>
      <c r="I26" s="53">
        <f>+'Cons spec tot e finalizzati'!M26-'Cons spec tot e finalizzati'!N26</f>
        <v>66</v>
      </c>
      <c r="J26" s="53">
        <f>+'Cons spec tot e finalizzati'!O26-'Cons spec tot e finalizzati'!P26</f>
        <v>57</v>
      </c>
      <c r="K26" s="53">
        <f>+'Cons spec tot e finalizzati'!Q26-'Cons spec tot e finalizzati'!R26</f>
        <v>60</v>
      </c>
      <c r="L26" s="53">
        <f>+'Cons spec tot e finalizzati'!S26-'Cons spec tot e finalizzati'!T26</f>
        <v>33</v>
      </c>
      <c r="M26" s="53">
        <f>+'Cons spec tot e finalizzati'!U26-'Cons spec tot e finalizzati'!V26</f>
        <v>25</v>
      </c>
    </row>
    <row r="27" spans="1:13" s="2" customFormat="1" ht="12.75">
      <c r="A27" s="29"/>
      <c r="B27" s="25" t="s">
        <v>7</v>
      </c>
      <c r="C27" s="24"/>
      <c r="E27" s="68">
        <f>+'Cons spec tot e finalizzati'!E27-'Cons spec tot e finalizzati'!F27</f>
        <v>10</v>
      </c>
      <c r="F27" s="68">
        <f>+'Cons spec tot e finalizzati'!G27-'Cons spec tot e finalizzati'!H27</f>
        <v>24</v>
      </c>
      <c r="G27" s="68">
        <f>+'Cons spec tot e finalizzati'!I27-'Cons spec tot e finalizzati'!J27</f>
        <v>23</v>
      </c>
      <c r="H27" s="99">
        <f>+'Cons spec tot e finalizzati'!K27-'Cons spec tot e finalizzati'!L27</f>
        <v>0</v>
      </c>
      <c r="I27" s="53">
        <f>+'Cons spec tot e finalizzati'!M27-'Cons spec tot e finalizzati'!N27</f>
        <v>0</v>
      </c>
      <c r="J27" s="53">
        <f>+'Cons spec tot e finalizzati'!O27-'Cons spec tot e finalizzati'!P27</f>
        <v>0</v>
      </c>
      <c r="K27" s="53">
        <f>+'Cons spec tot e finalizzati'!Q27-'Cons spec tot e finalizzati'!R27</f>
        <v>0</v>
      </c>
      <c r="L27" s="53">
        <f>+'Cons spec tot e finalizzati'!S27-'Cons spec tot e finalizzati'!T27</f>
        <v>0</v>
      </c>
      <c r="M27" s="53">
        <f>+'Cons spec tot e finalizzati'!U27-'Cons spec tot e finalizzati'!V27</f>
        <v>0</v>
      </c>
    </row>
    <row r="28" spans="1:13" s="2" customFormat="1" ht="12.75">
      <c r="A28" s="29"/>
      <c r="B28" s="25" t="s">
        <v>72</v>
      </c>
      <c r="C28" s="25"/>
      <c r="D28" s="35"/>
      <c r="E28" s="68">
        <f>+'Cons spec tot e finalizzati'!E28-'Cons spec tot e finalizzati'!F28</f>
        <v>103</v>
      </c>
      <c r="F28" s="68">
        <f>+'Cons spec tot e finalizzati'!G28-'Cons spec tot e finalizzati'!H28</f>
        <v>96</v>
      </c>
      <c r="G28" s="68">
        <f>+'Cons spec tot e finalizzati'!I28-'Cons spec tot e finalizzati'!J28</f>
        <v>0</v>
      </c>
      <c r="H28" s="99">
        <f>+'Cons spec tot e finalizzati'!K28-'Cons spec tot e finalizzati'!L28</f>
        <v>0</v>
      </c>
      <c r="I28" s="68">
        <f>+'Cons spec tot e finalizzati'!M28-'Cons spec tot e finalizzati'!N28</f>
        <v>0</v>
      </c>
      <c r="J28" s="68">
        <f>+'Cons spec tot e finalizzati'!O28-'Cons spec tot e finalizzati'!P28</f>
        <v>0</v>
      </c>
      <c r="K28" s="68">
        <f>+'Cons spec tot e finalizzati'!Q28-'Cons spec tot e finalizzati'!R28</f>
        <v>0</v>
      </c>
      <c r="L28" s="68">
        <f>+'Cons spec tot e finalizzati'!S28-'Cons spec tot e finalizzati'!T28</f>
        <v>0</v>
      </c>
      <c r="M28" s="68">
        <f>+'Cons spec tot e finalizzati'!U28-'Cons spec tot e finalizzati'!V28</f>
        <v>0</v>
      </c>
    </row>
    <row r="29" spans="1:13" s="26" customFormat="1" ht="12.75">
      <c r="A29" s="13"/>
      <c r="B29" s="10" t="s">
        <v>133</v>
      </c>
      <c r="C29" s="10"/>
      <c r="D29"/>
      <c r="E29" s="73">
        <f>+'Cons spec tot e finalizzati'!E29-'Cons spec tot e finalizzati'!F29</f>
        <v>223</v>
      </c>
      <c r="F29" s="73">
        <f>+'Cons spec tot e finalizzati'!G29-'Cons spec tot e finalizzati'!H29</f>
        <v>139</v>
      </c>
      <c r="G29" s="73">
        <f>+'Cons spec tot e finalizzati'!I29-'Cons spec tot e finalizzati'!J29</f>
        <v>133</v>
      </c>
      <c r="H29" s="73">
        <f>+'Cons spec tot e finalizzati'!K29-'Cons spec tot e finalizzati'!L29</f>
        <v>127</v>
      </c>
      <c r="I29" s="73">
        <f>+'Cons spec tot e finalizzati'!M29-'Cons spec tot e finalizzati'!N29</f>
        <v>116</v>
      </c>
      <c r="J29" s="73">
        <f>+'Cons spec tot e finalizzati'!O29-'Cons spec tot e finalizzati'!P29</f>
        <v>131</v>
      </c>
      <c r="K29" s="73">
        <f>+'Cons spec tot e finalizzati'!Q29-'Cons spec tot e finalizzati'!R29</f>
        <v>83</v>
      </c>
      <c r="L29" s="73">
        <f>+'Cons spec tot e finalizzati'!S29-'Cons spec tot e finalizzati'!T29</f>
        <v>56</v>
      </c>
      <c r="M29" s="73">
        <f>+'Cons spec tot e finalizzati'!U29-'Cons spec tot e finalizzati'!V29</f>
        <v>23</v>
      </c>
    </row>
    <row r="30" spans="1:13" s="2" customFormat="1" ht="12.75">
      <c r="A30" s="130" t="s">
        <v>166</v>
      </c>
      <c r="B30" s="123"/>
      <c r="C30" s="123"/>
      <c r="D30" s="22"/>
      <c r="E30" s="71">
        <f>+'Cons spec tot e finalizzati'!E30-'Cons spec tot e finalizzati'!F30</f>
        <v>44</v>
      </c>
      <c r="F30" s="71">
        <f>+'Cons spec tot e finalizzati'!G30-'Cons spec tot e finalizzati'!H30</f>
        <v>46</v>
      </c>
      <c r="G30" s="71">
        <f>+'Cons spec tot e finalizzati'!I30-'Cons spec tot e finalizzati'!J30</f>
        <v>46</v>
      </c>
      <c r="H30" s="71">
        <f>+'Cons spec tot e finalizzati'!K30-'Cons spec tot e finalizzati'!L30</f>
        <v>30</v>
      </c>
      <c r="I30" s="71">
        <f>+'Cons spec tot e finalizzati'!M30-'Cons spec tot e finalizzati'!N30</f>
        <v>4</v>
      </c>
      <c r="J30" s="71">
        <f>+'Cons spec tot e finalizzati'!O30-'Cons spec tot e finalizzati'!P30</f>
        <v>26</v>
      </c>
      <c r="K30" s="71">
        <f>+'Cons spec tot e finalizzati'!Q30-'Cons spec tot e finalizzati'!R30</f>
        <v>39</v>
      </c>
      <c r="L30" s="71">
        <f>+'Cons spec tot e finalizzati'!S30-'Cons spec tot e finalizzati'!T30</f>
        <v>65</v>
      </c>
      <c r="M30" s="71">
        <f>+'Cons spec tot e finalizzati'!U30-'Cons spec tot e finalizzati'!V30</f>
        <v>105</v>
      </c>
    </row>
    <row r="31" spans="1:13" s="2" customFormat="1" ht="12.75">
      <c r="A31" s="29"/>
      <c r="B31" s="24" t="s">
        <v>8</v>
      </c>
      <c r="C31" s="24"/>
      <c r="E31" s="53">
        <f>+'Cons spec tot e finalizzati'!E31-'Cons spec tot e finalizzati'!F31</f>
        <v>44</v>
      </c>
      <c r="F31" s="53">
        <f>+'Cons spec tot e finalizzati'!G31-'Cons spec tot e finalizzati'!H31</f>
        <v>46</v>
      </c>
      <c r="G31" s="53">
        <f>+'Cons spec tot e finalizzati'!I31-'Cons spec tot e finalizzati'!J31</f>
        <v>46</v>
      </c>
      <c r="H31" s="56">
        <f>+'Cons spec tot e finalizzati'!K31-'Cons spec tot e finalizzati'!L31</f>
        <v>30</v>
      </c>
      <c r="I31" s="53">
        <f>+'Cons spec tot e finalizzati'!M31-'Cons spec tot e finalizzati'!N31</f>
        <v>4</v>
      </c>
      <c r="J31" s="53">
        <f>+'Cons spec tot e finalizzati'!O31-'Cons spec tot e finalizzati'!P31</f>
        <v>20</v>
      </c>
      <c r="K31" s="53">
        <f>+'Cons spec tot e finalizzati'!Q31-'Cons spec tot e finalizzati'!R31</f>
        <v>0</v>
      </c>
      <c r="L31" s="53">
        <f>+'Cons spec tot e finalizzati'!S31-'Cons spec tot e finalizzati'!T31</f>
        <v>0</v>
      </c>
      <c r="M31" s="53">
        <f>+'Cons spec tot e finalizzati'!U31-'Cons spec tot e finalizzati'!V31</f>
        <v>0</v>
      </c>
    </row>
    <row r="32" spans="1:13" s="26" customFormat="1" ht="12.75">
      <c r="A32" s="13"/>
      <c r="B32" s="10" t="s">
        <v>9</v>
      </c>
      <c r="C32" s="10"/>
      <c r="D32"/>
      <c r="E32" s="73">
        <f>+'Cons spec tot e finalizzati'!E32-'Cons spec tot e finalizzati'!F32</f>
        <v>0</v>
      </c>
      <c r="F32" s="73">
        <f>+'Cons spec tot e finalizzati'!G32-'Cons spec tot e finalizzati'!H32</f>
        <v>0</v>
      </c>
      <c r="G32" s="73">
        <f>+'Cons spec tot e finalizzati'!I32-'Cons spec tot e finalizzati'!J32</f>
        <v>0</v>
      </c>
      <c r="H32" s="73">
        <f>+'Cons spec tot e finalizzati'!K32-'Cons spec tot e finalizzati'!L32</f>
        <v>0</v>
      </c>
      <c r="I32" s="73">
        <f>+'Cons spec tot e finalizzati'!M32-'Cons spec tot e finalizzati'!N32</f>
        <v>0</v>
      </c>
      <c r="J32" s="73">
        <f>+'Cons spec tot e finalizzati'!O32-'Cons spec tot e finalizzati'!P32</f>
        <v>6</v>
      </c>
      <c r="K32" s="73">
        <f>+'Cons spec tot e finalizzati'!Q32-'Cons spec tot e finalizzati'!R32</f>
        <v>39</v>
      </c>
      <c r="L32" s="73">
        <f>+'Cons spec tot e finalizzati'!S32-'Cons spec tot e finalizzati'!T32</f>
        <v>65</v>
      </c>
      <c r="M32" s="73">
        <f>+'Cons spec tot e finalizzati'!U32-'Cons spec tot e finalizzati'!V32</f>
        <v>105</v>
      </c>
    </row>
    <row r="33" spans="1:13" s="2" customFormat="1" ht="12.75">
      <c r="A33" s="130" t="s">
        <v>15</v>
      </c>
      <c r="B33" s="123"/>
      <c r="C33" s="123"/>
      <c r="D33" s="22"/>
      <c r="E33" s="71">
        <f>+'Cons spec tot e finalizzati'!E33-'Cons spec tot e finalizzati'!F33</f>
        <v>1120</v>
      </c>
      <c r="F33" s="71">
        <f>+'Cons spec tot e finalizzati'!G33-'Cons spec tot e finalizzati'!H33</f>
        <v>1240</v>
      </c>
      <c r="G33" s="71">
        <f>+'Cons spec tot e finalizzati'!I33-'Cons spec tot e finalizzati'!J33</f>
        <v>1008</v>
      </c>
      <c r="H33" s="71">
        <f>+'Cons spec tot e finalizzati'!K33-'Cons spec tot e finalizzati'!L33</f>
        <v>1045</v>
      </c>
      <c r="I33" s="71">
        <f>+'Cons spec tot e finalizzati'!M33-'Cons spec tot e finalizzati'!N33</f>
        <v>1041</v>
      </c>
      <c r="J33" s="71">
        <f>+'Cons spec tot e finalizzati'!O33-'Cons spec tot e finalizzati'!P33</f>
        <v>962</v>
      </c>
      <c r="K33" s="71">
        <f>+'Cons spec tot e finalizzati'!Q33-'Cons spec tot e finalizzati'!R33</f>
        <v>879</v>
      </c>
      <c r="L33" s="71">
        <f>+'Cons spec tot e finalizzati'!S33-'Cons spec tot e finalizzati'!T33</f>
        <v>946</v>
      </c>
      <c r="M33" s="71">
        <f>+'Cons spec tot e finalizzati'!U33-'Cons spec tot e finalizzati'!V33</f>
        <v>435</v>
      </c>
    </row>
    <row r="34" spans="1:13" s="2" customFormat="1" ht="12.75">
      <c r="A34" s="29"/>
      <c r="B34" s="24" t="s">
        <v>6</v>
      </c>
      <c r="C34" s="24"/>
      <c r="E34" s="53">
        <f>+'Cons spec tot e finalizzati'!E34-'Cons spec tot e finalizzati'!F34</f>
        <v>382</v>
      </c>
      <c r="F34" s="53">
        <f>+'Cons spec tot e finalizzati'!G34-'Cons spec tot e finalizzati'!H34</f>
        <v>445</v>
      </c>
      <c r="G34" s="53">
        <f>+'Cons spec tot e finalizzati'!I34-'Cons spec tot e finalizzati'!J34</f>
        <v>266</v>
      </c>
      <c r="H34" s="56">
        <f>+'Cons spec tot e finalizzati'!K34-'Cons spec tot e finalizzati'!L34</f>
        <v>224</v>
      </c>
      <c r="I34" s="53">
        <f>+'Cons spec tot e finalizzati'!M34-'Cons spec tot e finalizzati'!N34</f>
        <v>315</v>
      </c>
      <c r="J34" s="53">
        <f>+'Cons spec tot e finalizzati'!O34-'Cons spec tot e finalizzati'!P34</f>
        <v>419</v>
      </c>
      <c r="K34" s="53">
        <f>+'Cons spec tot e finalizzati'!Q34-'Cons spec tot e finalizzati'!R34</f>
        <v>101</v>
      </c>
      <c r="L34" s="53">
        <f>+'Cons spec tot e finalizzati'!S34-'Cons spec tot e finalizzati'!T34</f>
        <v>368</v>
      </c>
      <c r="M34" s="53">
        <f>+'Cons spec tot e finalizzati'!U34-'Cons spec tot e finalizzati'!V34</f>
        <v>51</v>
      </c>
    </row>
    <row r="35" spans="1:13" s="2" customFormat="1" ht="12.75">
      <c r="A35" s="29"/>
      <c r="B35" s="24" t="s">
        <v>16</v>
      </c>
      <c r="C35" s="24"/>
      <c r="E35" s="53">
        <f>+'Cons spec tot e finalizzati'!E35-'Cons spec tot e finalizzati'!F35</f>
        <v>28</v>
      </c>
      <c r="F35" s="53">
        <f>+'Cons spec tot e finalizzati'!G35-'Cons spec tot e finalizzati'!H35</f>
        <v>5</v>
      </c>
      <c r="G35" s="53">
        <f>+'Cons spec tot e finalizzati'!I35-'Cons spec tot e finalizzati'!J35</f>
        <v>10</v>
      </c>
      <c r="H35" s="56">
        <f>+'Cons spec tot e finalizzati'!K35-'Cons spec tot e finalizzati'!L35</f>
        <v>23</v>
      </c>
      <c r="I35" s="53">
        <f>+'Cons spec tot e finalizzati'!M35-'Cons spec tot e finalizzati'!N35</f>
        <v>145</v>
      </c>
      <c r="J35" s="53">
        <f>+'Cons spec tot e finalizzati'!O35-'Cons spec tot e finalizzati'!P35</f>
        <v>130</v>
      </c>
      <c r="K35" s="53">
        <f>+'Cons spec tot e finalizzati'!Q35-'Cons spec tot e finalizzati'!R35</f>
        <v>165</v>
      </c>
      <c r="L35" s="53">
        <f>+'Cons spec tot e finalizzati'!S35-'Cons spec tot e finalizzati'!T35</f>
        <v>109</v>
      </c>
      <c r="M35" s="53">
        <f>+'Cons spec tot e finalizzati'!U35-'Cons spec tot e finalizzati'!V35</f>
        <v>37</v>
      </c>
    </row>
    <row r="36" spans="1:13" s="2" customFormat="1" ht="12.75">
      <c r="A36" s="29"/>
      <c r="B36" s="24" t="s">
        <v>156</v>
      </c>
      <c r="C36" s="24"/>
      <c r="E36" s="53">
        <f>+'Cons spec tot e finalizzati'!E36-'Cons spec tot e finalizzati'!F36</f>
        <v>83</v>
      </c>
      <c r="F36" s="53">
        <f>+'Cons spec tot e finalizzati'!G36-'Cons spec tot e finalizzati'!H36</f>
        <v>60</v>
      </c>
      <c r="G36" s="53">
        <f>+'Cons spec tot e finalizzati'!I36-'Cons spec tot e finalizzati'!J36</f>
        <v>41</v>
      </c>
      <c r="H36" s="56">
        <f>+'Cons spec tot e finalizzati'!K36-'Cons spec tot e finalizzati'!L36</f>
        <v>0</v>
      </c>
      <c r="I36" s="53">
        <f>+'Cons spec tot e finalizzati'!M36-'Cons spec tot e finalizzati'!N36</f>
        <v>0</v>
      </c>
      <c r="J36" s="53">
        <f>+'Cons spec tot e finalizzati'!O36-'Cons spec tot e finalizzati'!P36</f>
        <v>0</v>
      </c>
      <c r="K36" s="53">
        <f>+'Cons spec tot e finalizzati'!Q36-'Cons spec tot e finalizzati'!R36</f>
        <v>0</v>
      </c>
      <c r="L36" s="53">
        <f>+'Cons spec tot e finalizzati'!S36-'Cons spec tot e finalizzati'!T36</f>
        <v>12</v>
      </c>
      <c r="M36" s="53">
        <f>+'Cons spec tot e finalizzati'!U36-'Cons spec tot e finalizzati'!V36</f>
        <v>13</v>
      </c>
    </row>
    <row r="37" spans="1:13" s="2" customFormat="1" ht="12.75">
      <c r="A37" s="29"/>
      <c r="B37" s="24" t="s">
        <v>131</v>
      </c>
      <c r="C37" s="24"/>
      <c r="E37" s="53">
        <f>+'Cons spec tot e finalizzati'!E37-'Cons spec tot e finalizzati'!F37</f>
        <v>305</v>
      </c>
      <c r="F37" s="53">
        <f>+'Cons spec tot e finalizzati'!G37-'Cons spec tot e finalizzati'!H37</f>
        <v>336</v>
      </c>
      <c r="G37" s="53">
        <f>+'Cons spec tot e finalizzati'!I37-'Cons spec tot e finalizzati'!J37</f>
        <v>367</v>
      </c>
      <c r="H37" s="56">
        <f>+'Cons spec tot e finalizzati'!K37-'Cons spec tot e finalizzati'!L37</f>
        <v>506</v>
      </c>
      <c r="I37" s="53">
        <f>+'Cons spec tot e finalizzati'!M37-'Cons spec tot e finalizzati'!N37</f>
        <v>478</v>
      </c>
      <c r="J37" s="53">
        <f>+'Cons spec tot e finalizzati'!O37-'Cons spec tot e finalizzati'!P37</f>
        <v>400</v>
      </c>
      <c r="K37" s="53">
        <f>+'Cons spec tot e finalizzati'!Q37-'Cons spec tot e finalizzati'!R37</f>
        <v>394</v>
      </c>
      <c r="L37" s="53">
        <f>+'Cons spec tot e finalizzati'!S37-'Cons spec tot e finalizzati'!T37</f>
        <v>258</v>
      </c>
      <c r="M37" s="53">
        <f>+'Cons spec tot e finalizzati'!U37-'Cons spec tot e finalizzati'!V37</f>
        <v>182</v>
      </c>
    </row>
    <row r="38" spans="1:13" s="2" customFormat="1" ht="12.75">
      <c r="A38" s="29"/>
      <c r="B38" s="24" t="s">
        <v>157</v>
      </c>
      <c r="C38" s="24"/>
      <c r="E38" s="53">
        <f>+'Cons spec tot e finalizzati'!E38-'Cons spec tot e finalizzati'!F38</f>
        <v>202</v>
      </c>
      <c r="F38" s="53">
        <f>+'Cons spec tot e finalizzati'!G38-'Cons spec tot e finalizzati'!H38</f>
        <v>270</v>
      </c>
      <c r="G38" s="53">
        <f>+'Cons spec tot e finalizzati'!I38-'Cons spec tot e finalizzati'!J38</f>
        <v>252</v>
      </c>
      <c r="H38" s="56">
        <f>+'Cons spec tot e finalizzati'!K38-'Cons spec tot e finalizzati'!L38</f>
        <v>241</v>
      </c>
      <c r="I38" s="53">
        <f>+'Cons spec tot e finalizzati'!M38-'Cons spec tot e finalizzati'!N38</f>
        <v>42</v>
      </c>
      <c r="J38" s="53">
        <f>+'Cons spec tot e finalizzati'!O38-'Cons spec tot e finalizzati'!P38</f>
        <v>13</v>
      </c>
      <c r="K38" s="53">
        <f>+'Cons spec tot e finalizzati'!Q38-'Cons spec tot e finalizzati'!R38</f>
        <v>219</v>
      </c>
      <c r="L38" s="53">
        <f>+'Cons spec tot e finalizzati'!S38-'Cons spec tot e finalizzati'!T38</f>
        <v>199</v>
      </c>
      <c r="M38" s="53">
        <f>+'Cons spec tot e finalizzati'!U38-'Cons spec tot e finalizzati'!V38</f>
        <v>152</v>
      </c>
    </row>
    <row r="39" spans="1:13" s="2" customFormat="1" ht="12.75">
      <c r="A39" s="121"/>
      <c r="B39" s="58" t="s">
        <v>63</v>
      </c>
      <c r="C39" s="58"/>
      <c r="D39" s="35"/>
      <c r="E39" s="104">
        <f>+'Cons spec tot e finalizzati'!E39-'Cons spec tot e finalizzati'!F39</f>
        <v>120</v>
      </c>
      <c r="F39" s="60">
        <f>+'Cons spec tot e finalizzati'!G39-'Cons spec tot e finalizzati'!H39</f>
        <v>124</v>
      </c>
      <c r="G39" s="104">
        <f>+'Cons spec tot e finalizzati'!I39-'Cons spec tot e finalizzati'!J39</f>
        <v>72</v>
      </c>
      <c r="H39" s="106">
        <f>+'Cons spec tot e finalizzati'!K39-'Cons spec tot e finalizzati'!L39</f>
        <v>51</v>
      </c>
      <c r="I39" s="104">
        <f>+'Cons spec tot e finalizzati'!M39-'Cons spec tot e finalizzati'!N39</f>
        <v>61</v>
      </c>
      <c r="J39" s="104">
        <f>+'Cons spec tot e finalizzati'!O39-'Cons spec tot e finalizzati'!P39</f>
        <v>0</v>
      </c>
      <c r="K39" s="104">
        <f>+'Cons spec tot e finalizzati'!Q39-'Cons spec tot e finalizzati'!R39</f>
        <v>0</v>
      </c>
      <c r="L39" s="104">
        <f>+'Cons spec tot e finalizzati'!S39-'Cons spec tot e finalizzati'!T39</f>
        <v>0</v>
      </c>
      <c r="M39" s="104">
        <f>+'Cons spec tot e finalizzati'!U39-'Cons spec tot e finalizzati'!V39</f>
        <v>0</v>
      </c>
    </row>
    <row r="40" spans="1:13" s="2" customFormat="1" ht="12.75">
      <c r="A40" s="130" t="s">
        <v>64</v>
      </c>
      <c r="B40" s="123"/>
      <c r="C40" s="123"/>
      <c r="D40" s="22"/>
      <c r="E40" s="71">
        <f>+'Cons spec tot e finalizzati'!E40-'Cons spec tot e finalizzati'!F40</f>
        <v>80</v>
      </c>
      <c r="F40" s="71">
        <f>+'Cons spec tot e finalizzati'!G40-'Cons spec tot e finalizzati'!H40</f>
        <v>89</v>
      </c>
      <c r="G40" s="71">
        <f>+'Cons spec tot e finalizzati'!I40-'Cons spec tot e finalizzati'!J40</f>
        <v>116</v>
      </c>
      <c r="H40" s="71">
        <f>+'Cons spec tot e finalizzati'!K40-'Cons spec tot e finalizzati'!L40</f>
        <v>80</v>
      </c>
      <c r="I40" s="71">
        <f>+'Cons spec tot e finalizzati'!M40-'Cons spec tot e finalizzati'!N40</f>
        <v>107</v>
      </c>
      <c r="J40" s="71">
        <f>+'Cons spec tot e finalizzati'!O40-'Cons spec tot e finalizzati'!P40</f>
        <v>58</v>
      </c>
      <c r="K40" s="71">
        <f>+'Cons spec tot e finalizzati'!Q40-'Cons spec tot e finalizzati'!R40</f>
        <v>46</v>
      </c>
      <c r="L40" s="71">
        <f>+'Cons spec tot e finalizzati'!S40-'Cons spec tot e finalizzati'!T40</f>
        <v>54</v>
      </c>
      <c r="M40" s="71">
        <f>+'Cons spec tot e finalizzati'!U40-'Cons spec tot e finalizzati'!V40</f>
        <v>33</v>
      </c>
    </row>
    <row r="41" spans="1:13" s="2" customFormat="1" ht="12.75">
      <c r="A41" s="9"/>
      <c r="B41" s="10" t="s">
        <v>6</v>
      </c>
      <c r="C41" s="11"/>
      <c r="D41"/>
      <c r="E41" s="47">
        <f>+'Cons spec tot e finalizzati'!E41-'Cons spec tot e finalizzati'!F41</f>
        <v>80</v>
      </c>
      <c r="F41" s="47">
        <f>+'Cons spec tot e finalizzati'!G41-'Cons spec tot e finalizzati'!H41</f>
        <v>89</v>
      </c>
      <c r="G41" s="47">
        <f>+'Cons spec tot e finalizzati'!I41-'Cons spec tot e finalizzati'!J41</f>
        <v>116</v>
      </c>
      <c r="H41" s="56">
        <f>+'Cons spec tot e finalizzati'!K41-'Cons spec tot e finalizzati'!L41</f>
        <v>80</v>
      </c>
      <c r="I41" s="47">
        <f>+'Cons spec tot e finalizzati'!M41-'Cons spec tot e finalizzati'!N41</f>
        <v>107</v>
      </c>
      <c r="J41" s="47">
        <f>+'Cons spec tot e finalizzati'!O41-'Cons spec tot e finalizzati'!P41</f>
        <v>58</v>
      </c>
      <c r="K41" s="47">
        <f>+'Cons spec tot e finalizzati'!Q41-'Cons spec tot e finalizzati'!R41</f>
        <v>37</v>
      </c>
      <c r="L41" s="47">
        <f>+'Cons spec tot e finalizzati'!S41-'Cons spec tot e finalizzati'!T41</f>
        <v>45</v>
      </c>
      <c r="M41" s="47">
        <f>+'Cons spec tot e finalizzati'!U41-'Cons spec tot e finalizzati'!V41</f>
        <v>32</v>
      </c>
    </row>
    <row r="42" spans="1:13" s="2" customFormat="1" ht="12.75">
      <c r="A42" s="9"/>
      <c r="B42" s="10" t="s">
        <v>86</v>
      </c>
      <c r="C42" s="11"/>
      <c r="D42"/>
      <c r="E42" s="47">
        <f>+'Cons spec tot e finalizzati'!E42-'Cons spec tot e finalizzati'!F42</f>
        <v>0</v>
      </c>
      <c r="F42" s="47">
        <f>+'Cons spec tot e finalizzati'!G42-'Cons spec tot e finalizzati'!H42</f>
        <v>0</v>
      </c>
      <c r="G42" s="47">
        <f>+'Cons spec tot e finalizzati'!I42-'Cons spec tot e finalizzati'!J42</f>
        <v>0</v>
      </c>
      <c r="H42" s="56">
        <f>+'Cons spec tot e finalizzati'!K42-'Cons spec tot e finalizzati'!L42</f>
        <v>0</v>
      </c>
      <c r="I42" s="47">
        <f>+'Cons spec tot e finalizzati'!M42-'Cons spec tot e finalizzati'!N42</f>
        <v>0</v>
      </c>
      <c r="J42" s="47">
        <f>+'Cons spec tot e finalizzati'!O42-'Cons spec tot e finalizzati'!P42</f>
        <v>0</v>
      </c>
      <c r="K42" s="47">
        <f>+'Cons spec tot e finalizzati'!Q42-'Cons spec tot e finalizzati'!R42</f>
        <v>7</v>
      </c>
      <c r="L42" s="47">
        <f>+'Cons spec tot e finalizzati'!S42-'Cons spec tot e finalizzati'!T42</f>
        <v>2</v>
      </c>
      <c r="M42" s="47">
        <f>+'Cons spec tot e finalizzati'!U42-'Cons spec tot e finalizzati'!V42</f>
        <v>0</v>
      </c>
    </row>
    <row r="43" spans="1:13" s="26" customFormat="1" ht="12.75">
      <c r="A43" s="13"/>
      <c r="B43" s="10" t="s">
        <v>56</v>
      </c>
      <c r="C43" s="10"/>
      <c r="D43"/>
      <c r="E43" s="73">
        <f>+'Cons spec tot e finalizzati'!E43-'Cons spec tot e finalizzati'!F43</f>
        <v>0</v>
      </c>
      <c r="F43" s="73">
        <f>+'Cons spec tot e finalizzati'!G43-'Cons spec tot e finalizzati'!H43</f>
        <v>0</v>
      </c>
      <c r="G43" s="73">
        <f>+'Cons spec tot e finalizzati'!I43-'Cons spec tot e finalizzati'!J43</f>
        <v>0</v>
      </c>
      <c r="H43" s="73">
        <f>+'Cons spec tot e finalizzati'!K43-'Cons spec tot e finalizzati'!L43</f>
        <v>0</v>
      </c>
      <c r="I43" s="73">
        <f>+'Cons spec tot e finalizzati'!M43-'Cons spec tot e finalizzati'!N43</f>
        <v>0</v>
      </c>
      <c r="J43" s="73">
        <f>+'Cons spec tot e finalizzati'!O43-'Cons spec tot e finalizzati'!P43</f>
        <v>0</v>
      </c>
      <c r="K43" s="73">
        <f>+'Cons spec tot e finalizzati'!Q43-'Cons spec tot e finalizzati'!R43</f>
        <v>2</v>
      </c>
      <c r="L43" s="73">
        <f>+'Cons spec tot e finalizzati'!S43-'Cons spec tot e finalizzati'!T43</f>
        <v>7</v>
      </c>
      <c r="M43" s="73">
        <f>+'Cons spec tot e finalizzati'!U43-'Cons spec tot e finalizzati'!V43</f>
        <v>1</v>
      </c>
    </row>
    <row r="44" spans="1:13" s="2" customFormat="1" ht="12.75">
      <c r="A44" s="130" t="s">
        <v>73</v>
      </c>
      <c r="B44" s="123"/>
      <c r="C44" s="123"/>
      <c r="D44" s="22"/>
      <c r="E44" s="71">
        <f>+'Cons spec tot e finalizzati'!E44-'Cons spec tot e finalizzati'!F44</f>
        <v>8829</v>
      </c>
      <c r="F44" s="71">
        <f>+'Cons spec tot e finalizzati'!G44-'Cons spec tot e finalizzati'!H44</f>
        <v>7879</v>
      </c>
      <c r="G44" s="71">
        <f>+'Cons spec tot e finalizzati'!I44-'Cons spec tot e finalizzati'!J44</f>
        <v>9104</v>
      </c>
      <c r="H44" s="71">
        <f>+'Cons spec tot e finalizzati'!K44-'Cons spec tot e finalizzati'!L44</f>
        <v>7903.412395998492</v>
      </c>
      <c r="I44" s="71">
        <f>+'Cons spec tot e finalizzati'!M44-'Cons spec tot e finalizzati'!N44</f>
        <v>7893</v>
      </c>
      <c r="J44" s="71">
        <f>+'Cons spec tot e finalizzati'!O44-'Cons spec tot e finalizzati'!P44</f>
        <v>8031</v>
      </c>
      <c r="K44" s="71">
        <f>+'Cons spec tot e finalizzati'!Q44-'Cons spec tot e finalizzati'!R44</f>
        <v>8218</v>
      </c>
      <c r="L44" s="71">
        <f>+'Cons spec tot e finalizzati'!S44-'Cons spec tot e finalizzati'!T44</f>
        <v>7619</v>
      </c>
      <c r="M44" s="71">
        <f>+'Cons spec tot e finalizzati'!U44-'Cons spec tot e finalizzati'!V44</f>
        <v>6189</v>
      </c>
    </row>
    <row r="45" spans="1:13" s="2" customFormat="1" ht="12.75">
      <c r="A45" s="9"/>
      <c r="B45" s="10" t="s">
        <v>8</v>
      </c>
      <c r="C45" s="11"/>
      <c r="D45"/>
      <c r="E45" s="47">
        <f>+'Cons spec tot e finalizzati'!E45-'Cons spec tot e finalizzati'!F45</f>
        <v>52</v>
      </c>
      <c r="F45" s="47">
        <f>+'Cons spec tot e finalizzati'!G45-'Cons spec tot e finalizzati'!H45</f>
        <v>50</v>
      </c>
      <c r="G45" s="47">
        <f>+'Cons spec tot e finalizzati'!I45-'Cons spec tot e finalizzati'!J45</f>
        <v>52</v>
      </c>
      <c r="H45" s="56">
        <f>+'Cons spec tot e finalizzati'!K45-'Cons spec tot e finalizzati'!L45</f>
        <v>40</v>
      </c>
      <c r="I45" s="47">
        <f>+'Cons spec tot e finalizzati'!M45-'Cons spec tot e finalizzati'!N45</f>
        <v>174</v>
      </c>
      <c r="J45" s="47">
        <f>+'Cons spec tot e finalizzati'!O45-'Cons spec tot e finalizzati'!P45</f>
        <v>167</v>
      </c>
      <c r="K45" s="47">
        <f>+'Cons spec tot e finalizzati'!Q45-'Cons spec tot e finalizzati'!R45</f>
        <v>531</v>
      </c>
      <c r="L45" s="47">
        <f>+'Cons spec tot e finalizzati'!S45-'Cons spec tot e finalizzati'!T45</f>
        <v>174</v>
      </c>
      <c r="M45" s="47">
        <f>+'Cons spec tot e finalizzati'!U45-'Cons spec tot e finalizzati'!V45</f>
        <v>68</v>
      </c>
    </row>
    <row r="46" spans="1:13" s="2" customFormat="1" ht="12.75">
      <c r="A46" s="29"/>
      <c r="B46" s="24" t="s">
        <v>65</v>
      </c>
      <c r="C46" s="24"/>
      <c r="E46" s="72">
        <f>+'Cons spec tot e finalizzati'!E46-'Cons spec tot e finalizzati'!F46</f>
        <v>3040</v>
      </c>
      <c r="F46" s="56">
        <f>+'Cons spec tot e finalizzati'!G46-'Cons spec tot e finalizzati'!H46</f>
        <v>2927</v>
      </c>
      <c r="G46" s="72">
        <f>+'Cons spec tot e finalizzati'!I46-'Cons spec tot e finalizzati'!J46</f>
        <v>3266</v>
      </c>
      <c r="H46" s="56">
        <f>+'Cons spec tot e finalizzati'!K46-'Cons spec tot e finalizzati'!L46</f>
        <v>2383</v>
      </c>
      <c r="I46" s="56">
        <f>+'Cons spec tot e finalizzati'!M46-'Cons spec tot e finalizzati'!N46</f>
        <v>2614</v>
      </c>
      <c r="J46" s="56">
        <f>+'Cons spec tot e finalizzati'!O46-'Cons spec tot e finalizzati'!P46</f>
        <v>2781</v>
      </c>
      <c r="K46" s="56">
        <f>+'Cons spec tot e finalizzati'!Q46-'Cons spec tot e finalizzati'!R46</f>
        <v>2552</v>
      </c>
      <c r="L46" s="56">
        <f>+'Cons spec tot e finalizzati'!S46-'Cons spec tot e finalizzati'!T46</f>
        <v>2974</v>
      </c>
      <c r="M46" s="56">
        <f>+'Cons spec tot e finalizzati'!U46-'Cons spec tot e finalizzati'!V46</f>
        <v>3097</v>
      </c>
    </row>
    <row r="47" spans="1:13" s="2" customFormat="1" ht="12.75">
      <c r="A47" s="29"/>
      <c r="B47" s="24" t="s">
        <v>17</v>
      </c>
      <c r="C47" s="24"/>
      <c r="E47" s="72">
        <f>+'Cons spec tot e finalizzati'!E47-'Cons spec tot e finalizzati'!F47</f>
        <v>5737</v>
      </c>
      <c r="F47" s="72">
        <f>+'Cons spec tot e finalizzati'!G47-'Cons spec tot e finalizzati'!H47</f>
        <v>4902</v>
      </c>
      <c r="G47" s="72">
        <f>+'Cons spec tot e finalizzati'!I47-'Cons spec tot e finalizzati'!J47</f>
        <v>5786</v>
      </c>
      <c r="H47" s="56">
        <f>+'Cons spec tot e finalizzati'!K47-'Cons spec tot e finalizzati'!L47</f>
        <v>5480.412395998492</v>
      </c>
      <c r="I47" s="72">
        <f>+'Cons spec tot e finalizzati'!M47-'Cons spec tot e finalizzati'!N47</f>
        <v>5105</v>
      </c>
      <c r="J47" s="72">
        <f>+'Cons spec tot e finalizzati'!O47-'Cons spec tot e finalizzati'!P47</f>
        <v>5083</v>
      </c>
      <c r="K47" s="72">
        <f>+'Cons spec tot e finalizzati'!Q47-'Cons spec tot e finalizzati'!R47</f>
        <v>5135</v>
      </c>
      <c r="L47" s="72">
        <f>+'Cons spec tot e finalizzati'!S47-'Cons spec tot e finalizzati'!T47</f>
        <v>4471</v>
      </c>
      <c r="M47" s="72">
        <f>+'Cons spec tot e finalizzati'!U47-'Cons spec tot e finalizzati'!V47</f>
        <v>3024</v>
      </c>
    </row>
    <row r="48" spans="1:13" s="2" customFormat="1" ht="12.75">
      <c r="A48" s="122" t="s">
        <v>167</v>
      </c>
      <c r="B48" s="123"/>
      <c r="C48" s="123"/>
      <c r="D48" s="22"/>
      <c r="E48" s="70">
        <f>+'Cons spec tot e finalizzati'!E48-'Cons spec tot e finalizzati'!F48</f>
        <v>132</v>
      </c>
      <c r="F48" s="70">
        <f>+'Cons spec tot e finalizzati'!G48-'Cons spec tot e finalizzati'!H48</f>
        <v>150</v>
      </c>
      <c r="G48" s="84">
        <f>+'Cons spec tot e finalizzati'!I48-'Cons spec tot e finalizzati'!J48</f>
        <v>162</v>
      </c>
      <c r="H48" s="84">
        <f>+'Cons spec tot e finalizzati'!K48-'Cons spec tot e finalizzati'!L48</f>
        <v>169</v>
      </c>
      <c r="I48" s="70">
        <f>+'Cons spec tot e finalizzati'!M48-'Cons spec tot e finalizzati'!N48</f>
        <v>244</v>
      </c>
      <c r="J48" s="70">
        <f>+'Cons spec tot e finalizzati'!O48-'Cons spec tot e finalizzati'!P48</f>
        <v>304</v>
      </c>
      <c r="K48" s="70">
        <f>+'Cons spec tot e finalizzati'!Q48-'Cons spec tot e finalizzati'!R48</f>
        <v>227</v>
      </c>
      <c r="L48" s="70">
        <f>+'Cons spec tot e finalizzati'!S48-'Cons spec tot e finalizzati'!T48</f>
        <v>246</v>
      </c>
      <c r="M48" s="70">
        <f>+'Cons spec tot e finalizzati'!U48-'Cons spec tot e finalizzati'!V48</f>
        <v>146</v>
      </c>
    </row>
    <row r="49" spans="1:13" s="2" customFormat="1" ht="12.75">
      <c r="A49" s="122" t="s">
        <v>165</v>
      </c>
      <c r="B49" s="123"/>
      <c r="C49" s="123"/>
      <c r="D49" s="22"/>
      <c r="E49" s="70">
        <f>+'Cons spec tot e finalizzati'!E49-'Cons spec tot e finalizzati'!F49</f>
        <v>232</v>
      </c>
      <c r="F49" s="70">
        <f>+'Cons spec tot e finalizzati'!G49-'Cons spec tot e finalizzati'!H49</f>
        <v>540</v>
      </c>
      <c r="G49" s="84">
        <f>+'Cons spec tot e finalizzati'!I49-'Cons spec tot e finalizzati'!J49</f>
        <v>959</v>
      </c>
      <c r="H49" s="84">
        <f>+'Cons spec tot e finalizzati'!K49-'Cons spec tot e finalizzati'!L49</f>
        <v>876</v>
      </c>
      <c r="I49" s="70">
        <f>+'Cons spec tot e finalizzati'!M49-'Cons spec tot e finalizzati'!N49</f>
        <v>809</v>
      </c>
      <c r="J49" s="70">
        <f>+'Cons spec tot e finalizzati'!O49-'Cons spec tot e finalizzati'!P49</f>
        <v>395</v>
      </c>
      <c r="K49" s="70">
        <f>+'Cons spec tot e finalizzati'!Q49-'Cons spec tot e finalizzati'!R49</f>
        <v>668</v>
      </c>
      <c r="L49" s="70">
        <f>+'Cons spec tot e finalizzati'!S49-'Cons spec tot e finalizzati'!T49</f>
        <v>346</v>
      </c>
      <c r="M49" s="70">
        <f>+'Cons spec tot e finalizzati'!U49-'Cons spec tot e finalizzati'!V49</f>
        <v>340</v>
      </c>
    </row>
    <row r="50" spans="1:13" s="2" customFormat="1" ht="12.75">
      <c r="A50" s="130" t="s">
        <v>98</v>
      </c>
      <c r="B50" s="123"/>
      <c r="C50" s="123"/>
      <c r="D50" s="22"/>
      <c r="E50" s="71">
        <f>+'Cons spec tot e finalizzati'!E50-'Cons spec tot e finalizzati'!F50</f>
        <v>1330</v>
      </c>
      <c r="F50" s="71">
        <f>+'Cons spec tot e finalizzati'!G50-'Cons spec tot e finalizzati'!H50</f>
        <v>1417</v>
      </c>
      <c r="G50" s="71">
        <f>+'Cons spec tot e finalizzati'!I50-'Cons spec tot e finalizzati'!J50</f>
        <v>1272</v>
      </c>
      <c r="H50" s="71">
        <f>+'Cons spec tot e finalizzati'!K50-'Cons spec tot e finalizzati'!L50</f>
        <v>1568.769603412747</v>
      </c>
      <c r="I50" s="71">
        <f>+'Cons spec tot e finalizzati'!M50-'Cons spec tot e finalizzati'!N50</f>
        <v>1060</v>
      </c>
      <c r="J50" s="71">
        <f>+'Cons spec tot e finalizzati'!O50-'Cons spec tot e finalizzati'!P50</f>
        <v>863</v>
      </c>
      <c r="K50" s="71">
        <f>+'Cons spec tot e finalizzati'!Q50-'Cons spec tot e finalizzati'!R50</f>
        <v>724</v>
      </c>
      <c r="L50" s="71">
        <f>+'Cons spec tot e finalizzati'!S50-'Cons spec tot e finalizzati'!T50</f>
        <v>728</v>
      </c>
      <c r="M50" s="71">
        <f>+'Cons spec tot e finalizzati'!U50-'Cons spec tot e finalizzati'!V50</f>
        <v>413</v>
      </c>
    </row>
    <row r="51" spans="1:13" s="2" customFormat="1" ht="12.75">
      <c r="A51" s="9"/>
      <c r="B51" s="10" t="s">
        <v>8</v>
      </c>
      <c r="D51"/>
      <c r="E51" s="53">
        <f>+'Cons spec tot e finalizzati'!E51-'Cons spec tot e finalizzati'!F51</f>
        <v>891</v>
      </c>
      <c r="F51" s="53">
        <f>+'Cons spec tot e finalizzati'!G51-'Cons spec tot e finalizzati'!H51</f>
        <v>1127</v>
      </c>
      <c r="G51" s="47">
        <f>+'Cons spec tot e finalizzati'!I51-'Cons spec tot e finalizzati'!J51</f>
        <v>604</v>
      </c>
      <c r="H51" s="56">
        <f>+'Cons spec tot e finalizzati'!K51-'Cons spec tot e finalizzati'!L51</f>
        <v>559</v>
      </c>
      <c r="I51" s="47">
        <f>+'Cons spec tot e finalizzati'!M51-'Cons spec tot e finalizzati'!N51</f>
        <v>33</v>
      </c>
      <c r="J51" s="47">
        <f>+'Cons spec tot e finalizzati'!O51-'Cons spec tot e finalizzati'!P51</f>
        <v>5</v>
      </c>
      <c r="K51" s="47">
        <f>+'Cons spec tot e finalizzati'!Q51-'Cons spec tot e finalizzati'!R51</f>
        <v>36</v>
      </c>
      <c r="L51" s="47">
        <f>+'Cons spec tot e finalizzati'!S51-'Cons spec tot e finalizzati'!T51</f>
        <v>86</v>
      </c>
      <c r="M51" s="47">
        <f>+'Cons spec tot e finalizzati'!U51-'Cons spec tot e finalizzati'!V51</f>
        <v>45</v>
      </c>
    </row>
    <row r="52" spans="1:13" s="2" customFormat="1" ht="12.75">
      <c r="A52" s="9"/>
      <c r="B52" s="10" t="s">
        <v>107</v>
      </c>
      <c r="D52"/>
      <c r="E52" s="53">
        <f>+'Cons spec tot e finalizzati'!E52-'Cons spec tot e finalizzati'!F52</f>
        <v>0</v>
      </c>
      <c r="F52" s="53">
        <f>+'Cons spec tot e finalizzati'!G52-'Cons spec tot e finalizzati'!H52</f>
        <v>0</v>
      </c>
      <c r="G52" s="47">
        <f>+'Cons spec tot e finalizzati'!I52-'Cons spec tot e finalizzati'!J52</f>
        <v>491</v>
      </c>
      <c r="H52" s="56">
        <f>+'Cons spec tot e finalizzati'!K52-'Cons spec tot e finalizzati'!L52</f>
        <v>694.7696034127472</v>
      </c>
      <c r="I52" s="47">
        <f>+'Cons spec tot e finalizzati'!M52-'Cons spec tot e finalizzati'!N52</f>
        <v>709</v>
      </c>
      <c r="J52" s="47">
        <f>+'Cons spec tot e finalizzati'!O52-'Cons spec tot e finalizzati'!P52</f>
        <v>587</v>
      </c>
      <c r="K52" s="47">
        <f>+'Cons spec tot e finalizzati'!Q52-'Cons spec tot e finalizzati'!R52</f>
        <v>439</v>
      </c>
      <c r="L52" s="47">
        <f>+'Cons spec tot e finalizzati'!S52-'Cons spec tot e finalizzati'!T52</f>
        <v>552</v>
      </c>
      <c r="M52" s="47">
        <f>+'Cons spec tot e finalizzati'!U52-'Cons spec tot e finalizzati'!V52</f>
        <v>280</v>
      </c>
    </row>
    <row r="53" spans="1:13" s="2" customFormat="1" ht="12.75">
      <c r="A53" s="29"/>
      <c r="B53" s="24" t="s">
        <v>2</v>
      </c>
      <c r="C53" s="24"/>
      <c r="E53" s="73">
        <f>+'Cons spec tot e finalizzati'!E53-'Cons spec tot e finalizzati'!F53</f>
        <v>439</v>
      </c>
      <c r="F53" s="73">
        <f>+'Cons spec tot e finalizzati'!G53-'Cons spec tot e finalizzati'!H53</f>
        <v>290</v>
      </c>
      <c r="G53" s="73">
        <f>+'Cons spec tot e finalizzati'!I53-'Cons spec tot e finalizzati'!J53</f>
        <v>177</v>
      </c>
      <c r="H53" s="69">
        <f>+'Cons spec tot e finalizzati'!K53-'Cons spec tot e finalizzati'!L53</f>
        <v>315</v>
      </c>
      <c r="I53" s="73">
        <f>+'Cons spec tot e finalizzati'!M53-'Cons spec tot e finalizzati'!N53</f>
        <v>318</v>
      </c>
      <c r="J53" s="73">
        <f>+'Cons spec tot e finalizzati'!O53-'Cons spec tot e finalizzati'!P53</f>
        <v>271</v>
      </c>
      <c r="K53" s="73">
        <f>+'Cons spec tot e finalizzati'!Q53-'Cons spec tot e finalizzati'!R53</f>
        <v>249</v>
      </c>
      <c r="L53" s="73">
        <f>+'Cons spec tot e finalizzati'!S53-'Cons spec tot e finalizzati'!T53</f>
        <v>90</v>
      </c>
      <c r="M53" s="73">
        <f>+'Cons spec tot e finalizzati'!U53-'Cons spec tot e finalizzati'!V53</f>
        <v>88</v>
      </c>
    </row>
    <row r="54" spans="1:13" s="2" customFormat="1" ht="12.75">
      <c r="A54" s="162" t="s">
        <v>168</v>
      </c>
      <c r="B54" s="126"/>
      <c r="C54" s="126"/>
      <c r="D54" s="160"/>
      <c r="E54" s="161">
        <f>+'Cons spec tot e finalizzati'!E54-'Cons spec tot e finalizzati'!F54</f>
        <v>67673</v>
      </c>
      <c r="F54" s="161">
        <f>+'Cons spec tot e finalizzati'!G54-'Cons spec tot e finalizzati'!H54</f>
        <v>59509</v>
      </c>
      <c r="G54" s="161">
        <f>+'Cons spec tot e finalizzati'!I54-'Cons spec tot e finalizzati'!J54</f>
        <v>66583.5</v>
      </c>
      <c r="H54" s="161">
        <f>+'Cons spec tot e finalizzati'!K54-'Cons spec tot e finalizzati'!L54</f>
        <v>67419.05333450397</v>
      </c>
      <c r="I54" s="161">
        <f>+'Cons spec tot e finalizzati'!M54-'Cons spec tot e finalizzati'!N54</f>
        <v>71182</v>
      </c>
      <c r="J54" s="161">
        <f>+'Cons spec tot e finalizzati'!O54-'Cons spec tot e finalizzati'!P54</f>
        <v>74038</v>
      </c>
      <c r="K54" s="161">
        <f>+'Cons spec tot e finalizzati'!Q54-'Cons spec tot e finalizzati'!R54</f>
        <v>80647</v>
      </c>
      <c r="L54" s="161">
        <f>+'Cons spec tot e finalizzati'!S54-'Cons spec tot e finalizzati'!T54</f>
        <v>79719</v>
      </c>
      <c r="M54" s="161">
        <f>+'Cons spec tot e finalizzati'!U54-'Cons spec tot e finalizzati'!V54</f>
        <v>75878</v>
      </c>
    </row>
    <row r="55" spans="1:13" s="2" customFormat="1" ht="12.75">
      <c r="A55" s="159" t="s">
        <v>122</v>
      </c>
      <c r="B55" s="125"/>
      <c r="C55" s="125"/>
      <c r="D55" s="22"/>
      <c r="E55" s="71">
        <f>+'Cons spec tot e finalizzati'!E55-'Cons spec tot e finalizzati'!F55</f>
        <v>21982</v>
      </c>
      <c r="F55" s="71">
        <f>+'Cons spec tot e finalizzati'!G55-'Cons spec tot e finalizzati'!H55</f>
        <v>14315</v>
      </c>
      <c r="G55" s="71">
        <f>+'Cons spec tot e finalizzati'!I55-'Cons spec tot e finalizzati'!J55</f>
        <v>15831</v>
      </c>
      <c r="H55" s="71">
        <f>+'Cons spec tot e finalizzati'!K55-'Cons spec tot e finalizzati'!L55</f>
        <v>15788.754688137502</v>
      </c>
      <c r="I55" s="71">
        <f>+'Cons spec tot e finalizzati'!M55-'Cons spec tot e finalizzati'!N55</f>
        <v>14958</v>
      </c>
      <c r="J55" s="71">
        <f>+'Cons spec tot e finalizzati'!O55-'Cons spec tot e finalizzati'!P55</f>
        <v>15154</v>
      </c>
      <c r="K55" s="71">
        <f>+'Cons spec tot e finalizzati'!Q55-'Cons spec tot e finalizzati'!R55</f>
        <v>15324</v>
      </c>
      <c r="L55" s="71">
        <f>+'Cons spec tot e finalizzati'!S55-'Cons spec tot e finalizzati'!T55</f>
        <v>16643</v>
      </c>
      <c r="M55" s="71">
        <f>+'Cons spec tot e finalizzati'!U55-'Cons spec tot e finalizzati'!V55</f>
        <v>14965</v>
      </c>
    </row>
    <row r="56" spans="1:13" s="135" customFormat="1" ht="12.75">
      <c r="A56" s="29"/>
      <c r="B56" s="24" t="s">
        <v>134</v>
      </c>
      <c r="C56" s="2"/>
      <c r="D56" s="2"/>
      <c r="E56" s="137">
        <f>+'Cons spec tot e finalizzati'!E56-'Cons spec tot e finalizzati'!F56</f>
        <v>6828</v>
      </c>
      <c r="F56" s="137">
        <f>+'Cons spec tot e finalizzati'!G56-'Cons spec tot e finalizzati'!H56</f>
        <v>1553</v>
      </c>
      <c r="G56" s="137">
        <f>+'Cons spec tot e finalizzati'!I56-'Cons spec tot e finalizzati'!J56</f>
        <v>1732</v>
      </c>
      <c r="H56" s="137">
        <f>+'Cons spec tot e finalizzati'!K56-'Cons spec tot e finalizzati'!L56</f>
        <v>2434.6882924385545</v>
      </c>
      <c r="I56" s="137">
        <f>+'Cons spec tot e finalizzati'!M56-'Cons spec tot e finalizzati'!N56</f>
        <v>979</v>
      </c>
      <c r="J56" s="137">
        <f>+'Cons spec tot e finalizzati'!O56-'Cons spec tot e finalizzati'!P56</f>
        <v>685</v>
      </c>
      <c r="K56" s="137">
        <f>+'Cons spec tot e finalizzati'!Q56-'Cons spec tot e finalizzati'!R56</f>
        <v>523</v>
      </c>
      <c r="L56" s="137">
        <f>+'Cons spec tot e finalizzati'!S56-'Cons spec tot e finalizzati'!T56</f>
        <v>510</v>
      </c>
      <c r="M56" s="137">
        <f>+'Cons spec tot e finalizzati'!U56-'Cons spec tot e finalizzati'!V56</f>
        <v>565</v>
      </c>
    </row>
    <row r="57" spans="1:13" s="135" customFormat="1" ht="12.75">
      <c r="A57" s="29"/>
      <c r="B57" s="24" t="s">
        <v>58</v>
      </c>
      <c r="C57" s="2"/>
      <c r="D57" s="2"/>
      <c r="E57" s="137">
        <f>+'Cons spec tot e finalizzati'!E57-'Cons spec tot e finalizzati'!F57</f>
        <v>622</v>
      </c>
      <c r="F57" s="137">
        <f>+'Cons spec tot e finalizzati'!G57-'Cons spec tot e finalizzati'!H57</f>
        <v>570</v>
      </c>
      <c r="G57" s="137">
        <f>+'Cons spec tot e finalizzati'!I57-'Cons spec tot e finalizzati'!J57</f>
        <v>1387</v>
      </c>
      <c r="H57" s="137">
        <f>+'Cons spec tot e finalizzati'!K57-'Cons spec tot e finalizzati'!L57</f>
        <v>546.9487055007824</v>
      </c>
      <c r="I57" s="137">
        <f>+'Cons spec tot e finalizzati'!M57-'Cons spec tot e finalizzati'!N57</f>
        <v>1305</v>
      </c>
      <c r="J57" s="137">
        <f>+'Cons spec tot e finalizzati'!O57-'Cons spec tot e finalizzati'!P57</f>
        <v>1095</v>
      </c>
      <c r="K57" s="137">
        <f>+'Cons spec tot e finalizzati'!Q57-'Cons spec tot e finalizzati'!R57</f>
        <v>973</v>
      </c>
      <c r="L57" s="137">
        <f>+'Cons spec tot e finalizzati'!S57-'Cons spec tot e finalizzati'!T57</f>
        <v>1707</v>
      </c>
      <c r="M57" s="137">
        <f>+'Cons spec tot e finalizzati'!U57-'Cons spec tot e finalizzati'!V57</f>
        <v>385</v>
      </c>
    </row>
    <row r="58" spans="1:13" s="135" customFormat="1" ht="8.25">
      <c r="A58" s="136"/>
      <c r="C58" s="139" t="s">
        <v>11</v>
      </c>
      <c r="E58" s="137">
        <f>+'Cons spec tot e finalizzati'!E58-'Cons spec tot e finalizzati'!F58</f>
        <v>408</v>
      </c>
      <c r="F58" s="137">
        <f>+'Cons spec tot e finalizzati'!G58-'Cons spec tot e finalizzati'!H58</f>
        <v>362</v>
      </c>
      <c r="G58" s="137">
        <f>+'Cons spec tot e finalizzati'!I58-'Cons spec tot e finalizzati'!J58</f>
        <v>1240</v>
      </c>
      <c r="H58" s="137">
        <f>+'Cons spec tot e finalizzati'!K58-'Cons spec tot e finalizzati'!L58</f>
        <v>516</v>
      </c>
      <c r="I58" s="137">
        <f>+'Cons spec tot e finalizzati'!M58-'Cons spec tot e finalizzati'!N58</f>
        <v>1013</v>
      </c>
      <c r="J58" s="137">
        <f>+'Cons spec tot e finalizzati'!O58-'Cons spec tot e finalizzati'!P58</f>
        <v>533</v>
      </c>
      <c r="K58" s="137">
        <f>+'Cons spec tot e finalizzati'!Q58-'Cons spec tot e finalizzati'!R58</f>
        <v>684</v>
      </c>
      <c r="L58" s="137">
        <f>+'Cons spec tot e finalizzati'!S58-'Cons spec tot e finalizzati'!T58</f>
        <v>1638</v>
      </c>
      <c r="M58" s="137">
        <f>+'Cons spec tot e finalizzati'!U58-'Cons spec tot e finalizzati'!V58</f>
        <v>373</v>
      </c>
    </row>
    <row r="59" spans="1:13" s="135" customFormat="1" ht="8.25">
      <c r="A59" s="136"/>
      <c r="C59" s="139" t="s">
        <v>158</v>
      </c>
      <c r="E59" s="137">
        <f>+'Cons spec tot e finalizzati'!E59-'Cons spec tot e finalizzati'!F59</f>
        <v>0</v>
      </c>
      <c r="F59" s="137">
        <f>+'Cons spec tot e finalizzati'!G59-'Cons spec tot e finalizzati'!H59</f>
        <v>0</v>
      </c>
      <c r="G59" s="137">
        <f>+'Cons spec tot e finalizzati'!I59-'Cons spec tot e finalizzati'!J59</f>
        <v>0</v>
      </c>
      <c r="H59" s="137">
        <f>+'Cons spec tot e finalizzati'!K59-'Cons spec tot e finalizzati'!L59</f>
        <v>0</v>
      </c>
      <c r="I59" s="137">
        <f>+'Cons spec tot e finalizzati'!M59-'Cons spec tot e finalizzati'!N59</f>
        <v>0</v>
      </c>
      <c r="J59" s="137">
        <f>+'Cons spec tot e finalizzati'!O59-'Cons spec tot e finalizzati'!P59</f>
        <v>0</v>
      </c>
      <c r="K59" s="137">
        <f>+'Cons spec tot e finalizzati'!Q59-'Cons spec tot e finalizzati'!R59</f>
        <v>0</v>
      </c>
      <c r="L59" s="137">
        <f>+'Cons spec tot e finalizzati'!S59-'Cons spec tot e finalizzati'!T59</f>
        <v>0</v>
      </c>
      <c r="M59" s="137">
        <f>+'Cons spec tot e finalizzati'!U59-'Cons spec tot e finalizzati'!V59</f>
        <v>0</v>
      </c>
    </row>
    <row r="60" spans="1:13" s="2" customFormat="1" ht="12.75">
      <c r="A60" s="136"/>
      <c r="B60" s="135"/>
      <c r="C60" s="135" t="s">
        <v>88</v>
      </c>
      <c r="D60" s="135"/>
      <c r="E60" s="56">
        <f>+'Cons spec tot e finalizzati'!E60-'Cons spec tot e finalizzati'!F60</f>
        <v>212</v>
      </c>
      <c r="F60" s="56">
        <f>+'Cons spec tot e finalizzati'!G60-'Cons spec tot e finalizzati'!H60</f>
        <v>206</v>
      </c>
      <c r="G60" s="56">
        <f>+'Cons spec tot e finalizzati'!I60-'Cons spec tot e finalizzati'!J60</f>
        <v>145</v>
      </c>
      <c r="H60" s="56">
        <f>+'Cons spec tot e finalizzati'!K60-'Cons spec tot e finalizzati'!L60</f>
        <v>0.9487055007824097</v>
      </c>
      <c r="I60" s="56">
        <f>+'Cons spec tot e finalizzati'!M60-'Cons spec tot e finalizzati'!N60</f>
        <v>199</v>
      </c>
      <c r="J60" s="56">
        <f>+'Cons spec tot e finalizzati'!O60-'Cons spec tot e finalizzati'!P60</f>
        <v>258</v>
      </c>
      <c r="K60" s="56">
        <f>+'Cons spec tot e finalizzati'!Q60-'Cons spec tot e finalizzati'!R60</f>
        <v>64</v>
      </c>
      <c r="L60" s="56">
        <f>+'Cons spec tot e finalizzati'!S60-'Cons spec tot e finalizzati'!T60</f>
        <v>59</v>
      </c>
      <c r="M60" s="56">
        <f>+'Cons spec tot e finalizzati'!U60-'Cons spec tot e finalizzati'!V60</f>
        <v>3</v>
      </c>
    </row>
    <row r="61" spans="1:13" s="2" customFormat="1" ht="12.75">
      <c r="A61" s="136"/>
      <c r="B61" s="135"/>
      <c r="C61" s="135" t="s">
        <v>10</v>
      </c>
      <c r="D61" s="135"/>
      <c r="E61" s="56">
        <f>+'Cons spec tot e finalizzati'!E61-'Cons spec tot e finalizzati'!F61</f>
        <v>2</v>
      </c>
      <c r="F61" s="56">
        <f>+'Cons spec tot e finalizzati'!G61-'Cons spec tot e finalizzati'!H61</f>
        <v>2</v>
      </c>
      <c r="G61" s="56">
        <f>+'Cons spec tot e finalizzati'!I61-'Cons spec tot e finalizzati'!J61</f>
        <v>2</v>
      </c>
      <c r="H61" s="56">
        <f>+'Cons spec tot e finalizzati'!K61-'Cons spec tot e finalizzati'!L61</f>
        <v>30</v>
      </c>
      <c r="I61" s="56">
        <f>+'Cons spec tot e finalizzati'!M61-'Cons spec tot e finalizzati'!N61</f>
        <v>93</v>
      </c>
      <c r="J61" s="56">
        <f>+'Cons spec tot e finalizzati'!O61-'Cons spec tot e finalizzati'!P61</f>
        <v>304</v>
      </c>
      <c r="K61" s="56">
        <f>+'Cons spec tot e finalizzati'!Q61-'Cons spec tot e finalizzati'!R61</f>
        <v>225</v>
      </c>
      <c r="L61" s="56">
        <f>+'Cons spec tot e finalizzati'!S61-'Cons spec tot e finalizzati'!T61</f>
        <v>10</v>
      </c>
      <c r="M61" s="56">
        <f>+'Cons spec tot e finalizzati'!U61-'Cons spec tot e finalizzati'!V61</f>
        <v>9</v>
      </c>
    </row>
    <row r="62" spans="1:13" s="2" customFormat="1" ht="12.75">
      <c r="A62" s="29"/>
      <c r="B62" s="10" t="s">
        <v>135</v>
      </c>
      <c r="E62" s="56">
        <f>+'Cons spec tot e finalizzati'!E62-'Cons spec tot e finalizzati'!F62</f>
        <v>356</v>
      </c>
      <c r="F62" s="56">
        <f>+'Cons spec tot e finalizzati'!G62-'Cons spec tot e finalizzati'!H62</f>
        <v>491</v>
      </c>
      <c r="G62" s="56">
        <f>+'Cons spec tot e finalizzati'!I62-'Cons spec tot e finalizzati'!J62</f>
        <v>346</v>
      </c>
      <c r="H62" s="56">
        <f>+'Cons spec tot e finalizzati'!K62-'Cons spec tot e finalizzati'!L62</f>
        <v>369</v>
      </c>
      <c r="I62" s="56">
        <f>+'Cons spec tot e finalizzati'!M62-'Cons spec tot e finalizzati'!N62</f>
        <v>383</v>
      </c>
      <c r="J62" s="56">
        <f>+'Cons spec tot e finalizzati'!O62-'Cons spec tot e finalizzati'!P62</f>
        <v>441</v>
      </c>
      <c r="K62" s="56">
        <f>+'Cons spec tot e finalizzati'!Q62-'Cons spec tot e finalizzati'!R62</f>
        <v>488</v>
      </c>
      <c r="L62" s="56">
        <f>+'Cons spec tot e finalizzati'!S62-'Cons spec tot e finalizzati'!T62</f>
        <v>453</v>
      </c>
      <c r="M62" s="56">
        <f>+'Cons spec tot e finalizzati'!U62-'Cons spec tot e finalizzati'!V62</f>
        <v>381</v>
      </c>
    </row>
    <row r="63" spans="1:13" s="2" customFormat="1" ht="12.75">
      <c r="A63" s="141"/>
      <c r="B63" s="10" t="s">
        <v>136</v>
      </c>
      <c r="E63" s="53">
        <f>+'Cons spec tot e finalizzati'!E63-'Cons spec tot e finalizzati'!F63</f>
        <v>330</v>
      </c>
      <c r="F63" s="53">
        <f>+'Cons spec tot e finalizzati'!G63-'Cons spec tot e finalizzati'!H63</f>
        <v>77</v>
      </c>
      <c r="G63" s="53">
        <f>+'Cons spec tot e finalizzati'!I63-'Cons spec tot e finalizzati'!J63</f>
        <v>134</v>
      </c>
      <c r="H63" s="53">
        <f>+'Cons spec tot e finalizzati'!K63-'Cons spec tot e finalizzati'!L63</f>
        <v>38</v>
      </c>
      <c r="I63" s="53">
        <f>+'Cons spec tot e finalizzati'!M63-'Cons spec tot e finalizzati'!N63</f>
        <v>29</v>
      </c>
      <c r="J63" s="53">
        <f>+'Cons spec tot e finalizzati'!O63-'Cons spec tot e finalizzati'!P63</f>
        <v>136</v>
      </c>
      <c r="K63" s="53">
        <f>+'Cons spec tot e finalizzati'!Q63-'Cons spec tot e finalizzati'!R63</f>
        <v>104</v>
      </c>
      <c r="L63" s="53">
        <f>+'Cons spec tot e finalizzati'!S63-'Cons spec tot e finalizzati'!T63</f>
        <v>98</v>
      </c>
      <c r="M63" s="53">
        <f>+'Cons spec tot e finalizzati'!U63-'Cons spec tot e finalizzati'!V63</f>
        <v>0</v>
      </c>
    </row>
    <row r="64" spans="1:13" s="135" customFormat="1" ht="12.75">
      <c r="A64" s="29"/>
      <c r="B64" s="10" t="s">
        <v>137</v>
      </c>
      <c r="C64" s="2"/>
      <c r="D64" s="2"/>
      <c r="E64" s="137">
        <f>+'Cons spec tot e finalizzati'!E64-'Cons spec tot e finalizzati'!F64</f>
        <v>0</v>
      </c>
      <c r="F64" s="137">
        <f>+'Cons spec tot e finalizzati'!G64-'Cons spec tot e finalizzati'!H64</f>
        <v>1</v>
      </c>
      <c r="G64" s="137">
        <f>+'Cons spec tot e finalizzati'!I64-'Cons spec tot e finalizzati'!J64</f>
        <v>104</v>
      </c>
      <c r="H64" s="137">
        <f>+'Cons spec tot e finalizzati'!K64-'Cons spec tot e finalizzati'!L64</f>
        <v>0</v>
      </c>
      <c r="I64" s="137">
        <f>+'Cons spec tot e finalizzati'!M64-'Cons spec tot e finalizzati'!N64</f>
        <v>1</v>
      </c>
      <c r="J64" s="137">
        <f>+'Cons spec tot e finalizzati'!O64-'Cons spec tot e finalizzati'!P64</f>
        <v>0</v>
      </c>
      <c r="K64" s="137">
        <f>+'Cons spec tot e finalizzati'!Q64-'Cons spec tot e finalizzati'!R64</f>
        <v>67</v>
      </c>
      <c r="L64" s="137">
        <f>+'Cons spec tot e finalizzati'!S64-'Cons spec tot e finalizzati'!T64</f>
        <v>1</v>
      </c>
      <c r="M64" s="137">
        <f>+'Cons spec tot e finalizzati'!U64-'Cons spec tot e finalizzati'!V64</f>
        <v>1</v>
      </c>
    </row>
    <row r="65" spans="1:13" s="135" customFormat="1" ht="12.75">
      <c r="A65" s="29"/>
      <c r="B65" s="24" t="s">
        <v>138</v>
      </c>
      <c r="C65" s="2"/>
      <c r="D65" s="2"/>
      <c r="E65" s="137">
        <f>+'Cons spec tot e finalizzati'!E65-'Cons spec tot e finalizzati'!F65</f>
        <v>13846</v>
      </c>
      <c r="F65" s="137">
        <f>+'Cons spec tot e finalizzati'!G65-'Cons spec tot e finalizzati'!H65</f>
        <v>11623</v>
      </c>
      <c r="G65" s="137">
        <f>+'Cons spec tot e finalizzati'!I65-'Cons spec tot e finalizzati'!J65</f>
        <v>12128</v>
      </c>
      <c r="H65" s="137">
        <f>+'Cons spec tot e finalizzati'!K65-'Cons spec tot e finalizzati'!L65</f>
        <v>12400.117690198163</v>
      </c>
      <c r="I65" s="137">
        <f>+'Cons spec tot e finalizzati'!M65-'Cons spec tot e finalizzati'!N65</f>
        <v>12261</v>
      </c>
      <c r="J65" s="137">
        <f>+'Cons spec tot e finalizzati'!O65-'Cons spec tot e finalizzati'!P65</f>
        <v>12797</v>
      </c>
      <c r="K65" s="137">
        <f>+'Cons spec tot e finalizzati'!Q65-'Cons spec tot e finalizzati'!R65</f>
        <v>13169</v>
      </c>
      <c r="L65" s="137">
        <f>+'Cons spec tot e finalizzati'!S65-'Cons spec tot e finalizzati'!T65</f>
        <v>13874</v>
      </c>
      <c r="M65" s="137">
        <f>+'Cons spec tot e finalizzati'!U65-'Cons spec tot e finalizzati'!V65</f>
        <v>13633</v>
      </c>
    </row>
    <row r="66" spans="1:13" s="135" customFormat="1" ht="8.25">
      <c r="A66" s="136"/>
      <c r="C66" s="135" t="s">
        <v>139</v>
      </c>
      <c r="E66" s="137">
        <f>+'Cons spec tot e finalizzati'!E66-'Cons spec tot e finalizzati'!F66</f>
        <v>0</v>
      </c>
      <c r="F66" s="137">
        <f>+'Cons spec tot e finalizzati'!G66-'Cons spec tot e finalizzati'!H66</f>
        <v>0</v>
      </c>
      <c r="G66" s="137">
        <f>+'Cons spec tot e finalizzati'!I66-'Cons spec tot e finalizzati'!J66</f>
        <v>0</v>
      </c>
      <c r="H66" s="137">
        <f>+'Cons spec tot e finalizzati'!K66-'Cons spec tot e finalizzati'!L66</f>
        <v>0</v>
      </c>
      <c r="I66" s="137">
        <f>+'Cons spec tot e finalizzati'!M66-'Cons spec tot e finalizzati'!N66</f>
        <v>0</v>
      </c>
      <c r="J66" s="137">
        <f>+'Cons spec tot e finalizzati'!O66-'Cons spec tot e finalizzati'!P66</f>
        <v>197</v>
      </c>
      <c r="K66" s="137">
        <f>+'Cons spec tot e finalizzati'!Q66-'Cons spec tot e finalizzati'!R66</f>
        <v>188</v>
      </c>
      <c r="L66" s="137">
        <f>+'Cons spec tot e finalizzati'!S66-'Cons spec tot e finalizzati'!T66</f>
        <v>179</v>
      </c>
      <c r="M66" s="137">
        <f>+'Cons spec tot e finalizzati'!U66-'Cons spec tot e finalizzati'!V66</f>
        <v>37</v>
      </c>
    </row>
    <row r="67" spans="1:13" s="135" customFormat="1" ht="8.25">
      <c r="A67" s="136"/>
      <c r="C67" s="135" t="s">
        <v>104</v>
      </c>
      <c r="E67" s="137">
        <f>+'Cons spec tot e finalizzati'!E67-'Cons spec tot e finalizzati'!F67</f>
        <v>3782</v>
      </c>
      <c r="F67" s="137">
        <f>+'Cons spec tot e finalizzati'!G67-'Cons spec tot e finalizzati'!H67</f>
        <v>3318</v>
      </c>
      <c r="G67" s="137">
        <f>+'Cons spec tot e finalizzati'!I67-'Cons spec tot e finalizzati'!J67</f>
        <v>2177</v>
      </c>
      <c r="H67" s="137">
        <f>+'Cons spec tot e finalizzati'!K67-'Cons spec tot e finalizzati'!L67</f>
        <v>2440.8248384781045</v>
      </c>
      <c r="I67" s="137">
        <f>+'Cons spec tot e finalizzati'!M67-'Cons spec tot e finalizzati'!N67</f>
        <v>2975</v>
      </c>
      <c r="J67" s="137">
        <f>+'Cons spec tot e finalizzati'!O67-'Cons spec tot e finalizzati'!P67</f>
        <v>2629</v>
      </c>
      <c r="K67" s="137">
        <f>+'Cons spec tot e finalizzati'!Q67-'Cons spec tot e finalizzati'!R67</f>
        <v>2647</v>
      </c>
      <c r="L67" s="137">
        <f>+'Cons spec tot e finalizzati'!S67-'Cons spec tot e finalizzati'!T67</f>
        <v>2799</v>
      </c>
      <c r="M67" s="137">
        <f>+'Cons spec tot e finalizzati'!U67-'Cons spec tot e finalizzati'!V67</f>
        <v>2757</v>
      </c>
    </row>
    <row r="68" spans="1:13" s="135" customFormat="1" ht="8.25">
      <c r="A68" s="136"/>
      <c r="C68" s="135" t="s">
        <v>106</v>
      </c>
      <c r="E68" s="137">
        <f>+'Cons spec tot e finalizzati'!E68-'Cons spec tot e finalizzati'!F68</f>
        <v>6464</v>
      </c>
      <c r="F68" s="137">
        <f>+'Cons spec tot e finalizzati'!G68-'Cons spec tot e finalizzati'!H68</f>
        <v>5020</v>
      </c>
      <c r="G68" s="137">
        <f>+'Cons spec tot e finalizzati'!I68-'Cons spec tot e finalizzati'!J68</f>
        <v>6466</v>
      </c>
      <c r="H68" s="137">
        <f>+'Cons spec tot e finalizzati'!K68-'Cons spec tot e finalizzati'!L68</f>
        <v>4471.29285172006</v>
      </c>
      <c r="I68" s="137">
        <f>+'Cons spec tot e finalizzati'!M68-'Cons spec tot e finalizzati'!N68</f>
        <v>4221</v>
      </c>
      <c r="J68" s="137">
        <f>+'Cons spec tot e finalizzati'!O68-'Cons spec tot e finalizzati'!P68</f>
        <v>3435</v>
      </c>
      <c r="K68" s="137">
        <f>+'Cons spec tot e finalizzati'!Q68-'Cons spec tot e finalizzati'!R68</f>
        <v>3476</v>
      </c>
      <c r="L68" s="137">
        <f>+'Cons spec tot e finalizzati'!S68-'Cons spec tot e finalizzati'!T68</f>
        <v>3580</v>
      </c>
      <c r="M68" s="137">
        <f>+'Cons spec tot e finalizzati'!U68-'Cons spec tot e finalizzati'!V68</f>
        <v>3503</v>
      </c>
    </row>
    <row r="69" spans="1:13" s="135" customFormat="1" ht="8.25">
      <c r="A69" s="136"/>
      <c r="C69" s="135" t="s">
        <v>105</v>
      </c>
      <c r="E69" s="144">
        <f>+'Cons spec tot e finalizzati'!E69-'Cons spec tot e finalizzati'!F69</f>
        <v>0</v>
      </c>
      <c r="F69" s="144">
        <f>+'Cons spec tot e finalizzati'!G69-'Cons spec tot e finalizzati'!H69</f>
        <v>0</v>
      </c>
      <c r="G69" s="144">
        <f>+'Cons spec tot e finalizzati'!I69-'Cons spec tot e finalizzati'!J69</f>
        <v>0</v>
      </c>
      <c r="H69" s="144">
        <f>+'Cons spec tot e finalizzati'!K69-'Cons spec tot e finalizzati'!L69</f>
        <v>0</v>
      </c>
      <c r="I69" s="144">
        <f>+'Cons spec tot e finalizzati'!M69-'Cons spec tot e finalizzati'!N69</f>
        <v>154</v>
      </c>
      <c r="J69" s="144">
        <f>+'Cons spec tot e finalizzati'!O69-'Cons spec tot e finalizzati'!P69</f>
        <v>1372</v>
      </c>
      <c r="K69" s="144">
        <f>+'Cons spec tot e finalizzati'!Q69-'Cons spec tot e finalizzati'!R69</f>
        <v>1353</v>
      </c>
      <c r="L69" s="144">
        <f>+'Cons spec tot e finalizzati'!S69-'Cons spec tot e finalizzati'!T69</f>
        <v>1483</v>
      </c>
      <c r="M69" s="144">
        <f>+'Cons spec tot e finalizzati'!U69-'Cons spec tot e finalizzati'!V69</f>
        <v>1366</v>
      </c>
    </row>
    <row r="70" spans="1:13" s="135" customFormat="1" ht="8.25">
      <c r="A70" s="136"/>
      <c r="C70" s="135" t="s">
        <v>140</v>
      </c>
      <c r="E70" s="137">
        <f>+'Cons spec tot e finalizzati'!E70-'Cons spec tot e finalizzati'!F70</f>
        <v>0</v>
      </c>
      <c r="F70" s="137">
        <f>+'Cons spec tot e finalizzati'!G70-'Cons spec tot e finalizzati'!H70</f>
        <v>0</v>
      </c>
      <c r="G70" s="137">
        <f>+'Cons spec tot e finalizzati'!I70-'Cons spec tot e finalizzati'!J70</f>
        <v>0</v>
      </c>
      <c r="H70" s="137">
        <f>+'Cons spec tot e finalizzati'!K70-'Cons spec tot e finalizzati'!L70</f>
        <v>3904</v>
      </c>
      <c r="I70" s="137">
        <f>+'Cons spec tot e finalizzati'!M70-'Cons spec tot e finalizzati'!N70</f>
        <v>4911</v>
      </c>
      <c r="J70" s="137">
        <f>+'Cons spec tot e finalizzati'!O70-'Cons spec tot e finalizzati'!P70</f>
        <v>5164</v>
      </c>
      <c r="K70" s="137">
        <f>+'Cons spec tot e finalizzati'!Q70-'Cons spec tot e finalizzati'!R70</f>
        <v>5505</v>
      </c>
      <c r="L70" s="137">
        <f>+'Cons spec tot e finalizzati'!S70-'Cons spec tot e finalizzati'!T70</f>
        <v>5833</v>
      </c>
      <c r="M70" s="137">
        <f>+'Cons spec tot e finalizzati'!U70-'Cons spec tot e finalizzati'!V70</f>
        <v>5970</v>
      </c>
    </row>
    <row r="71" spans="1:13" s="135" customFormat="1" ht="8.25">
      <c r="A71" s="136"/>
      <c r="C71" s="165" t="s">
        <v>13</v>
      </c>
      <c r="D71" s="165"/>
      <c r="E71" s="144">
        <f>+'Cons spec tot e finalizzati'!E71-'Cons spec tot e finalizzati'!F71</f>
        <v>1979</v>
      </c>
      <c r="F71" s="144">
        <f>+'Cons spec tot e finalizzati'!G71-'Cons spec tot e finalizzati'!H71</f>
        <v>1770</v>
      </c>
      <c r="G71" s="144">
        <f>+'Cons spec tot e finalizzati'!I71-'Cons spec tot e finalizzati'!J71</f>
        <v>1708</v>
      </c>
      <c r="H71" s="144">
        <f>+'Cons spec tot e finalizzati'!K71-'Cons spec tot e finalizzati'!L71</f>
        <v>190</v>
      </c>
      <c r="I71" s="144">
        <f>+'Cons spec tot e finalizzati'!M71-'Cons spec tot e finalizzati'!N71</f>
        <v>0</v>
      </c>
      <c r="J71" s="144">
        <f>+'Cons spec tot e finalizzati'!O71-'Cons spec tot e finalizzati'!P71</f>
        <v>0</v>
      </c>
      <c r="K71" s="144">
        <f>+'Cons spec tot e finalizzati'!Q71-'Cons spec tot e finalizzati'!R71</f>
        <v>0</v>
      </c>
      <c r="L71" s="144">
        <f>+'Cons spec tot e finalizzati'!S71-'Cons spec tot e finalizzati'!T71</f>
        <v>0</v>
      </c>
      <c r="M71" s="144">
        <f>+'Cons spec tot e finalizzati'!U71-'Cons spec tot e finalizzati'!V71</f>
        <v>0</v>
      </c>
    </row>
    <row r="72" spans="1:13" s="135" customFormat="1" ht="8.25">
      <c r="A72" s="146"/>
      <c r="B72" s="147"/>
      <c r="C72" s="149" t="s">
        <v>14</v>
      </c>
      <c r="D72" s="149"/>
      <c r="E72" s="150">
        <f>+'Cons spec tot e finalizzati'!E72-'Cons spec tot e finalizzati'!F72</f>
        <v>1621</v>
      </c>
      <c r="F72" s="150">
        <f>+'Cons spec tot e finalizzati'!G72-'Cons spec tot e finalizzati'!H72</f>
        <v>1515</v>
      </c>
      <c r="G72" s="150">
        <f>+'Cons spec tot e finalizzati'!I72-'Cons spec tot e finalizzati'!J72</f>
        <v>1777</v>
      </c>
      <c r="H72" s="150">
        <f>+'Cons spec tot e finalizzati'!K72-'Cons spec tot e finalizzati'!L72</f>
        <v>1394</v>
      </c>
      <c r="I72" s="150">
        <f>+'Cons spec tot e finalizzati'!M72-'Cons spec tot e finalizzati'!N72</f>
        <v>0</v>
      </c>
      <c r="J72" s="150">
        <f>+'Cons spec tot e finalizzati'!O72-'Cons spec tot e finalizzati'!P72</f>
        <v>0</v>
      </c>
      <c r="K72" s="150">
        <f>+'Cons spec tot e finalizzati'!Q72-'Cons spec tot e finalizzati'!R72</f>
        <v>0</v>
      </c>
      <c r="L72" s="150">
        <f>+'Cons spec tot e finalizzati'!S72-'Cons spec tot e finalizzati'!T72</f>
        <v>0</v>
      </c>
      <c r="M72" s="150">
        <f>+'Cons spec tot e finalizzati'!U72-'Cons spec tot e finalizzati'!V72</f>
        <v>0</v>
      </c>
    </row>
    <row r="73" spans="1:13" s="2" customFormat="1" ht="12.75">
      <c r="A73" s="159" t="s">
        <v>123</v>
      </c>
      <c r="B73" s="125"/>
      <c r="C73" s="125"/>
      <c r="D73" s="22"/>
      <c r="E73" s="71">
        <f>+'Cons spec tot e finalizzati'!E73-'Cons spec tot e finalizzati'!F73</f>
        <v>2306</v>
      </c>
      <c r="F73" s="71">
        <f>+'Cons spec tot e finalizzati'!G73-'Cons spec tot e finalizzati'!H73</f>
        <v>2535</v>
      </c>
      <c r="G73" s="71">
        <f>+'Cons spec tot e finalizzati'!I73-'Cons spec tot e finalizzati'!J73</f>
        <v>3345</v>
      </c>
      <c r="H73" s="71">
        <f>+'Cons spec tot e finalizzati'!K73-'Cons spec tot e finalizzati'!L73</f>
        <v>3101</v>
      </c>
      <c r="I73" s="71">
        <f>+'Cons spec tot e finalizzati'!M73-'Cons spec tot e finalizzati'!N73</f>
        <v>3006</v>
      </c>
      <c r="J73" s="71">
        <f>+'Cons spec tot e finalizzati'!O73-'Cons spec tot e finalizzati'!P73</f>
        <v>4384</v>
      </c>
      <c r="K73" s="71">
        <f>+'Cons spec tot e finalizzati'!Q73-'Cons spec tot e finalizzati'!R73</f>
        <v>6668</v>
      </c>
      <c r="L73" s="71">
        <f>+'Cons spec tot e finalizzati'!S73-'Cons spec tot e finalizzati'!T73</f>
        <v>6523</v>
      </c>
      <c r="M73" s="71">
        <f>+'Cons spec tot e finalizzati'!U73-'Cons spec tot e finalizzati'!V73</f>
        <v>10165</v>
      </c>
    </row>
    <row r="74" spans="1:13" s="2" customFormat="1" ht="12.75">
      <c r="A74" s="46"/>
      <c r="B74" s="10" t="s">
        <v>27</v>
      </c>
      <c r="C74" s="11"/>
      <c r="D74"/>
      <c r="E74" s="72">
        <f>+'Cons spec tot e finalizzati'!E74-'Cons spec tot e finalizzati'!F74</f>
        <v>969</v>
      </c>
      <c r="F74" s="72">
        <f>+'Cons spec tot e finalizzati'!G74-'Cons spec tot e finalizzati'!H74</f>
        <v>754</v>
      </c>
      <c r="G74" s="72">
        <f>+'Cons spec tot e finalizzati'!I74-'Cons spec tot e finalizzati'!J74</f>
        <v>711</v>
      </c>
      <c r="H74" s="56">
        <f>+'Cons spec tot e finalizzati'!K74-'Cons spec tot e finalizzati'!L74</f>
        <v>1413</v>
      </c>
      <c r="I74" s="72">
        <f>+'Cons spec tot e finalizzati'!M74-'Cons spec tot e finalizzati'!N74</f>
        <v>1010</v>
      </c>
      <c r="J74" s="72">
        <f>+'Cons spec tot e finalizzati'!O74-'Cons spec tot e finalizzati'!P74</f>
        <v>1281</v>
      </c>
      <c r="K74" s="72">
        <f>+'Cons spec tot e finalizzati'!Q74-'Cons spec tot e finalizzati'!R74</f>
        <v>1251</v>
      </c>
      <c r="L74" s="72">
        <f>+'Cons spec tot e finalizzati'!S74-'Cons spec tot e finalizzati'!T74</f>
        <v>1313</v>
      </c>
      <c r="M74" s="72">
        <f>+'Cons spec tot e finalizzati'!U74-'Cons spec tot e finalizzati'!V74</f>
        <v>1063</v>
      </c>
    </row>
    <row r="75" spans="1:13" s="2" customFormat="1" ht="12.75">
      <c r="A75" s="46"/>
      <c r="B75" s="10" t="s">
        <v>5</v>
      </c>
      <c r="C75" s="11"/>
      <c r="D75"/>
      <c r="E75" s="47">
        <f>+'Cons spec tot e finalizzati'!E75-'Cons spec tot e finalizzati'!F75</f>
        <v>98</v>
      </c>
      <c r="F75" s="47">
        <f>+'Cons spec tot e finalizzati'!G75-'Cons spec tot e finalizzati'!H75</f>
        <v>160</v>
      </c>
      <c r="G75" s="47">
        <f>+'Cons spec tot e finalizzati'!I75-'Cons spec tot e finalizzati'!J75</f>
        <v>124</v>
      </c>
      <c r="H75" s="56">
        <f>+'Cons spec tot e finalizzati'!K75-'Cons spec tot e finalizzati'!L75</f>
        <v>115</v>
      </c>
      <c r="I75" s="47">
        <f>+'Cons spec tot e finalizzati'!M75-'Cons spec tot e finalizzati'!N75</f>
        <v>92</v>
      </c>
      <c r="J75" s="47">
        <f>+'Cons spec tot e finalizzati'!O75-'Cons spec tot e finalizzati'!P75</f>
        <v>87</v>
      </c>
      <c r="K75" s="47">
        <f>+'Cons spec tot e finalizzati'!Q75-'Cons spec tot e finalizzati'!R75</f>
        <v>90</v>
      </c>
      <c r="L75" s="47">
        <f>+'Cons spec tot e finalizzati'!S75-'Cons spec tot e finalizzati'!T75</f>
        <v>89</v>
      </c>
      <c r="M75" s="47">
        <f>+'Cons spec tot e finalizzati'!U75-'Cons spec tot e finalizzati'!V75</f>
        <v>83</v>
      </c>
    </row>
    <row r="76" spans="1:13" s="2" customFormat="1" ht="12.75">
      <c r="A76" s="14"/>
      <c r="B76" s="10" t="s">
        <v>110</v>
      </c>
      <c r="C76" s="11"/>
      <c r="D76"/>
      <c r="E76" s="56">
        <f>+'Cons spec tot e finalizzati'!E76-'Cons spec tot e finalizzati'!F76</f>
        <v>0</v>
      </c>
      <c r="F76" s="56">
        <f>+'Cons spec tot e finalizzati'!G76-'Cons spec tot e finalizzati'!H76</f>
        <v>0</v>
      </c>
      <c r="G76" s="56">
        <f>+'Cons spec tot e finalizzati'!I76-'Cons spec tot e finalizzati'!J76</f>
        <v>0</v>
      </c>
      <c r="H76" s="56">
        <f>+'Cons spec tot e finalizzati'!K76-'Cons spec tot e finalizzati'!L76</f>
        <v>0</v>
      </c>
      <c r="I76" s="56">
        <f>+'Cons spec tot e finalizzati'!M76-'Cons spec tot e finalizzati'!N76</f>
        <v>142</v>
      </c>
      <c r="J76" s="56">
        <f>+'Cons spec tot e finalizzati'!O76-'Cons spec tot e finalizzati'!P76</f>
        <v>77</v>
      </c>
      <c r="K76" s="56">
        <f>+'Cons spec tot e finalizzati'!Q76-'Cons spec tot e finalizzati'!R76</f>
        <v>120</v>
      </c>
      <c r="L76" s="56">
        <f>+'Cons spec tot e finalizzati'!S76-'Cons spec tot e finalizzati'!T76</f>
        <v>130</v>
      </c>
      <c r="M76" s="56">
        <f>+'Cons spec tot e finalizzati'!U76-'Cons spec tot e finalizzati'!V76</f>
        <v>55</v>
      </c>
    </row>
    <row r="77" spans="1:13" s="2" customFormat="1" ht="12.75">
      <c r="A77" s="46"/>
      <c r="B77" s="10" t="s">
        <v>111</v>
      </c>
      <c r="C77" s="11"/>
      <c r="D77"/>
      <c r="E77" s="47">
        <f>+'Cons spec tot e finalizzati'!E77-'Cons spec tot e finalizzati'!F77</f>
        <v>723</v>
      </c>
      <c r="F77" s="47">
        <f>+'Cons spec tot e finalizzati'!G77-'Cons spec tot e finalizzati'!H77</f>
        <v>1163</v>
      </c>
      <c r="G77" s="47">
        <f>+'Cons spec tot e finalizzati'!I77-'Cons spec tot e finalizzati'!J77</f>
        <v>1963</v>
      </c>
      <c r="H77" s="56">
        <f>+'Cons spec tot e finalizzati'!K77-'Cons spec tot e finalizzati'!L77</f>
        <v>659</v>
      </c>
      <c r="I77" s="47">
        <f>+'Cons spec tot e finalizzati'!M77-'Cons spec tot e finalizzati'!N77</f>
        <v>1085</v>
      </c>
      <c r="J77" s="47">
        <f>+'Cons spec tot e finalizzati'!O77-'Cons spec tot e finalizzati'!P77</f>
        <v>2072</v>
      </c>
      <c r="K77" s="47">
        <f>+'Cons spec tot e finalizzati'!Q77-'Cons spec tot e finalizzati'!R77</f>
        <v>4200</v>
      </c>
      <c r="L77" s="47">
        <f>+'Cons spec tot e finalizzati'!S77-'Cons spec tot e finalizzati'!T77</f>
        <v>3789</v>
      </c>
      <c r="M77" s="47">
        <f>+'Cons spec tot e finalizzati'!U77-'Cons spec tot e finalizzati'!V77</f>
        <v>7963</v>
      </c>
    </row>
    <row r="78" spans="1:13" s="2" customFormat="1" ht="12.75">
      <c r="A78" s="62"/>
      <c r="B78" s="38" t="s">
        <v>112</v>
      </c>
      <c r="C78" s="36"/>
      <c r="E78" s="47">
        <f>+'Cons spec tot e finalizzati'!E78-'Cons spec tot e finalizzati'!F78</f>
        <v>516</v>
      </c>
      <c r="F78" s="47">
        <f>+'Cons spec tot e finalizzati'!G78-'Cons spec tot e finalizzati'!H78</f>
        <v>459</v>
      </c>
      <c r="G78" s="47">
        <f>+'Cons spec tot e finalizzati'!I78-'Cons spec tot e finalizzati'!J78</f>
        <v>547</v>
      </c>
      <c r="H78" s="56">
        <f>+'Cons spec tot e finalizzati'!K78-'Cons spec tot e finalizzati'!L78</f>
        <v>914</v>
      </c>
      <c r="I78" s="47">
        <f>+'Cons spec tot e finalizzati'!M78-'Cons spec tot e finalizzati'!N78</f>
        <v>677</v>
      </c>
      <c r="J78" s="47">
        <f>+'Cons spec tot e finalizzati'!O78-'Cons spec tot e finalizzati'!P78</f>
        <v>867</v>
      </c>
      <c r="K78" s="47">
        <f>+'Cons spec tot e finalizzati'!Q78-'Cons spec tot e finalizzati'!R78</f>
        <v>1007</v>
      </c>
      <c r="L78" s="47">
        <f>+'Cons spec tot e finalizzati'!S78-'Cons spec tot e finalizzati'!T78</f>
        <v>1202</v>
      </c>
      <c r="M78" s="47">
        <f>+'Cons spec tot e finalizzati'!U78-'Cons spec tot e finalizzati'!V78</f>
        <v>1001</v>
      </c>
    </row>
    <row r="79" spans="1:13" s="2" customFormat="1" ht="12.75">
      <c r="A79" s="122" t="s">
        <v>62</v>
      </c>
      <c r="B79" s="123"/>
      <c r="C79" s="123"/>
      <c r="D79" s="22"/>
      <c r="E79" s="70">
        <f>+'Cons spec tot e finalizzati'!E79-'Cons spec tot e finalizzati'!F79</f>
        <v>771</v>
      </c>
      <c r="F79" s="70">
        <f>+'Cons spec tot e finalizzati'!G79-'Cons spec tot e finalizzati'!H79</f>
        <v>784</v>
      </c>
      <c r="G79" s="84">
        <f>+'Cons spec tot e finalizzati'!I79-'Cons spec tot e finalizzati'!J79</f>
        <v>954</v>
      </c>
      <c r="H79" s="84">
        <f>+'Cons spec tot e finalizzati'!K79-'Cons spec tot e finalizzati'!L79</f>
        <v>1304</v>
      </c>
      <c r="I79" s="70">
        <f>+'Cons spec tot e finalizzati'!M79-'Cons spec tot e finalizzati'!N79</f>
        <v>1852</v>
      </c>
      <c r="J79" s="70">
        <f>+'Cons spec tot e finalizzati'!O79-'Cons spec tot e finalizzati'!P79</f>
        <v>3046</v>
      </c>
      <c r="K79" s="70">
        <f>+'Cons spec tot e finalizzati'!Q79-'Cons spec tot e finalizzati'!R79</f>
        <v>4516</v>
      </c>
      <c r="L79" s="70">
        <f>+'Cons spec tot e finalizzati'!S79-'Cons spec tot e finalizzati'!T79</f>
        <v>4841</v>
      </c>
      <c r="M79" s="70">
        <f>+'Cons spec tot e finalizzati'!U79-'Cons spec tot e finalizzati'!V79</f>
        <v>2727</v>
      </c>
    </row>
    <row r="80" spans="1:13" s="2" customFormat="1" ht="12.75">
      <c r="A80" s="167" t="s">
        <v>121</v>
      </c>
      <c r="B80" s="168"/>
      <c r="C80" s="168"/>
      <c r="D80" s="169"/>
      <c r="E80" s="70">
        <f>+'Cons spec tot e finalizzati'!E80-'Cons spec tot e finalizzati'!F80</f>
        <v>173</v>
      </c>
      <c r="F80" s="70">
        <f>+'Cons spec tot e finalizzati'!G80-'Cons spec tot e finalizzati'!H80</f>
        <v>172</v>
      </c>
      <c r="G80" s="84">
        <f>+'Cons spec tot e finalizzati'!I80-'Cons spec tot e finalizzati'!J80</f>
        <v>172</v>
      </c>
      <c r="H80" s="84">
        <f>+'Cons spec tot e finalizzati'!K80-'Cons spec tot e finalizzati'!L80</f>
        <v>131</v>
      </c>
      <c r="I80" s="70">
        <f>+'Cons spec tot e finalizzati'!M80-'Cons spec tot e finalizzati'!N80</f>
        <v>189</v>
      </c>
      <c r="J80" s="70">
        <f>+'Cons spec tot e finalizzati'!O80-'Cons spec tot e finalizzati'!P80</f>
        <v>240</v>
      </c>
      <c r="K80" s="70">
        <f>+'Cons spec tot e finalizzati'!Q80-'Cons spec tot e finalizzati'!R80</f>
        <v>264</v>
      </c>
      <c r="L80" s="70">
        <f>+'Cons spec tot e finalizzati'!S80-'Cons spec tot e finalizzati'!T80</f>
        <v>185</v>
      </c>
      <c r="M80" s="70">
        <f>+'Cons spec tot e finalizzati'!U80-'Cons spec tot e finalizzati'!V80</f>
        <v>126</v>
      </c>
    </row>
    <row r="81" spans="1:13" s="2" customFormat="1" ht="12.75">
      <c r="A81" s="159" t="s">
        <v>169</v>
      </c>
      <c r="B81" s="125"/>
      <c r="C81" s="125"/>
      <c r="D81" s="22"/>
      <c r="E81" s="71">
        <f>+'Cons spec tot e finalizzati'!E81-'Cons spec tot e finalizzati'!F81</f>
        <v>13880</v>
      </c>
      <c r="F81" s="71">
        <f>+'Cons spec tot e finalizzati'!G81-'Cons spec tot e finalizzati'!H81</f>
        <v>16112</v>
      </c>
      <c r="G81" s="71">
        <f>+'Cons spec tot e finalizzati'!I81-'Cons spec tot e finalizzati'!J81</f>
        <v>17732</v>
      </c>
      <c r="H81" s="71">
        <f>+'Cons spec tot e finalizzati'!K81-'Cons spec tot e finalizzati'!L81</f>
        <v>19729.298646366467</v>
      </c>
      <c r="I81" s="71">
        <f>+'Cons spec tot e finalizzati'!M81-'Cons spec tot e finalizzati'!N81</f>
        <v>18652</v>
      </c>
      <c r="J81" s="71">
        <f>+'Cons spec tot e finalizzati'!O81-'Cons spec tot e finalizzati'!P81</f>
        <v>19042</v>
      </c>
      <c r="K81" s="71">
        <f>+'Cons spec tot e finalizzati'!Q81-'Cons spec tot e finalizzati'!R81</f>
        <v>23386</v>
      </c>
      <c r="L81" s="71">
        <f>+'Cons spec tot e finalizzati'!S81-'Cons spec tot e finalizzati'!T81</f>
        <v>19899</v>
      </c>
      <c r="M81" s="71">
        <f>+'Cons spec tot e finalizzati'!U81-'Cons spec tot e finalizzati'!V81</f>
        <v>22710</v>
      </c>
    </row>
    <row r="82" spans="1:13" s="35" customFormat="1" ht="12.75">
      <c r="A82" s="29"/>
      <c r="B82" s="23" t="s">
        <v>27</v>
      </c>
      <c r="C82" s="2"/>
      <c r="D82" s="2"/>
      <c r="E82" s="93">
        <f>+'Cons spec tot e finalizzati'!E82-'Cons spec tot e finalizzati'!F82</f>
        <v>324</v>
      </c>
      <c r="F82" s="93">
        <f>+'Cons spec tot e finalizzati'!G82-'Cons spec tot e finalizzati'!H82</f>
        <v>395</v>
      </c>
      <c r="G82" s="93">
        <f>+'Cons spec tot e finalizzati'!I82-'Cons spec tot e finalizzati'!J82</f>
        <v>587</v>
      </c>
      <c r="H82" s="99">
        <f>+'Cons spec tot e finalizzati'!K82-'Cons spec tot e finalizzati'!L82</f>
        <v>910</v>
      </c>
      <c r="I82" s="93">
        <f>+'Cons spec tot e finalizzati'!M82-'Cons spec tot e finalizzati'!N82</f>
        <v>539</v>
      </c>
      <c r="J82" s="93">
        <f>+'Cons spec tot e finalizzati'!O82-'Cons spec tot e finalizzati'!P82</f>
        <v>377</v>
      </c>
      <c r="K82" s="93">
        <f>+'Cons spec tot e finalizzati'!Q82-'Cons spec tot e finalizzati'!R82</f>
        <v>386</v>
      </c>
      <c r="L82" s="93">
        <f>+'Cons spec tot e finalizzati'!S82-'Cons spec tot e finalizzati'!T82</f>
        <v>218</v>
      </c>
      <c r="M82" s="93">
        <f>+'Cons spec tot e finalizzati'!U82-'Cons spec tot e finalizzati'!V82</f>
        <v>298</v>
      </c>
    </row>
    <row r="83" spans="1:13" s="2" customFormat="1" ht="12.75">
      <c r="A83" s="29"/>
      <c r="B83" s="23" t="s">
        <v>29</v>
      </c>
      <c r="E83" s="47">
        <f>+'Cons spec tot e finalizzati'!E83-'Cons spec tot e finalizzati'!F83</f>
        <v>4701</v>
      </c>
      <c r="F83" s="47">
        <f>+'Cons spec tot e finalizzati'!G83-'Cons spec tot e finalizzati'!H83</f>
        <v>5412</v>
      </c>
      <c r="G83" s="47">
        <f>+'Cons spec tot e finalizzati'!I83-'Cons spec tot e finalizzati'!J83</f>
        <v>5645</v>
      </c>
      <c r="H83" s="56">
        <f>+'Cons spec tot e finalizzati'!K83-'Cons spec tot e finalizzati'!L83</f>
        <v>5456</v>
      </c>
      <c r="I83" s="47">
        <f>+'Cons spec tot e finalizzati'!M83-'Cons spec tot e finalizzati'!N83</f>
        <v>5293</v>
      </c>
      <c r="J83" s="47">
        <f>+'Cons spec tot e finalizzati'!O83-'Cons spec tot e finalizzati'!P83</f>
        <v>5311</v>
      </c>
      <c r="K83" s="47">
        <f>+'Cons spec tot e finalizzati'!Q83-'Cons spec tot e finalizzati'!R83</f>
        <v>6897</v>
      </c>
      <c r="L83" s="47">
        <f>+'Cons spec tot e finalizzati'!S83-'Cons spec tot e finalizzati'!T83</f>
        <v>6626</v>
      </c>
      <c r="M83" s="47">
        <f>+'Cons spec tot e finalizzati'!U83-'Cons spec tot e finalizzati'!V83</f>
        <v>7022</v>
      </c>
    </row>
    <row r="84" spans="1:13" s="2" customFormat="1" ht="12.75">
      <c r="A84" s="29"/>
      <c r="B84" s="23" t="s">
        <v>90</v>
      </c>
      <c r="E84" s="47">
        <f>+'Cons spec tot e finalizzati'!E84-'Cons spec tot e finalizzati'!F84</f>
        <v>0</v>
      </c>
      <c r="F84" s="47">
        <f>+'Cons spec tot e finalizzati'!G84-'Cons spec tot e finalizzati'!H84</f>
        <v>0</v>
      </c>
      <c r="G84" s="47">
        <f>+'Cons spec tot e finalizzati'!I84-'Cons spec tot e finalizzati'!J84</f>
        <v>0</v>
      </c>
      <c r="H84" s="56">
        <f>+'Cons spec tot e finalizzati'!K84-'Cons spec tot e finalizzati'!L84</f>
        <v>0</v>
      </c>
      <c r="I84" s="47">
        <f>+'Cons spec tot e finalizzati'!M84-'Cons spec tot e finalizzati'!N84</f>
        <v>848</v>
      </c>
      <c r="J84" s="47">
        <f>+'Cons spec tot e finalizzati'!O84-'Cons spec tot e finalizzati'!P84</f>
        <v>1406</v>
      </c>
      <c r="K84" s="47">
        <f>+'Cons spec tot e finalizzati'!Q84-'Cons spec tot e finalizzati'!R84</f>
        <v>1299</v>
      </c>
      <c r="L84" s="47">
        <f>+'Cons spec tot e finalizzati'!S84-'Cons spec tot e finalizzati'!T84</f>
        <v>373</v>
      </c>
      <c r="M84" s="47">
        <f>+'Cons spec tot e finalizzati'!U84-'Cons spec tot e finalizzati'!V84</f>
        <v>1074</v>
      </c>
    </row>
    <row r="85" spans="1:13" s="2" customFormat="1" ht="12.75">
      <c r="A85" s="29"/>
      <c r="B85" s="23" t="s">
        <v>89</v>
      </c>
      <c r="E85" s="47">
        <f>+'Cons spec tot e finalizzati'!E85-'Cons spec tot e finalizzati'!F85</f>
        <v>0</v>
      </c>
      <c r="F85" s="47">
        <f>+'Cons spec tot e finalizzati'!G85-'Cons spec tot e finalizzati'!H85</f>
        <v>0</v>
      </c>
      <c r="G85" s="47">
        <f>+'Cons spec tot e finalizzati'!I85-'Cons spec tot e finalizzati'!J85</f>
        <v>0</v>
      </c>
      <c r="H85" s="56">
        <f>+'Cons spec tot e finalizzati'!K85-'Cons spec tot e finalizzati'!L85</f>
        <v>0</v>
      </c>
      <c r="I85" s="47">
        <f>+'Cons spec tot e finalizzati'!M85-'Cons spec tot e finalizzati'!N85</f>
        <v>368</v>
      </c>
      <c r="J85" s="47">
        <f>+'Cons spec tot e finalizzati'!O85-'Cons spec tot e finalizzati'!P85</f>
        <v>490</v>
      </c>
      <c r="K85" s="47">
        <f>+'Cons spec tot e finalizzati'!Q85-'Cons spec tot e finalizzati'!R85</f>
        <v>238</v>
      </c>
      <c r="L85" s="47">
        <f>+'Cons spec tot e finalizzati'!S85-'Cons spec tot e finalizzati'!T85</f>
        <v>428</v>
      </c>
      <c r="M85" s="47">
        <f>+'Cons spec tot e finalizzati'!U85-'Cons spec tot e finalizzati'!V85</f>
        <v>286</v>
      </c>
    </row>
    <row r="86" spans="1:13" s="35" customFormat="1" ht="12.75">
      <c r="A86" s="120"/>
      <c r="B86" s="25" t="s">
        <v>85</v>
      </c>
      <c r="E86" s="93">
        <f>+'Cons spec tot e finalizzati'!E86-'Cons spec tot e finalizzati'!F86</f>
        <v>999</v>
      </c>
      <c r="F86" s="93">
        <f>+'Cons spec tot e finalizzati'!G86-'Cons spec tot e finalizzati'!H86</f>
        <v>950</v>
      </c>
      <c r="G86" s="93">
        <f>+'Cons spec tot e finalizzati'!I86-'Cons spec tot e finalizzati'!J86</f>
        <v>1126</v>
      </c>
      <c r="H86" s="99">
        <f>+'Cons spec tot e finalizzati'!K86-'Cons spec tot e finalizzati'!L86</f>
        <v>1576</v>
      </c>
      <c r="I86" s="93">
        <f>+'Cons spec tot e finalizzati'!M86-'Cons spec tot e finalizzati'!N86</f>
        <v>0</v>
      </c>
      <c r="J86" s="93">
        <f>+'Cons spec tot e finalizzati'!O86-'Cons spec tot e finalizzati'!P86</f>
        <v>0</v>
      </c>
      <c r="K86" s="93">
        <f>+'Cons spec tot e finalizzati'!Q86-'Cons spec tot e finalizzati'!R86</f>
        <v>0</v>
      </c>
      <c r="L86" s="93">
        <f>+'Cons spec tot e finalizzati'!S86-'Cons spec tot e finalizzati'!T86</f>
        <v>0</v>
      </c>
      <c r="M86" s="93">
        <f>+'Cons spec tot e finalizzati'!U86-'Cons spec tot e finalizzati'!V86</f>
        <v>0</v>
      </c>
    </row>
    <row r="87" spans="1:13" s="2" customFormat="1" ht="12.75">
      <c r="A87" s="29"/>
      <c r="B87" s="23" t="s">
        <v>30</v>
      </c>
      <c r="E87" s="47">
        <f>+'Cons spec tot e finalizzati'!E87-'Cons spec tot e finalizzati'!F87</f>
        <v>1683</v>
      </c>
      <c r="F87" s="53">
        <f>+'Cons spec tot e finalizzati'!G87-'Cons spec tot e finalizzati'!H87</f>
        <v>2231</v>
      </c>
      <c r="G87" s="47">
        <f>+'Cons spec tot e finalizzati'!I87-'Cons spec tot e finalizzati'!J87</f>
        <v>2584</v>
      </c>
      <c r="H87" s="56">
        <f>+'Cons spec tot e finalizzati'!K87-'Cons spec tot e finalizzati'!L87</f>
        <v>2394</v>
      </c>
      <c r="I87" s="53">
        <f>+'Cons spec tot e finalizzati'!M87-'Cons spec tot e finalizzati'!N87</f>
        <v>2604</v>
      </c>
      <c r="J87" s="53">
        <f>+'Cons spec tot e finalizzati'!O87-'Cons spec tot e finalizzati'!P87</f>
        <v>3044</v>
      </c>
      <c r="K87" s="53">
        <f>+'Cons spec tot e finalizzati'!Q87-'Cons spec tot e finalizzati'!R87</f>
        <v>3287</v>
      </c>
      <c r="L87" s="53">
        <f>+'Cons spec tot e finalizzati'!S87-'Cons spec tot e finalizzati'!T87</f>
        <v>3689</v>
      </c>
      <c r="M87" s="53">
        <f>+'Cons spec tot e finalizzati'!U87-'Cons spec tot e finalizzati'!V87</f>
        <v>3642</v>
      </c>
    </row>
    <row r="88" spans="1:13" s="2" customFormat="1" ht="12.75">
      <c r="A88" s="29"/>
      <c r="B88" s="23" t="s">
        <v>74</v>
      </c>
      <c r="E88" s="47">
        <f>+'Cons spec tot e finalizzati'!E88-'Cons spec tot e finalizzati'!F88</f>
        <v>2659</v>
      </c>
      <c r="F88" s="47">
        <f>+'Cons spec tot e finalizzati'!G88-'Cons spec tot e finalizzati'!H88</f>
        <v>3495</v>
      </c>
      <c r="G88" s="47">
        <f>+'Cons spec tot e finalizzati'!I88-'Cons spec tot e finalizzati'!J88</f>
        <v>4036</v>
      </c>
      <c r="H88" s="56">
        <f>+'Cons spec tot e finalizzati'!K88-'Cons spec tot e finalizzati'!L88</f>
        <v>4063</v>
      </c>
      <c r="I88" s="53">
        <f>+'Cons spec tot e finalizzati'!M88-'Cons spec tot e finalizzati'!N88</f>
        <v>4182</v>
      </c>
      <c r="J88" s="53">
        <f>+'Cons spec tot e finalizzati'!O88-'Cons spec tot e finalizzati'!P88</f>
        <v>4353</v>
      </c>
      <c r="K88" s="53">
        <f>+'Cons spec tot e finalizzati'!Q88-'Cons spec tot e finalizzati'!R88</f>
        <v>7233</v>
      </c>
      <c r="L88" s="53">
        <f>+'Cons spec tot e finalizzati'!S88-'Cons spec tot e finalizzati'!T88</f>
        <v>4796</v>
      </c>
      <c r="M88" s="53">
        <f>+'Cons spec tot e finalizzati'!U88-'Cons spec tot e finalizzati'!V88</f>
        <v>7024</v>
      </c>
    </row>
    <row r="89" spans="1:13" s="2" customFormat="1" ht="12.75">
      <c r="A89" s="29"/>
      <c r="B89" s="23" t="s">
        <v>91</v>
      </c>
      <c r="E89" s="47">
        <f>+'Cons spec tot e finalizzati'!E89-'Cons spec tot e finalizzati'!F89</f>
        <v>1136</v>
      </c>
      <c r="F89" s="47">
        <f>+'Cons spec tot e finalizzati'!G89-'Cons spec tot e finalizzati'!H89</f>
        <v>1162</v>
      </c>
      <c r="G89" s="47">
        <f>+'Cons spec tot e finalizzati'!I89-'Cons spec tot e finalizzati'!J89</f>
        <v>915</v>
      </c>
      <c r="H89" s="56">
        <f>+'Cons spec tot e finalizzati'!K89-'Cons spec tot e finalizzati'!L89</f>
        <v>1697</v>
      </c>
      <c r="I89" s="53">
        <f>+'Cons spec tot e finalizzati'!M89-'Cons spec tot e finalizzati'!N89</f>
        <v>1978</v>
      </c>
      <c r="J89" s="53">
        <f>+'Cons spec tot e finalizzati'!O89-'Cons spec tot e finalizzati'!P89</f>
        <v>1924</v>
      </c>
      <c r="K89" s="53">
        <f>+'Cons spec tot e finalizzati'!Q89-'Cons spec tot e finalizzati'!R89</f>
        <v>2095</v>
      </c>
      <c r="L89" s="53">
        <f>+'Cons spec tot e finalizzati'!S89-'Cons spec tot e finalizzati'!T89</f>
        <v>2520</v>
      </c>
      <c r="M89" s="53">
        <f>+'Cons spec tot e finalizzati'!U89-'Cons spec tot e finalizzati'!V89</f>
        <v>2444</v>
      </c>
    </row>
    <row r="90" spans="1:13" s="2" customFormat="1" ht="12.75">
      <c r="A90" s="29"/>
      <c r="B90" s="23" t="s">
        <v>132</v>
      </c>
      <c r="C90" s="23"/>
      <c r="E90" s="47">
        <f>+'Cons spec tot e finalizzati'!E90-'Cons spec tot e finalizzati'!F90</f>
        <v>2183</v>
      </c>
      <c r="F90" s="47">
        <f>+'Cons spec tot e finalizzati'!G90-'Cons spec tot e finalizzati'!H90</f>
        <v>2169</v>
      </c>
      <c r="G90" s="47">
        <f>+'Cons spec tot e finalizzati'!I90-'Cons spec tot e finalizzati'!J90</f>
        <v>2576</v>
      </c>
      <c r="H90" s="56">
        <f>+'Cons spec tot e finalizzati'!K90-'Cons spec tot e finalizzati'!L90</f>
        <v>2654</v>
      </c>
      <c r="I90" s="53">
        <f>+'Cons spec tot e finalizzati'!M90-'Cons spec tot e finalizzati'!N90</f>
        <v>2007</v>
      </c>
      <c r="J90" s="53">
        <f>+'Cons spec tot e finalizzati'!O90-'Cons spec tot e finalizzati'!P90</f>
        <v>176</v>
      </c>
      <c r="K90" s="53">
        <f>+'Cons spec tot e finalizzati'!Q90-'Cons spec tot e finalizzati'!R90</f>
        <v>55</v>
      </c>
      <c r="L90" s="53">
        <f>+'Cons spec tot e finalizzati'!S90-'Cons spec tot e finalizzati'!T90</f>
        <v>2</v>
      </c>
      <c r="M90" s="53">
        <f>+'Cons spec tot e finalizzati'!U90-'Cons spec tot e finalizzati'!V90</f>
        <v>4</v>
      </c>
    </row>
    <row r="91" spans="1:13" s="2" customFormat="1" ht="12.75">
      <c r="A91" s="62"/>
      <c r="B91" s="38" t="s">
        <v>28</v>
      </c>
      <c r="C91" s="36"/>
      <c r="E91" s="47">
        <f>+'Cons spec tot e finalizzati'!E91-'Cons spec tot e finalizzati'!F91</f>
        <v>195</v>
      </c>
      <c r="F91" s="47">
        <f>+'Cons spec tot e finalizzati'!G91-'Cons spec tot e finalizzati'!H91</f>
        <v>298</v>
      </c>
      <c r="G91" s="47">
        <f>+'Cons spec tot e finalizzati'!I91-'Cons spec tot e finalizzati'!J91</f>
        <v>263</v>
      </c>
      <c r="H91" s="56">
        <f>+'Cons spec tot e finalizzati'!K91-'Cons spec tot e finalizzati'!L91</f>
        <v>979.2986463664674</v>
      </c>
      <c r="I91" s="47">
        <f>+'Cons spec tot e finalizzati'!M91-'Cons spec tot e finalizzati'!N91</f>
        <v>833</v>
      </c>
      <c r="J91" s="47">
        <f>+'Cons spec tot e finalizzati'!O91-'Cons spec tot e finalizzati'!P91</f>
        <v>1961</v>
      </c>
      <c r="K91" s="47">
        <f>+'Cons spec tot e finalizzati'!Q91-'Cons spec tot e finalizzati'!R91</f>
        <v>1896</v>
      </c>
      <c r="L91" s="47">
        <f>+'Cons spec tot e finalizzati'!S91-'Cons spec tot e finalizzati'!T91</f>
        <v>1247</v>
      </c>
      <c r="M91" s="47">
        <f>+'Cons spec tot e finalizzati'!U91-'Cons spec tot e finalizzati'!V91</f>
        <v>916</v>
      </c>
    </row>
    <row r="92" spans="1:13" s="2" customFormat="1" ht="12.75">
      <c r="A92" s="159" t="s">
        <v>170</v>
      </c>
      <c r="B92" s="125"/>
      <c r="C92" s="125"/>
      <c r="D92" s="22"/>
      <c r="E92" s="67">
        <f>+'Cons spec tot e finalizzati'!E92-'Cons spec tot e finalizzati'!F92</f>
        <v>1230</v>
      </c>
      <c r="F92" s="67">
        <f>+'Cons spec tot e finalizzati'!G92-'Cons spec tot e finalizzati'!H92</f>
        <v>1937</v>
      </c>
      <c r="G92" s="67">
        <f>+'Cons spec tot e finalizzati'!I92-'Cons spec tot e finalizzati'!J92</f>
        <v>2164</v>
      </c>
      <c r="H92" s="67">
        <f>+'Cons spec tot e finalizzati'!K92-'Cons spec tot e finalizzati'!L92</f>
        <v>2975</v>
      </c>
      <c r="I92" s="67">
        <f>+'Cons spec tot e finalizzati'!M92-'Cons spec tot e finalizzati'!N92</f>
        <v>4392</v>
      </c>
      <c r="J92" s="67">
        <f>+'Cons spec tot e finalizzati'!O92-'Cons spec tot e finalizzati'!P92</f>
        <v>4520</v>
      </c>
      <c r="K92" s="67">
        <f>+'Cons spec tot e finalizzati'!Q92-'Cons spec tot e finalizzati'!R92</f>
        <v>3514</v>
      </c>
      <c r="L92" s="67">
        <f>+'Cons spec tot e finalizzati'!S92-'Cons spec tot e finalizzati'!T92</f>
        <v>3917</v>
      </c>
      <c r="M92" s="67">
        <f>+'Cons spec tot e finalizzati'!U92-'Cons spec tot e finalizzati'!V92</f>
        <v>3935</v>
      </c>
    </row>
    <row r="93" spans="1:13" s="35" customFormat="1" ht="12.75">
      <c r="A93" s="29"/>
      <c r="B93" s="23" t="s">
        <v>27</v>
      </c>
      <c r="C93" s="2"/>
      <c r="D93" s="2"/>
      <c r="E93" s="93">
        <f>+'Cons spec tot e finalizzati'!E93-'Cons spec tot e finalizzati'!F93</f>
        <v>142</v>
      </c>
      <c r="F93" s="93">
        <f>+'Cons spec tot e finalizzati'!G93-'Cons spec tot e finalizzati'!H93</f>
        <v>183</v>
      </c>
      <c r="G93" s="93">
        <f>+'Cons spec tot e finalizzati'!I93-'Cons spec tot e finalizzati'!J93</f>
        <v>519</v>
      </c>
      <c r="H93" s="99">
        <f>+'Cons spec tot e finalizzati'!K93-'Cons spec tot e finalizzati'!L93</f>
        <v>343</v>
      </c>
      <c r="I93" s="93">
        <f>+'Cons spec tot e finalizzati'!M93-'Cons spec tot e finalizzati'!N93</f>
        <v>234</v>
      </c>
      <c r="J93" s="93">
        <f>+'Cons spec tot e finalizzati'!O93-'Cons spec tot e finalizzati'!P93</f>
        <v>99</v>
      </c>
      <c r="K93" s="93">
        <f>+'Cons spec tot e finalizzati'!Q93-'Cons spec tot e finalizzati'!R93</f>
        <v>110</v>
      </c>
      <c r="L93" s="93">
        <f>+'Cons spec tot e finalizzati'!S93-'Cons spec tot e finalizzati'!T93</f>
        <v>48</v>
      </c>
      <c r="M93" s="93">
        <f>+'Cons spec tot e finalizzati'!U93-'Cons spec tot e finalizzati'!V93</f>
        <v>54</v>
      </c>
    </row>
    <row r="94" spans="1:13" s="2" customFormat="1" ht="12.75">
      <c r="A94" s="29"/>
      <c r="B94" s="24" t="s">
        <v>66</v>
      </c>
      <c r="E94" s="53">
        <f>+'Cons spec tot e finalizzati'!E94-'Cons spec tot e finalizzati'!F94</f>
        <v>132</v>
      </c>
      <c r="F94" s="53">
        <f>+'Cons spec tot e finalizzati'!G94-'Cons spec tot e finalizzati'!H94</f>
        <v>749</v>
      </c>
      <c r="G94" s="48">
        <f>+'Cons spec tot e finalizzati'!I94-'Cons spec tot e finalizzati'!J94</f>
        <v>693</v>
      </c>
      <c r="H94" s="54">
        <f>+'Cons spec tot e finalizzati'!K94-'Cons spec tot e finalizzati'!L94</f>
        <v>733</v>
      </c>
      <c r="I94" s="48">
        <f>+'Cons spec tot e finalizzati'!M94-'Cons spec tot e finalizzati'!N94</f>
        <v>1671</v>
      </c>
      <c r="J94" s="47">
        <f>+'Cons spec tot e finalizzati'!O94-'Cons spec tot e finalizzati'!P94</f>
        <v>1664</v>
      </c>
      <c r="K94" s="48">
        <f>+'Cons spec tot e finalizzati'!Q94-'Cons spec tot e finalizzati'!R94</f>
        <v>1923</v>
      </c>
      <c r="L94" s="48">
        <f>+'Cons spec tot e finalizzati'!S94-'Cons spec tot e finalizzati'!T94</f>
        <v>2809</v>
      </c>
      <c r="M94" s="48">
        <f>+'Cons spec tot e finalizzati'!U94-'Cons spec tot e finalizzati'!V94</f>
        <v>3142</v>
      </c>
    </row>
    <row r="95" spans="1:13" s="2" customFormat="1" ht="12.75">
      <c r="A95" s="29"/>
      <c r="B95" s="23" t="s">
        <v>75</v>
      </c>
      <c r="E95" s="47">
        <f>+'Cons spec tot e finalizzati'!E95-'Cons spec tot e finalizzati'!F95</f>
        <v>114</v>
      </c>
      <c r="F95" s="47">
        <f>+'Cons spec tot e finalizzati'!G95-'Cons spec tot e finalizzati'!H95</f>
        <v>201</v>
      </c>
      <c r="G95" s="47">
        <f>+'Cons spec tot e finalizzati'!I95-'Cons spec tot e finalizzati'!J95</f>
        <v>178</v>
      </c>
      <c r="H95" s="56">
        <f>+'Cons spec tot e finalizzati'!K95-'Cons spec tot e finalizzati'!L95</f>
        <v>203</v>
      </c>
      <c r="I95" s="53">
        <f>+'Cons spec tot e finalizzati'!M95-'Cons spec tot e finalizzati'!N95</f>
        <v>116</v>
      </c>
      <c r="J95" s="53">
        <f>+'Cons spec tot e finalizzati'!O95-'Cons spec tot e finalizzati'!P95</f>
        <v>147</v>
      </c>
      <c r="K95" s="53">
        <f>+'Cons spec tot e finalizzati'!Q95-'Cons spec tot e finalizzati'!R95</f>
        <v>92</v>
      </c>
      <c r="L95" s="53">
        <f>+'Cons spec tot e finalizzati'!S95-'Cons spec tot e finalizzati'!T95</f>
        <v>86</v>
      </c>
      <c r="M95" s="53">
        <f>+'Cons spec tot e finalizzati'!U95-'Cons spec tot e finalizzati'!V95</f>
        <v>7</v>
      </c>
    </row>
    <row r="96" spans="1:13" s="2" customFormat="1" ht="12.75">
      <c r="A96" s="29"/>
      <c r="B96" s="23" t="s">
        <v>76</v>
      </c>
      <c r="E96" s="47">
        <f>+'Cons spec tot e finalizzati'!E96-'Cons spec tot e finalizzati'!F96</f>
        <v>339</v>
      </c>
      <c r="F96" s="47">
        <f>+'Cons spec tot e finalizzati'!G96-'Cons spec tot e finalizzati'!H96</f>
        <v>345</v>
      </c>
      <c r="G96" s="47">
        <f>+'Cons spec tot e finalizzati'!I96-'Cons spec tot e finalizzati'!J96</f>
        <v>350</v>
      </c>
      <c r="H96" s="56">
        <f>+'Cons spec tot e finalizzati'!K96-'Cons spec tot e finalizzati'!L96</f>
        <v>1269</v>
      </c>
      <c r="I96" s="53">
        <f>+'Cons spec tot e finalizzati'!M96-'Cons spec tot e finalizzati'!N96</f>
        <v>1660</v>
      </c>
      <c r="J96" s="53">
        <f>+'Cons spec tot e finalizzati'!O96-'Cons spec tot e finalizzati'!P96</f>
        <v>1941</v>
      </c>
      <c r="K96" s="53">
        <f>+'Cons spec tot e finalizzati'!Q96-'Cons spec tot e finalizzati'!R96</f>
        <v>815</v>
      </c>
      <c r="L96" s="53">
        <f>+'Cons spec tot e finalizzati'!S96-'Cons spec tot e finalizzati'!T96</f>
        <v>471</v>
      </c>
      <c r="M96" s="53">
        <f>+'Cons spec tot e finalizzati'!U96-'Cons spec tot e finalizzati'!V96</f>
        <v>623</v>
      </c>
    </row>
    <row r="97" spans="1:13" s="2" customFormat="1" ht="12.75">
      <c r="A97" s="29"/>
      <c r="B97" s="23" t="s">
        <v>82</v>
      </c>
      <c r="E97" s="47">
        <f>+'Cons spec tot e finalizzati'!E97-'Cons spec tot e finalizzati'!F97</f>
        <v>403</v>
      </c>
      <c r="F97" s="53">
        <f>+'Cons spec tot e finalizzati'!G97-'Cons spec tot e finalizzati'!H97</f>
        <v>402</v>
      </c>
      <c r="G97" s="47">
        <f>+'Cons spec tot e finalizzati'!I97-'Cons spec tot e finalizzati'!J97</f>
        <v>424</v>
      </c>
      <c r="H97" s="56">
        <f>+'Cons spec tot e finalizzati'!K97-'Cons spec tot e finalizzati'!L97</f>
        <v>427</v>
      </c>
      <c r="I97" s="47">
        <f>+'Cons spec tot e finalizzati'!M97-'Cons spec tot e finalizzati'!N97</f>
        <v>711</v>
      </c>
      <c r="J97" s="47">
        <f>+'Cons spec tot e finalizzati'!O97-'Cons spec tot e finalizzati'!P97</f>
        <v>669</v>
      </c>
      <c r="K97" s="47">
        <f>+'Cons spec tot e finalizzati'!Q97-'Cons spec tot e finalizzati'!R97</f>
        <v>557</v>
      </c>
      <c r="L97" s="47">
        <f>+'Cons spec tot e finalizzati'!S97-'Cons spec tot e finalizzati'!T97</f>
        <v>485</v>
      </c>
      <c r="M97" s="47">
        <f>+'Cons spec tot e finalizzati'!U97-'Cons spec tot e finalizzati'!V97</f>
        <v>107</v>
      </c>
    </row>
    <row r="98" spans="1:13" s="2" customFormat="1" ht="12.75">
      <c r="A98" s="29"/>
      <c r="B98" s="23" t="s">
        <v>171</v>
      </c>
      <c r="E98" s="47">
        <f>+'Cons spec tot e finalizzati'!E98-'Cons spec tot e finalizzati'!F98</f>
        <v>0</v>
      </c>
      <c r="F98" s="53">
        <f>+'Cons spec tot e finalizzati'!G98-'Cons spec tot e finalizzati'!H98</f>
        <v>0</v>
      </c>
      <c r="G98" s="47">
        <f>+'Cons spec tot e finalizzati'!I98-'Cons spec tot e finalizzati'!J98</f>
        <v>0</v>
      </c>
      <c r="H98" s="56">
        <f>+'Cons spec tot e finalizzati'!K98-'Cons spec tot e finalizzati'!L98</f>
        <v>0</v>
      </c>
      <c r="I98" s="47">
        <f>+'Cons spec tot e finalizzati'!M98-'Cons spec tot e finalizzati'!N98</f>
        <v>0</v>
      </c>
      <c r="J98" s="47">
        <f>+'Cons spec tot e finalizzati'!O98-'Cons spec tot e finalizzati'!P98</f>
        <v>0</v>
      </c>
      <c r="K98" s="47">
        <f>+'Cons spec tot e finalizzati'!Q98-'Cons spec tot e finalizzati'!R98</f>
        <v>17</v>
      </c>
      <c r="L98" s="47">
        <f>+'Cons spec tot e finalizzati'!S98-'Cons spec tot e finalizzati'!T98</f>
        <v>18</v>
      </c>
      <c r="M98" s="47">
        <f>+'Cons spec tot e finalizzati'!U98-'Cons spec tot e finalizzati'!V98</f>
        <v>2</v>
      </c>
    </row>
    <row r="99" spans="1:13" s="2" customFormat="1" ht="12.75">
      <c r="A99" s="37"/>
      <c r="B99" s="58" t="s">
        <v>67</v>
      </c>
      <c r="C99" s="40"/>
      <c r="D99" s="59"/>
      <c r="E99" s="47">
        <f>+'Cons spec tot e finalizzati'!E99-'Cons spec tot e finalizzati'!F99</f>
        <v>100</v>
      </c>
      <c r="F99" s="53">
        <f>+'Cons spec tot e finalizzati'!G99-'Cons spec tot e finalizzati'!H99</f>
        <v>57</v>
      </c>
      <c r="G99" s="47">
        <f>+'Cons spec tot e finalizzati'!I99-'Cons spec tot e finalizzati'!J99</f>
        <v>0</v>
      </c>
      <c r="H99" s="56">
        <f>+'Cons spec tot e finalizzati'!K99-'Cons spec tot e finalizzati'!L99</f>
        <v>0</v>
      </c>
      <c r="I99" s="47">
        <f>+'Cons spec tot e finalizzati'!M99-'Cons spec tot e finalizzati'!N99</f>
        <v>0</v>
      </c>
      <c r="J99" s="47">
        <f>+'Cons spec tot e finalizzati'!O99-'Cons spec tot e finalizzati'!P99</f>
        <v>0</v>
      </c>
      <c r="K99" s="47">
        <f>+'Cons spec tot e finalizzati'!Q99-'Cons spec tot e finalizzati'!R99</f>
        <v>0</v>
      </c>
      <c r="L99" s="47">
        <f>+'Cons spec tot e finalizzati'!S99-'Cons spec tot e finalizzati'!T99</f>
        <v>0</v>
      </c>
      <c r="M99" s="47">
        <f>+'Cons spec tot e finalizzati'!U99-'Cons spec tot e finalizzati'!V99</f>
        <v>0</v>
      </c>
    </row>
    <row r="100" spans="1:13" s="2" customFormat="1" ht="12.75">
      <c r="A100" s="159" t="s">
        <v>129</v>
      </c>
      <c r="B100" s="125"/>
      <c r="C100" s="125"/>
      <c r="D100" s="22"/>
      <c r="E100" s="67">
        <f>+'Cons spec tot e finalizzati'!E100-'Cons spec tot e finalizzati'!F100</f>
        <v>12740</v>
      </c>
      <c r="F100" s="67">
        <f>+'Cons spec tot e finalizzati'!G100-'Cons spec tot e finalizzati'!H100</f>
        <v>8824</v>
      </c>
      <c r="G100" s="67">
        <f>+'Cons spec tot e finalizzati'!I100-'Cons spec tot e finalizzati'!J100</f>
        <v>10784</v>
      </c>
      <c r="H100" s="67">
        <f>+'Cons spec tot e finalizzati'!K100-'Cons spec tot e finalizzati'!L100</f>
        <v>9942</v>
      </c>
      <c r="I100" s="67">
        <f>+'Cons spec tot e finalizzati'!M100-'Cons spec tot e finalizzati'!N100</f>
        <v>10372</v>
      </c>
      <c r="J100" s="67">
        <f>+'Cons spec tot e finalizzati'!O100-'Cons spec tot e finalizzati'!P100</f>
        <v>12735</v>
      </c>
      <c r="K100" s="67">
        <f>+'Cons spec tot e finalizzati'!Q100-'Cons spec tot e finalizzati'!R100</f>
        <v>12660</v>
      </c>
      <c r="L100" s="67">
        <f>+'Cons spec tot e finalizzati'!S100-'Cons spec tot e finalizzati'!T100</f>
        <v>11681</v>
      </c>
      <c r="M100" s="67">
        <f>+'Cons spec tot e finalizzati'!U100-'Cons spec tot e finalizzati'!V100</f>
        <v>8181</v>
      </c>
    </row>
    <row r="101" spans="1:13" s="2" customFormat="1" ht="12.75">
      <c r="A101" s="29"/>
      <c r="B101" s="24" t="s">
        <v>8</v>
      </c>
      <c r="E101" s="47">
        <f>+'Cons spec tot e finalizzati'!E101-'Cons spec tot e finalizzati'!F101</f>
        <v>190</v>
      </c>
      <c r="F101" s="53">
        <f>+'Cons spec tot e finalizzati'!G101-'Cons spec tot e finalizzati'!H101</f>
        <v>169</v>
      </c>
      <c r="G101" s="47">
        <f>+'Cons spec tot e finalizzati'!I101-'Cons spec tot e finalizzati'!J101</f>
        <v>265</v>
      </c>
      <c r="H101" s="56">
        <f>+'Cons spec tot e finalizzati'!K101-'Cons spec tot e finalizzati'!L101</f>
        <v>289</v>
      </c>
      <c r="I101" s="47">
        <f>+'Cons spec tot e finalizzati'!M101-'Cons spec tot e finalizzati'!N101</f>
        <v>113</v>
      </c>
      <c r="J101" s="47">
        <f>+'Cons spec tot e finalizzati'!O101-'Cons spec tot e finalizzati'!P101</f>
        <v>191</v>
      </c>
      <c r="K101" s="47">
        <f>+'Cons spec tot e finalizzati'!Q101-'Cons spec tot e finalizzati'!R101</f>
        <v>126</v>
      </c>
      <c r="L101" s="47">
        <f>+'Cons spec tot e finalizzati'!S101-'Cons spec tot e finalizzati'!T101</f>
        <v>122</v>
      </c>
      <c r="M101" s="47">
        <f>+'Cons spec tot e finalizzati'!U101-'Cons spec tot e finalizzati'!V101</f>
        <v>46</v>
      </c>
    </row>
    <row r="102" spans="1:13" s="2" customFormat="1" ht="12.75">
      <c r="A102" s="29"/>
      <c r="B102" s="24" t="s">
        <v>92</v>
      </c>
      <c r="E102" s="47">
        <f>+'Cons spec tot e finalizzati'!E102-'Cons spec tot e finalizzati'!F102</f>
        <v>4509</v>
      </c>
      <c r="F102" s="53">
        <f>+'Cons spec tot e finalizzati'!G102-'Cons spec tot e finalizzati'!H102</f>
        <v>805</v>
      </c>
      <c r="G102" s="47">
        <f>+'Cons spec tot e finalizzati'!I102-'Cons spec tot e finalizzati'!J102</f>
        <v>348</v>
      </c>
      <c r="H102" s="56">
        <f>+'Cons spec tot e finalizzati'!K102-'Cons spec tot e finalizzati'!L102</f>
        <v>1310</v>
      </c>
      <c r="I102" s="47">
        <f>+'Cons spec tot e finalizzati'!M102-'Cons spec tot e finalizzati'!N102</f>
        <v>1856</v>
      </c>
      <c r="J102" s="47">
        <f>+'Cons spec tot e finalizzati'!O102-'Cons spec tot e finalizzati'!P102</f>
        <v>2776</v>
      </c>
      <c r="K102" s="47">
        <f>+'Cons spec tot e finalizzati'!Q102-'Cons spec tot e finalizzati'!R102</f>
        <v>2574</v>
      </c>
      <c r="L102" s="47">
        <f>+'Cons spec tot e finalizzati'!S102-'Cons spec tot e finalizzati'!T102</f>
        <v>1461</v>
      </c>
      <c r="M102" s="47">
        <f>+'Cons spec tot e finalizzati'!U102-'Cons spec tot e finalizzati'!V102</f>
        <v>783</v>
      </c>
    </row>
    <row r="103" spans="1:13" s="2" customFormat="1" ht="12.75">
      <c r="A103" s="29"/>
      <c r="B103" s="24" t="s">
        <v>77</v>
      </c>
      <c r="E103" s="47">
        <f>+'Cons spec tot e finalizzati'!E103-'Cons spec tot e finalizzati'!F103</f>
        <v>1019</v>
      </c>
      <c r="F103" s="53">
        <f>+'Cons spec tot e finalizzati'!G103-'Cons spec tot e finalizzati'!H103</f>
        <v>451</v>
      </c>
      <c r="G103" s="47">
        <f>+'Cons spec tot e finalizzati'!I103-'Cons spec tot e finalizzati'!J103</f>
        <v>2143</v>
      </c>
      <c r="H103" s="56">
        <f>+'Cons spec tot e finalizzati'!K103-'Cons spec tot e finalizzati'!L103</f>
        <v>0</v>
      </c>
      <c r="I103" s="47">
        <f>+'Cons spec tot e finalizzati'!M103-'Cons spec tot e finalizzati'!N103</f>
        <v>0</v>
      </c>
      <c r="J103" s="47">
        <f>+'Cons spec tot e finalizzati'!O103-'Cons spec tot e finalizzati'!P103</f>
        <v>0</v>
      </c>
      <c r="K103" s="47">
        <f>+'Cons spec tot e finalizzati'!Q103-'Cons spec tot e finalizzati'!R103</f>
        <v>0</v>
      </c>
      <c r="L103" s="47">
        <f>+'Cons spec tot e finalizzati'!S103-'Cons spec tot e finalizzati'!T103</f>
        <v>0</v>
      </c>
      <c r="M103" s="47">
        <f>+'Cons spec tot e finalizzati'!U103-'Cons spec tot e finalizzati'!V103</f>
        <v>0</v>
      </c>
    </row>
    <row r="104" spans="1:13" s="2" customFormat="1" ht="12.75">
      <c r="A104" s="29"/>
      <c r="B104" s="24" t="s">
        <v>50</v>
      </c>
      <c r="E104" s="47">
        <f>+'Cons spec tot e finalizzati'!E104-'Cons spec tot e finalizzati'!F104</f>
        <v>2861</v>
      </c>
      <c r="F104" s="53">
        <f>+'Cons spec tot e finalizzati'!G104-'Cons spec tot e finalizzati'!H104</f>
        <v>3001</v>
      </c>
      <c r="G104" s="47">
        <f>+'Cons spec tot e finalizzati'!I104-'Cons spec tot e finalizzati'!J104</f>
        <v>3321</v>
      </c>
      <c r="H104" s="56">
        <f>+'Cons spec tot e finalizzati'!K104-'Cons spec tot e finalizzati'!L104</f>
        <v>2893</v>
      </c>
      <c r="I104" s="47">
        <f>+'Cons spec tot e finalizzati'!M104-'Cons spec tot e finalizzati'!N104</f>
        <v>2680</v>
      </c>
      <c r="J104" s="47">
        <f>+'Cons spec tot e finalizzati'!O104-'Cons spec tot e finalizzati'!P104</f>
        <v>2871</v>
      </c>
      <c r="K104" s="47">
        <f>+'Cons spec tot e finalizzati'!Q104-'Cons spec tot e finalizzati'!R104</f>
        <v>2871</v>
      </c>
      <c r="L104" s="47">
        <f>+'Cons spec tot e finalizzati'!S104-'Cons spec tot e finalizzati'!T104</f>
        <v>3098</v>
      </c>
      <c r="M104" s="47">
        <f>+'Cons spec tot e finalizzati'!U104-'Cons spec tot e finalizzati'!V104</f>
        <v>2811</v>
      </c>
    </row>
    <row r="105" spans="1:13" s="2" customFormat="1" ht="12.75">
      <c r="A105" s="29"/>
      <c r="B105" s="24" t="s">
        <v>18</v>
      </c>
      <c r="E105" s="47">
        <f>+'Cons spec tot e finalizzati'!E105-'Cons spec tot e finalizzati'!F105</f>
        <v>648</v>
      </c>
      <c r="F105" s="53">
        <f>+'Cons spec tot e finalizzati'!G105-'Cons spec tot e finalizzati'!H105</f>
        <v>725</v>
      </c>
      <c r="G105" s="47">
        <f>+'Cons spec tot e finalizzati'!I105-'Cons spec tot e finalizzati'!J105</f>
        <v>860</v>
      </c>
      <c r="H105" s="56">
        <f>+'Cons spec tot e finalizzati'!K105-'Cons spec tot e finalizzati'!L105</f>
        <v>755</v>
      </c>
      <c r="I105" s="47">
        <f>+'Cons spec tot e finalizzati'!M105-'Cons spec tot e finalizzati'!N105</f>
        <v>766</v>
      </c>
      <c r="J105" s="47">
        <f>+'Cons spec tot e finalizzati'!O105-'Cons spec tot e finalizzati'!P105</f>
        <v>606</v>
      </c>
      <c r="K105" s="47">
        <f>+'Cons spec tot e finalizzati'!Q105-'Cons spec tot e finalizzati'!R105</f>
        <v>642</v>
      </c>
      <c r="L105" s="47">
        <f>+'Cons spec tot e finalizzati'!S105-'Cons spec tot e finalizzati'!T105</f>
        <v>576</v>
      </c>
      <c r="M105" s="47">
        <f>+'Cons spec tot e finalizzati'!U105-'Cons spec tot e finalizzati'!V105</f>
        <v>250</v>
      </c>
    </row>
    <row r="106" spans="1:13" s="2" customFormat="1" ht="12.75">
      <c r="A106" s="29"/>
      <c r="B106" s="24" t="s">
        <v>124</v>
      </c>
      <c r="E106" s="47">
        <f>+'Cons spec tot e finalizzati'!E106-'Cons spec tot e finalizzati'!F106</f>
        <v>0</v>
      </c>
      <c r="F106" s="53">
        <f>+'Cons spec tot e finalizzati'!G106-'Cons spec tot e finalizzati'!H106</f>
        <v>0</v>
      </c>
      <c r="G106" s="47">
        <f>+'Cons spec tot e finalizzati'!I106-'Cons spec tot e finalizzati'!J106</f>
        <v>0</v>
      </c>
      <c r="H106" s="56">
        <f>+'Cons spec tot e finalizzati'!K106-'Cons spec tot e finalizzati'!L106</f>
        <v>0</v>
      </c>
      <c r="I106" s="47">
        <f>+'Cons spec tot e finalizzati'!M106-'Cons spec tot e finalizzati'!N106</f>
        <v>76</v>
      </c>
      <c r="J106" s="47">
        <f>+'Cons spec tot e finalizzati'!O106-'Cons spec tot e finalizzati'!P106</f>
        <v>129</v>
      </c>
      <c r="K106" s="47">
        <f>+'Cons spec tot e finalizzati'!Q106-'Cons spec tot e finalizzati'!R106</f>
        <v>420</v>
      </c>
      <c r="L106" s="47">
        <f>+'Cons spec tot e finalizzati'!S106-'Cons spec tot e finalizzati'!T106</f>
        <v>234</v>
      </c>
      <c r="M106" s="47">
        <f>+'Cons spec tot e finalizzati'!U106-'Cons spec tot e finalizzati'!V106</f>
        <v>157</v>
      </c>
    </row>
    <row r="107" spans="1:13" s="2" customFormat="1" ht="12.75">
      <c r="A107" s="29"/>
      <c r="B107" s="24" t="s">
        <v>78</v>
      </c>
      <c r="E107" s="47">
        <f>+'Cons spec tot e finalizzati'!E107-'Cons spec tot e finalizzati'!F107</f>
        <v>349</v>
      </c>
      <c r="F107" s="53">
        <f>+'Cons spec tot e finalizzati'!G107-'Cons spec tot e finalizzati'!H107</f>
        <v>588</v>
      </c>
      <c r="G107" s="47">
        <f>+'Cons spec tot e finalizzati'!I107-'Cons spec tot e finalizzati'!J107</f>
        <v>660</v>
      </c>
      <c r="H107" s="56">
        <f>+'Cons spec tot e finalizzati'!K107-'Cons spec tot e finalizzati'!L107</f>
        <v>1082</v>
      </c>
      <c r="I107" s="47">
        <f>+'Cons spec tot e finalizzati'!M107-'Cons spec tot e finalizzati'!N107</f>
        <v>1509</v>
      </c>
      <c r="J107" s="47">
        <f>+'Cons spec tot e finalizzati'!O107-'Cons spec tot e finalizzati'!P107</f>
        <v>2431</v>
      </c>
      <c r="K107" s="47">
        <f>+'Cons spec tot e finalizzati'!Q107-'Cons spec tot e finalizzati'!R107</f>
        <v>2063</v>
      </c>
      <c r="L107" s="47">
        <f>+'Cons spec tot e finalizzati'!S107-'Cons spec tot e finalizzati'!T107</f>
        <v>2324</v>
      </c>
      <c r="M107" s="47">
        <f>+'Cons spec tot e finalizzati'!U107-'Cons spec tot e finalizzati'!V107</f>
        <v>1890</v>
      </c>
    </row>
    <row r="108" spans="1:13" s="2" customFormat="1" ht="12.75">
      <c r="A108" s="29"/>
      <c r="B108" s="24" t="s">
        <v>19</v>
      </c>
      <c r="E108" s="47">
        <f>+'Cons spec tot e finalizzati'!E108-'Cons spec tot e finalizzati'!F108</f>
        <v>500</v>
      </c>
      <c r="F108" s="53">
        <f>+'Cons spec tot e finalizzati'!G108-'Cons spec tot e finalizzati'!H108</f>
        <v>410</v>
      </c>
      <c r="G108" s="47">
        <f>+'Cons spec tot e finalizzati'!I108-'Cons spec tot e finalizzati'!J108</f>
        <v>386</v>
      </c>
      <c r="H108" s="56">
        <f>+'Cons spec tot e finalizzati'!K108-'Cons spec tot e finalizzati'!L108</f>
        <v>457</v>
      </c>
      <c r="I108" s="47">
        <f>+'Cons spec tot e finalizzati'!M108-'Cons spec tot e finalizzati'!N108</f>
        <v>435</v>
      </c>
      <c r="J108" s="47">
        <f>+'Cons spec tot e finalizzati'!O108-'Cons spec tot e finalizzati'!P108</f>
        <v>432</v>
      </c>
      <c r="K108" s="47">
        <f>+'Cons spec tot e finalizzati'!Q108-'Cons spec tot e finalizzati'!R108</f>
        <v>298</v>
      </c>
      <c r="L108" s="47">
        <f>+'Cons spec tot e finalizzati'!S108-'Cons spec tot e finalizzati'!T108</f>
        <v>305</v>
      </c>
      <c r="M108" s="47">
        <f>+'Cons spec tot e finalizzati'!U108-'Cons spec tot e finalizzati'!V108</f>
        <v>184</v>
      </c>
    </row>
    <row r="109" spans="1:13" s="2" customFormat="1" ht="12.75">
      <c r="A109" s="29"/>
      <c r="B109" s="24" t="s">
        <v>20</v>
      </c>
      <c r="E109" s="47">
        <f>+'Cons spec tot e finalizzati'!E109-'Cons spec tot e finalizzati'!F109</f>
        <v>605</v>
      </c>
      <c r="F109" s="53">
        <f>+'Cons spec tot e finalizzati'!G109-'Cons spec tot e finalizzati'!H109</f>
        <v>617</v>
      </c>
      <c r="G109" s="47">
        <f>+'Cons spec tot e finalizzati'!I109-'Cons spec tot e finalizzati'!J109</f>
        <v>617</v>
      </c>
      <c r="H109" s="56">
        <f>+'Cons spec tot e finalizzati'!K109-'Cons spec tot e finalizzati'!L109</f>
        <v>746</v>
      </c>
      <c r="I109" s="47">
        <f>+'Cons spec tot e finalizzati'!M109-'Cons spec tot e finalizzati'!N109</f>
        <v>650</v>
      </c>
      <c r="J109" s="47">
        <f>+'Cons spec tot e finalizzati'!O109-'Cons spec tot e finalizzati'!P109</f>
        <v>620</v>
      </c>
      <c r="K109" s="47">
        <f>+'Cons spec tot e finalizzati'!Q109-'Cons spec tot e finalizzati'!R109</f>
        <v>508</v>
      </c>
      <c r="L109" s="47">
        <f>+'Cons spec tot e finalizzati'!S109-'Cons spec tot e finalizzati'!T109</f>
        <v>570</v>
      </c>
      <c r="M109" s="47">
        <f>+'Cons spec tot e finalizzati'!U109-'Cons spec tot e finalizzati'!V109</f>
        <v>342</v>
      </c>
    </row>
    <row r="110" spans="1:13" s="2" customFormat="1" ht="12.75">
      <c r="A110" s="29"/>
      <c r="B110" s="24" t="s">
        <v>21</v>
      </c>
      <c r="E110" s="47">
        <f>+'Cons spec tot e finalizzati'!E110-'Cons spec tot e finalizzati'!F110</f>
        <v>491</v>
      </c>
      <c r="F110" s="53">
        <f>+'Cons spec tot e finalizzati'!G110-'Cons spec tot e finalizzati'!H110</f>
        <v>491</v>
      </c>
      <c r="G110" s="47">
        <f>+'Cons spec tot e finalizzati'!I110-'Cons spec tot e finalizzati'!J110</f>
        <v>496</v>
      </c>
      <c r="H110" s="56">
        <f>+'Cons spec tot e finalizzati'!K110-'Cons spec tot e finalizzati'!L110</f>
        <v>491</v>
      </c>
      <c r="I110" s="47">
        <f>+'Cons spec tot e finalizzati'!M110-'Cons spec tot e finalizzati'!N110</f>
        <v>550</v>
      </c>
      <c r="J110" s="47">
        <f>+'Cons spec tot e finalizzati'!O110-'Cons spec tot e finalizzati'!P110</f>
        <v>641</v>
      </c>
      <c r="K110" s="47">
        <f>+'Cons spec tot e finalizzati'!Q110-'Cons spec tot e finalizzati'!R110</f>
        <v>842</v>
      </c>
      <c r="L110" s="47">
        <f>+'Cons spec tot e finalizzati'!S110-'Cons spec tot e finalizzati'!T110</f>
        <v>745</v>
      </c>
      <c r="M110" s="47">
        <f>+'Cons spec tot e finalizzati'!U110-'Cons spec tot e finalizzati'!V110</f>
        <v>380</v>
      </c>
    </row>
    <row r="111" spans="1:13" s="2" customFormat="1" ht="12.75">
      <c r="A111" s="29"/>
      <c r="B111" s="24" t="s">
        <v>22</v>
      </c>
      <c r="E111" s="47">
        <f>+'Cons spec tot e finalizzati'!E111-'Cons spec tot e finalizzati'!F111</f>
        <v>1149</v>
      </c>
      <c r="F111" s="53">
        <f>+'Cons spec tot e finalizzati'!G111-'Cons spec tot e finalizzati'!H111</f>
        <v>1136</v>
      </c>
      <c r="G111" s="47">
        <f>+'Cons spec tot e finalizzati'!I111-'Cons spec tot e finalizzati'!J111</f>
        <v>1134</v>
      </c>
      <c r="H111" s="56">
        <f>+'Cons spec tot e finalizzati'!K111-'Cons spec tot e finalizzati'!L111</f>
        <v>1134</v>
      </c>
      <c r="I111" s="49">
        <f>+'Cons spec tot e finalizzati'!M111-'Cons spec tot e finalizzati'!N111</f>
        <v>1053</v>
      </c>
      <c r="J111" s="53">
        <f>+'Cons spec tot e finalizzati'!O111-'Cons spec tot e finalizzati'!P111</f>
        <v>1144</v>
      </c>
      <c r="K111" s="49">
        <f>+'Cons spec tot e finalizzati'!Q111-'Cons spec tot e finalizzati'!R111</f>
        <v>1341</v>
      </c>
      <c r="L111" s="49">
        <f>+'Cons spec tot e finalizzati'!S111-'Cons spec tot e finalizzati'!T111</f>
        <v>1150</v>
      </c>
      <c r="M111" s="49">
        <f>+'Cons spec tot e finalizzati'!U111-'Cons spec tot e finalizzati'!V111</f>
        <v>620</v>
      </c>
    </row>
    <row r="112" spans="1:13" s="2" customFormat="1" ht="12.75">
      <c r="A112" s="29"/>
      <c r="B112" s="24" t="s">
        <v>23</v>
      </c>
      <c r="E112" s="47">
        <f>+'Cons spec tot e finalizzati'!E112-'Cons spec tot e finalizzati'!F112</f>
        <v>84</v>
      </c>
      <c r="F112" s="53">
        <f>+'Cons spec tot e finalizzati'!G112-'Cons spec tot e finalizzati'!H112</f>
        <v>97</v>
      </c>
      <c r="G112" s="47">
        <f>+'Cons spec tot e finalizzati'!I112-'Cons spec tot e finalizzati'!J112</f>
        <v>112</v>
      </c>
      <c r="H112" s="56">
        <f>+'Cons spec tot e finalizzati'!K112-'Cons spec tot e finalizzati'!L112</f>
        <v>134</v>
      </c>
      <c r="I112" s="49">
        <f>+'Cons spec tot e finalizzati'!M112-'Cons spec tot e finalizzati'!N112</f>
        <v>150</v>
      </c>
      <c r="J112" s="53">
        <f>+'Cons spec tot e finalizzati'!O112-'Cons spec tot e finalizzati'!P112</f>
        <v>151</v>
      </c>
      <c r="K112" s="49">
        <f>+'Cons spec tot e finalizzati'!Q112-'Cons spec tot e finalizzati'!R112</f>
        <v>141</v>
      </c>
      <c r="L112" s="49">
        <f>+'Cons spec tot e finalizzati'!S112-'Cons spec tot e finalizzati'!T112</f>
        <v>160</v>
      </c>
      <c r="M112" s="49">
        <f>+'Cons spec tot e finalizzati'!U112-'Cons spec tot e finalizzati'!V112</f>
        <v>76</v>
      </c>
    </row>
    <row r="113" spans="1:13" s="2" customFormat="1" ht="12.75">
      <c r="A113" s="29"/>
      <c r="B113" s="24" t="s">
        <v>24</v>
      </c>
      <c r="E113" s="56">
        <f>+'Cons spec tot e finalizzati'!E113-'Cons spec tot e finalizzati'!F113</f>
        <v>160</v>
      </c>
      <c r="F113" s="56">
        <f>+'Cons spec tot e finalizzati'!G113-'Cons spec tot e finalizzati'!H113</f>
        <v>142</v>
      </c>
      <c r="G113" s="72">
        <f>+'Cons spec tot e finalizzati'!I113-'Cons spec tot e finalizzati'!J113</f>
        <v>212</v>
      </c>
      <c r="H113" s="56">
        <f>+'Cons spec tot e finalizzati'!K113-'Cons spec tot e finalizzati'!L113</f>
        <v>167</v>
      </c>
      <c r="I113" s="56">
        <f>+'Cons spec tot e finalizzati'!M113-'Cons spec tot e finalizzati'!N113</f>
        <v>177</v>
      </c>
      <c r="J113" s="56">
        <f>+'Cons spec tot e finalizzati'!O113-'Cons spec tot e finalizzati'!P113</f>
        <v>191</v>
      </c>
      <c r="K113" s="56">
        <f>+'Cons spec tot e finalizzati'!Q113-'Cons spec tot e finalizzati'!R113</f>
        <v>303</v>
      </c>
      <c r="L113" s="56">
        <f>+'Cons spec tot e finalizzati'!S113-'Cons spec tot e finalizzati'!T113</f>
        <v>321</v>
      </c>
      <c r="M113" s="56">
        <f>+'Cons spec tot e finalizzati'!U113-'Cons spec tot e finalizzati'!V113</f>
        <v>278</v>
      </c>
    </row>
    <row r="114" spans="1:13" s="2" customFormat="1" ht="12.75">
      <c r="A114" s="29"/>
      <c r="B114" s="24" t="s">
        <v>79</v>
      </c>
      <c r="E114" s="53">
        <f>+'Cons spec tot e finalizzati'!E114-'Cons spec tot e finalizzati'!F114</f>
        <v>0</v>
      </c>
      <c r="F114" s="53">
        <f>+'Cons spec tot e finalizzati'!G114-'Cons spec tot e finalizzati'!H114</f>
        <v>0</v>
      </c>
      <c r="G114" s="47">
        <f>+'Cons spec tot e finalizzati'!I114-'Cons spec tot e finalizzati'!J114</f>
        <v>0</v>
      </c>
      <c r="H114" s="56">
        <f>+'Cons spec tot e finalizzati'!K114-'Cons spec tot e finalizzati'!L114</f>
        <v>79</v>
      </c>
      <c r="I114" s="53">
        <f>+'Cons spec tot e finalizzati'!M114-'Cons spec tot e finalizzati'!N114</f>
        <v>164</v>
      </c>
      <c r="J114" s="53">
        <f>+'Cons spec tot e finalizzati'!O114-'Cons spec tot e finalizzati'!P114</f>
        <v>184</v>
      </c>
      <c r="K114" s="53">
        <f>+'Cons spec tot e finalizzati'!Q114-'Cons spec tot e finalizzati'!R114</f>
        <v>252</v>
      </c>
      <c r="L114" s="53">
        <f>+'Cons spec tot e finalizzati'!S114-'Cons spec tot e finalizzati'!T114</f>
        <v>353</v>
      </c>
      <c r="M114" s="53">
        <f>+'Cons spec tot e finalizzati'!U114-'Cons spec tot e finalizzati'!V114</f>
        <v>240</v>
      </c>
    </row>
    <row r="115" spans="1:13" s="2" customFormat="1" ht="12.75">
      <c r="A115" s="29"/>
      <c r="B115" s="24" t="s">
        <v>80</v>
      </c>
      <c r="E115" s="53">
        <f>+'Cons spec tot e finalizzati'!E115-'Cons spec tot e finalizzati'!F115</f>
        <v>175</v>
      </c>
      <c r="F115" s="53">
        <f>+'Cons spec tot e finalizzati'!G115-'Cons spec tot e finalizzati'!H115</f>
        <v>192</v>
      </c>
      <c r="G115" s="47">
        <f>+'Cons spec tot e finalizzati'!I115-'Cons spec tot e finalizzati'!J115</f>
        <v>209</v>
      </c>
      <c r="H115" s="56">
        <f>+'Cons spec tot e finalizzati'!K115-'Cons spec tot e finalizzati'!L115</f>
        <v>174</v>
      </c>
      <c r="I115" s="53">
        <f>+'Cons spec tot e finalizzati'!M115-'Cons spec tot e finalizzati'!N115</f>
        <v>122</v>
      </c>
      <c r="J115" s="53">
        <f>+'Cons spec tot e finalizzati'!O115-'Cons spec tot e finalizzati'!P115</f>
        <v>99</v>
      </c>
      <c r="K115" s="53">
        <f>+'Cons spec tot e finalizzati'!Q115-'Cons spec tot e finalizzati'!R115</f>
        <v>54</v>
      </c>
      <c r="L115" s="53">
        <f>+'Cons spec tot e finalizzati'!S115-'Cons spec tot e finalizzati'!T115</f>
        <v>102</v>
      </c>
      <c r="M115" s="53">
        <f>+'Cons spec tot e finalizzati'!U115-'Cons spec tot e finalizzati'!V115</f>
        <v>24</v>
      </c>
    </row>
    <row r="116" spans="1:13" s="2" customFormat="1" ht="12.75">
      <c r="A116" s="29"/>
      <c r="B116" s="24" t="s">
        <v>176</v>
      </c>
      <c r="E116" s="53">
        <f>+'Cons spec tot e finalizzati'!E116-'Cons spec tot e finalizzati'!F116</f>
        <v>0</v>
      </c>
      <c r="F116" s="53">
        <f>+'Cons spec tot e finalizzati'!G116-'Cons spec tot e finalizzati'!H116</f>
        <v>0</v>
      </c>
      <c r="G116" s="47">
        <f>+'Cons spec tot e finalizzati'!I116-'Cons spec tot e finalizzati'!J116</f>
        <v>21</v>
      </c>
      <c r="H116" s="56">
        <f>+'Cons spec tot e finalizzati'!K116-'Cons spec tot e finalizzati'!L116</f>
        <v>231</v>
      </c>
      <c r="I116" s="53">
        <f>+'Cons spec tot e finalizzati'!M116-'Cons spec tot e finalizzati'!N116</f>
        <v>71</v>
      </c>
      <c r="J116" s="53">
        <f>+'Cons spec tot e finalizzati'!O116-'Cons spec tot e finalizzati'!P116</f>
        <v>269</v>
      </c>
      <c r="K116" s="53">
        <f>+'Cons spec tot e finalizzati'!Q116-'Cons spec tot e finalizzati'!R116</f>
        <v>225</v>
      </c>
      <c r="L116" s="53">
        <f>+'Cons spec tot e finalizzati'!S116-'Cons spec tot e finalizzati'!T116</f>
        <v>160</v>
      </c>
      <c r="M116" s="53">
        <f>+'Cons spec tot e finalizzati'!U116-'Cons spec tot e finalizzati'!V116</f>
        <v>100</v>
      </c>
    </row>
    <row r="117" spans="1:13" s="2" customFormat="1" ht="12.75">
      <c r="A117" s="130" t="s">
        <v>172</v>
      </c>
      <c r="B117" s="123"/>
      <c r="C117" s="123"/>
      <c r="D117" s="170"/>
      <c r="E117" s="67">
        <f>+'Cons spec tot e finalizzati'!E117-'Cons spec tot e finalizzati'!F117</f>
        <v>638</v>
      </c>
      <c r="F117" s="67">
        <f>+'Cons spec tot e finalizzati'!G117-'Cons spec tot e finalizzati'!H117</f>
        <v>774</v>
      </c>
      <c r="G117" s="67">
        <f>+'Cons spec tot e finalizzati'!I117-'Cons spec tot e finalizzati'!J117</f>
        <v>1239</v>
      </c>
      <c r="H117" s="67">
        <f>+'Cons spec tot e finalizzati'!K117-'Cons spec tot e finalizzati'!L117</f>
        <v>648</v>
      </c>
      <c r="I117" s="67">
        <f>+'Cons spec tot e finalizzati'!M117-'Cons spec tot e finalizzati'!N117</f>
        <v>931</v>
      </c>
      <c r="J117" s="67">
        <f>+'Cons spec tot e finalizzati'!O117-'Cons spec tot e finalizzati'!P117</f>
        <v>631</v>
      </c>
      <c r="K117" s="67">
        <f>+'Cons spec tot e finalizzati'!Q117-'Cons spec tot e finalizzati'!R117</f>
        <v>783</v>
      </c>
      <c r="L117" s="67">
        <f>+'Cons spec tot e finalizzati'!S117-'Cons spec tot e finalizzati'!T117</f>
        <v>591</v>
      </c>
      <c r="M117" s="67">
        <f>+'Cons spec tot e finalizzati'!U117-'Cons spec tot e finalizzati'!V117</f>
        <v>416</v>
      </c>
    </row>
    <row r="118" spans="1:13" s="2" customFormat="1" ht="12.75">
      <c r="A118" s="29"/>
      <c r="B118" s="24" t="s">
        <v>8</v>
      </c>
      <c r="E118" s="47">
        <f>+'Cons spec tot e finalizzati'!E118-'Cons spec tot e finalizzati'!F118</f>
        <v>206</v>
      </c>
      <c r="F118" s="53">
        <f>+'Cons spec tot e finalizzati'!G118-'Cons spec tot e finalizzati'!H118</f>
        <v>412</v>
      </c>
      <c r="G118" s="47">
        <f>+'Cons spec tot e finalizzati'!I118-'Cons spec tot e finalizzati'!J118</f>
        <v>502</v>
      </c>
      <c r="H118" s="56">
        <f>+'Cons spec tot e finalizzati'!K118-'Cons spec tot e finalizzati'!L118</f>
        <v>451</v>
      </c>
      <c r="I118" s="47">
        <f>+'Cons spec tot e finalizzati'!M118-'Cons spec tot e finalizzati'!N118</f>
        <v>500</v>
      </c>
      <c r="J118" s="47">
        <f>+'Cons spec tot e finalizzati'!O118-'Cons spec tot e finalizzati'!P118</f>
        <v>204</v>
      </c>
      <c r="K118" s="47">
        <f>+'Cons spec tot e finalizzati'!Q118-'Cons spec tot e finalizzati'!R118</f>
        <v>219</v>
      </c>
      <c r="L118" s="47">
        <f>+'Cons spec tot e finalizzati'!S118-'Cons spec tot e finalizzati'!T118</f>
        <v>145</v>
      </c>
      <c r="M118" s="47">
        <f>+'Cons spec tot e finalizzati'!U118-'Cons spec tot e finalizzati'!V118</f>
        <v>43</v>
      </c>
    </row>
    <row r="119" spans="1:13" s="2" customFormat="1" ht="12.75">
      <c r="A119" s="29"/>
      <c r="B119" s="24" t="s">
        <v>141</v>
      </c>
      <c r="E119" s="53">
        <f>+'Cons spec tot e finalizzati'!E119-'Cons spec tot e finalizzati'!F119</f>
        <v>414</v>
      </c>
      <c r="F119" s="53">
        <f>+'Cons spec tot e finalizzati'!G119-'Cons spec tot e finalizzati'!H119</f>
        <v>362</v>
      </c>
      <c r="G119" s="48">
        <f>+'Cons spec tot e finalizzati'!I119-'Cons spec tot e finalizzati'!J119</f>
        <v>737</v>
      </c>
      <c r="H119" s="54">
        <f>+'Cons spec tot e finalizzati'!K119-'Cons spec tot e finalizzati'!L119</f>
        <v>197</v>
      </c>
      <c r="I119" s="48">
        <f>+'Cons spec tot e finalizzati'!M119-'Cons spec tot e finalizzati'!N119</f>
        <v>68</v>
      </c>
      <c r="J119" s="47">
        <f>+'Cons spec tot e finalizzati'!O119-'Cons spec tot e finalizzati'!P119</f>
        <v>56</v>
      </c>
      <c r="K119" s="48">
        <f>+'Cons spec tot e finalizzati'!Q119-'Cons spec tot e finalizzati'!R119</f>
        <v>211</v>
      </c>
      <c r="L119" s="48">
        <f>+'Cons spec tot e finalizzati'!S119-'Cons spec tot e finalizzati'!T119</f>
        <v>150</v>
      </c>
      <c r="M119" s="48">
        <f>+'Cons spec tot e finalizzati'!U119-'Cons spec tot e finalizzati'!V119</f>
        <v>212</v>
      </c>
    </row>
    <row r="120" spans="1:13" s="2" customFormat="1" ht="12.75">
      <c r="A120" s="29"/>
      <c r="B120" s="24" t="s">
        <v>142</v>
      </c>
      <c r="E120" s="53">
        <f>+'Cons spec tot e finalizzati'!E120-'Cons spec tot e finalizzati'!F120</f>
        <v>18</v>
      </c>
      <c r="F120" s="53">
        <f>+'Cons spec tot e finalizzati'!G120-'Cons spec tot e finalizzati'!H120</f>
        <v>0</v>
      </c>
      <c r="G120" s="48">
        <f>+'Cons spec tot e finalizzati'!I120-'Cons spec tot e finalizzati'!J120</f>
        <v>0</v>
      </c>
      <c r="H120" s="54">
        <f>+'Cons spec tot e finalizzati'!K120-'Cons spec tot e finalizzati'!L120</f>
        <v>0</v>
      </c>
      <c r="I120" s="48">
        <f>+'Cons spec tot e finalizzati'!M120-'Cons spec tot e finalizzati'!N120</f>
        <v>260</v>
      </c>
      <c r="J120" s="47">
        <f>+'Cons spec tot e finalizzati'!O120-'Cons spec tot e finalizzati'!P120</f>
        <v>319</v>
      </c>
      <c r="K120" s="48">
        <f>+'Cons spec tot e finalizzati'!Q120-'Cons spec tot e finalizzati'!R120</f>
        <v>337</v>
      </c>
      <c r="L120" s="48">
        <f>+'Cons spec tot e finalizzati'!S120-'Cons spec tot e finalizzati'!T120</f>
        <v>270</v>
      </c>
      <c r="M120" s="48">
        <f>+'Cons spec tot e finalizzati'!U120-'Cons spec tot e finalizzati'!V120</f>
        <v>156</v>
      </c>
    </row>
    <row r="121" spans="1:13" s="2" customFormat="1" ht="12.75">
      <c r="A121" s="29"/>
      <c r="B121" s="24" t="s">
        <v>143</v>
      </c>
      <c r="E121" s="53">
        <f>+'Cons spec tot e finalizzati'!E121-'Cons spec tot e finalizzati'!F121</f>
        <v>0</v>
      </c>
      <c r="F121" s="53">
        <f>+'Cons spec tot e finalizzati'!G121-'Cons spec tot e finalizzati'!H121</f>
        <v>0</v>
      </c>
      <c r="G121" s="48">
        <f>+'Cons spec tot e finalizzati'!I121-'Cons spec tot e finalizzati'!J121</f>
        <v>0</v>
      </c>
      <c r="H121" s="54">
        <f>+'Cons spec tot e finalizzati'!K121-'Cons spec tot e finalizzati'!L121</f>
        <v>0</v>
      </c>
      <c r="I121" s="48">
        <f>+'Cons spec tot e finalizzati'!M121-'Cons spec tot e finalizzati'!N121</f>
        <v>0</v>
      </c>
      <c r="J121" s="47">
        <f>+'Cons spec tot e finalizzati'!O121-'Cons spec tot e finalizzati'!P121</f>
        <v>0</v>
      </c>
      <c r="K121" s="48">
        <f>+'Cons spec tot e finalizzati'!Q121-'Cons spec tot e finalizzati'!R121</f>
        <v>0</v>
      </c>
      <c r="L121" s="48">
        <f>+'Cons spec tot e finalizzati'!S121-'Cons spec tot e finalizzati'!T121</f>
        <v>0</v>
      </c>
      <c r="M121" s="48">
        <f>+'Cons spec tot e finalizzati'!U121-'Cons spec tot e finalizzati'!V121</f>
        <v>0</v>
      </c>
    </row>
    <row r="122" spans="1:13" s="35" customFormat="1" ht="12.75">
      <c r="A122" s="29"/>
      <c r="B122" s="24" t="s">
        <v>109</v>
      </c>
      <c r="C122" s="2"/>
      <c r="D122" s="2"/>
      <c r="E122" s="93">
        <f>+'Cons spec tot e finalizzati'!E122-'Cons spec tot e finalizzati'!F122</f>
        <v>0</v>
      </c>
      <c r="F122" s="93">
        <f>+'Cons spec tot e finalizzati'!G122-'Cons spec tot e finalizzati'!H122</f>
        <v>0</v>
      </c>
      <c r="G122" s="93">
        <f>+'Cons spec tot e finalizzati'!I122-'Cons spec tot e finalizzati'!J122</f>
        <v>0</v>
      </c>
      <c r="H122" s="99">
        <f>+'Cons spec tot e finalizzati'!K122-'Cons spec tot e finalizzati'!L122</f>
        <v>0</v>
      </c>
      <c r="I122" s="68">
        <f>+'Cons spec tot e finalizzati'!M122-'Cons spec tot e finalizzati'!N122</f>
        <v>103</v>
      </c>
      <c r="J122" s="68">
        <f>+'Cons spec tot e finalizzati'!O122-'Cons spec tot e finalizzati'!P122</f>
        <v>52</v>
      </c>
      <c r="K122" s="68">
        <f>+'Cons spec tot e finalizzati'!Q122-'Cons spec tot e finalizzati'!R122</f>
        <v>16</v>
      </c>
      <c r="L122" s="68">
        <f>+'Cons spec tot e finalizzati'!S122-'Cons spec tot e finalizzati'!T122</f>
        <v>26</v>
      </c>
      <c r="M122" s="68">
        <f>+'Cons spec tot e finalizzati'!U122-'Cons spec tot e finalizzati'!V122</f>
        <v>5</v>
      </c>
    </row>
    <row r="123" spans="1:13" s="2" customFormat="1" ht="12.75">
      <c r="A123" s="130" t="s">
        <v>173</v>
      </c>
      <c r="B123" s="123"/>
      <c r="C123" s="123"/>
      <c r="D123" s="170"/>
      <c r="E123" s="67">
        <f>+'Cons spec tot e finalizzati'!E123-'Cons spec tot e finalizzati'!F123</f>
        <v>4146</v>
      </c>
      <c r="F123" s="67">
        <f>+'Cons spec tot e finalizzati'!G123-'Cons spec tot e finalizzati'!H123</f>
        <v>4324</v>
      </c>
      <c r="G123" s="67">
        <f>+'Cons spec tot e finalizzati'!I123-'Cons spec tot e finalizzati'!J123</f>
        <v>4083</v>
      </c>
      <c r="H123" s="67">
        <f>+'Cons spec tot e finalizzati'!K123-'Cons spec tot e finalizzati'!L123</f>
        <v>4717</v>
      </c>
      <c r="I123" s="67">
        <f>+'Cons spec tot e finalizzati'!M123-'Cons spec tot e finalizzati'!N123</f>
        <v>4930</v>
      </c>
      <c r="J123" s="67">
        <f>+'Cons spec tot e finalizzati'!O123-'Cons spec tot e finalizzati'!P123</f>
        <v>5066</v>
      </c>
      <c r="K123" s="67">
        <f>+'Cons spec tot e finalizzati'!Q123-'Cons spec tot e finalizzati'!R123</f>
        <v>4867</v>
      </c>
      <c r="L123" s="67">
        <f>+'Cons spec tot e finalizzati'!S123-'Cons spec tot e finalizzati'!T123</f>
        <v>4796</v>
      </c>
      <c r="M123" s="67">
        <f>+'Cons spec tot e finalizzati'!U123-'Cons spec tot e finalizzati'!V123</f>
        <v>3539</v>
      </c>
    </row>
    <row r="124" spans="1:13" s="2" customFormat="1" ht="12.75">
      <c r="A124" s="29"/>
      <c r="B124" s="24" t="s">
        <v>8</v>
      </c>
      <c r="E124" s="47">
        <f>+'Cons spec tot e finalizzati'!E124-'Cons spec tot e finalizzati'!F124</f>
        <v>0</v>
      </c>
      <c r="F124" s="53">
        <f>+'Cons spec tot e finalizzati'!G124-'Cons spec tot e finalizzati'!H124</f>
        <v>0</v>
      </c>
      <c r="G124" s="47">
        <f>+'Cons spec tot e finalizzati'!I124-'Cons spec tot e finalizzati'!J124</f>
        <v>0</v>
      </c>
      <c r="H124" s="56">
        <f>+'Cons spec tot e finalizzati'!K124-'Cons spec tot e finalizzati'!L124</f>
        <v>0</v>
      </c>
      <c r="I124" s="47">
        <f>+'Cons spec tot e finalizzati'!M124-'Cons spec tot e finalizzati'!N124</f>
        <v>98</v>
      </c>
      <c r="J124" s="47">
        <f>+'Cons spec tot e finalizzati'!O124-'Cons spec tot e finalizzati'!P124</f>
        <v>112</v>
      </c>
      <c r="K124" s="47">
        <f>+'Cons spec tot e finalizzati'!Q124-'Cons spec tot e finalizzati'!R124</f>
        <v>67</v>
      </c>
      <c r="L124" s="47">
        <f>+'Cons spec tot e finalizzati'!S124-'Cons spec tot e finalizzati'!T124</f>
        <v>83</v>
      </c>
      <c r="M124" s="47">
        <f>+'Cons spec tot e finalizzati'!U124-'Cons spec tot e finalizzati'!V124</f>
        <v>43</v>
      </c>
    </row>
    <row r="125" spans="1:13" s="2" customFormat="1" ht="12.75">
      <c r="A125" s="29"/>
      <c r="B125" s="24" t="s">
        <v>93</v>
      </c>
      <c r="E125" s="53">
        <f>+'Cons spec tot e finalizzati'!E125-'Cons spec tot e finalizzati'!F125</f>
        <v>0</v>
      </c>
      <c r="F125" s="53">
        <f>+'Cons spec tot e finalizzati'!G125-'Cons spec tot e finalizzati'!H125</f>
        <v>0</v>
      </c>
      <c r="G125" s="48">
        <f>+'Cons spec tot e finalizzati'!I125-'Cons spec tot e finalizzati'!J125</f>
        <v>0</v>
      </c>
      <c r="H125" s="54">
        <f>+'Cons spec tot e finalizzati'!K125-'Cons spec tot e finalizzati'!L125</f>
        <v>0</v>
      </c>
      <c r="I125" s="48">
        <f>+'Cons spec tot e finalizzati'!M125-'Cons spec tot e finalizzati'!N125</f>
        <v>694</v>
      </c>
      <c r="J125" s="47">
        <f>+'Cons spec tot e finalizzati'!O125-'Cons spec tot e finalizzati'!P125</f>
        <v>576</v>
      </c>
      <c r="K125" s="48">
        <f>+'Cons spec tot e finalizzati'!Q125-'Cons spec tot e finalizzati'!R125</f>
        <v>495</v>
      </c>
      <c r="L125" s="48">
        <f>+'Cons spec tot e finalizzati'!S125-'Cons spec tot e finalizzati'!T125</f>
        <v>445</v>
      </c>
      <c r="M125" s="48">
        <f>+'Cons spec tot e finalizzati'!U125-'Cons spec tot e finalizzati'!V125</f>
        <v>242</v>
      </c>
    </row>
    <row r="126" spans="1:13" s="2" customFormat="1" ht="12.75">
      <c r="A126" s="29"/>
      <c r="B126" s="24" t="s">
        <v>94</v>
      </c>
      <c r="E126" s="53">
        <f>+'Cons spec tot e finalizzati'!E126-'Cons spec tot e finalizzati'!F126</f>
        <v>0</v>
      </c>
      <c r="F126" s="53">
        <f>+'Cons spec tot e finalizzati'!G126-'Cons spec tot e finalizzati'!H126</f>
        <v>0</v>
      </c>
      <c r="G126" s="48">
        <f>+'Cons spec tot e finalizzati'!I126-'Cons spec tot e finalizzati'!J126</f>
        <v>0</v>
      </c>
      <c r="H126" s="54">
        <f>+'Cons spec tot e finalizzati'!K126-'Cons spec tot e finalizzati'!L126</f>
        <v>0</v>
      </c>
      <c r="I126" s="48">
        <f>+'Cons spec tot e finalizzati'!M126-'Cons spec tot e finalizzati'!N126</f>
        <v>484</v>
      </c>
      <c r="J126" s="47">
        <f>+'Cons spec tot e finalizzati'!O126-'Cons spec tot e finalizzati'!P126</f>
        <v>337</v>
      </c>
      <c r="K126" s="48">
        <f>+'Cons spec tot e finalizzati'!Q126-'Cons spec tot e finalizzati'!R126</f>
        <v>500</v>
      </c>
      <c r="L126" s="48">
        <f>+'Cons spec tot e finalizzati'!S126-'Cons spec tot e finalizzati'!T126</f>
        <v>539</v>
      </c>
      <c r="M126" s="48">
        <f>+'Cons spec tot e finalizzati'!U126-'Cons spec tot e finalizzati'!V126</f>
        <v>423</v>
      </c>
    </row>
    <row r="127" spans="1:13" s="2" customFormat="1" ht="12.75">
      <c r="A127" s="120"/>
      <c r="B127" s="25" t="s">
        <v>83</v>
      </c>
      <c r="D127" s="35"/>
      <c r="E127" s="53">
        <f>+'Cons spec tot e finalizzati'!E127-'Cons spec tot e finalizzati'!F127</f>
        <v>945</v>
      </c>
      <c r="F127" s="53">
        <f>+'Cons spec tot e finalizzati'!G127-'Cons spec tot e finalizzati'!H127</f>
        <v>924</v>
      </c>
      <c r="G127" s="48">
        <f>+'Cons spec tot e finalizzati'!I127-'Cons spec tot e finalizzati'!J127</f>
        <v>892</v>
      </c>
      <c r="H127" s="54">
        <f>+'Cons spec tot e finalizzati'!K127-'Cons spec tot e finalizzati'!L127</f>
        <v>988</v>
      </c>
      <c r="I127" s="48">
        <f>+'Cons spec tot e finalizzati'!M127-'Cons spec tot e finalizzati'!N127</f>
        <v>0</v>
      </c>
      <c r="J127" s="47">
        <f>+'Cons spec tot e finalizzati'!O127-'Cons spec tot e finalizzati'!P127</f>
        <v>0</v>
      </c>
      <c r="K127" s="48">
        <f>+'Cons spec tot e finalizzati'!Q127-'Cons spec tot e finalizzati'!R127</f>
        <v>0</v>
      </c>
      <c r="L127" s="48">
        <f>+'Cons spec tot e finalizzati'!S127-'Cons spec tot e finalizzati'!T127</f>
        <v>0</v>
      </c>
      <c r="M127" s="48">
        <f>+'Cons spec tot e finalizzati'!U127-'Cons spec tot e finalizzati'!V127</f>
        <v>0</v>
      </c>
    </row>
    <row r="128" spans="1:13" s="2" customFormat="1" ht="12.75">
      <c r="A128" s="29"/>
      <c r="B128" s="23" t="s">
        <v>25</v>
      </c>
      <c r="C128" s="33"/>
      <c r="E128" s="53">
        <f>+'Cons spec tot e finalizzati'!E128-'Cons spec tot e finalizzati'!F128</f>
        <v>2971</v>
      </c>
      <c r="F128" s="53">
        <f>+'Cons spec tot e finalizzati'!G128-'Cons spec tot e finalizzati'!H128</f>
        <v>3104</v>
      </c>
      <c r="G128" s="48">
        <f>+'Cons spec tot e finalizzati'!I128-'Cons spec tot e finalizzati'!J128</f>
        <v>2996</v>
      </c>
      <c r="H128" s="54">
        <f>+'Cons spec tot e finalizzati'!K128-'Cons spec tot e finalizzati'!L128</f>
        <v>2871</v>
      </c>
      <c r="I128" s="48">
        <f>+'Cons spec tot e finalizzati'!M128-'Cons spec tot e finalizzati'!N128</f>
        <v>2737</v>
      </c>
      <c r="J128" s="47">
        <f>+'Cons spec tot e finalizzati'!O128-'Cons spec tot e finalizzati'!P128</f>
        <v>2543</v>
      </c>
      <c r="K128" s="48">
        <f>+'Cons spec tot e finalizzati'!Q128-'Cons spec tot e finalizzati'!R128</f>
        <v>2454</v>
      </c>
      <c r="L128" s="48">
        <f>+'Cons spec tot e finalizzati'!S128-'Cons spec tot e finalizzati'!T128</f>
        <v>2379</v>
      </c>
      <c r="M128" s="48">
        <f>+'Cons spec tot e finalizzati'!U128-'Cons spec tot e finalizzati'!V128</f>
        <v>2094</v>
      </c>
    </row>
    <row r="129" spans="1:13" s="2" customFormat="1" ht="12.75">
      <c r="A129" s="29"/>
      <c r="B129" s="23" t="s">
        <v>95</v>
      </c>
      <c r="C129" s="33"/>
      <c r="E129" s="47">
        <f>+'Cons spec tot e finalizzati'!E129-'Cons spec tot e finalizzati'!F129</f>
        <v>230</v>
      </c>
      <c r="F129" s="47">
        <f>+'Cons spec tot e finalizzati'!G129-'Cons spec tot e finalizzati'!H129</f>
        <v>296</v>
      </c>
      <c r="G129" s="47">
        <f>+'Cons spec tot e finalizzati'!I129-'Cons spec tot e finalizzati'!J129</f>
        <v>195</v>
      </c>
      <c r="H129" s="56">
        <f>+'Cons spec tot e finalizzati'!K129-'Cons spec tot e finalizzati'!L129</f>
        <v>255</v>
      </c>
      <c r="I129" s="47">
        <f>+'Cons spec tot e finalizzati'!M129-'Cons spec tot e finalizzati'!N129</f>
        <v>280</v>
      </c>
      <c r="J129" s="47">
        <f>+'Cons spec tot e finalizzati'!O129-'Cons spec tot e finalizzati'!P129</f>
        <v>286</v>
      </c>
      <c r="K129" s="47">
        <f>+'Cons spec tot e finalizzati'!Q129-'Cons spec tot e finalizzati'!R129</f>
        <v>286</v>
      </c>
      <c r="L129" s="47">
        <f>+'Cons spec tot e finalizzati'!S129-'Cons spec tot e finalizzati'!T129</f>
        <v>256</v>
      </c>
      <c r="M129" s="47">
        <f>+'Cons spec tot e finalizzati'!U129-'Cons spec tot e finalizzati'!V129</f>
        <v>83</v>
      </c>
    </row>
    <row r="130" spans="1:13" s="2" customFormat="1" ht="12.75">
      <c r="A130" s="29"/>
      <c r="B130" s="23" t="s">
        <v>144</v>
      </c>
      <c r="C130" s="33"/>
      <c r="E130" s="47">
        <f>+'Cons spec tot e finalizzati'!E130-'Cons spec tot e finalizzati'!F130</f>
        <v>0</v>
      </c>
      <c r="F130" s="47">
        <f>+'Cons spec tot e finalizzati'!G130-'Cons spec tot e finalizzati'!H130</f>
        <v>0</v>
      </c>
      <c r="G130" s="47">
        <f>+'Cons spec tot e finalizzati'!I130-'Cons spec tot e finalizzati'!J130</f>
        <v>0</v>
      </c>
      <c r="H130" s="56">
        <f>+'Cons spec tot e finalizzati'!K130-'Cons spec tot e finalizzati'!L130</f>
        <v>603</v>
      </c>
      <c r="I130" s="47">
        <f>+'Cons spec tot e finalizzati'!M130-'Cons spec tot e finalizzati'!N130</f>
        <v>637</v>
      </c>
      <c r="J130" s="47">
        <f>+'Cons spec tot e finalizzati'!O130-'Cons spec tot e finalizzati'!P130</f>
        <v>1212</v>
      </c>
      <c r="K130" s="47">
        <f>+'Cons spec tot e finalizzati'!Q130-'Cons spec tot e finalizzati'!R130</f>
        <v>1065</v>
      </c>
      <c r="L130" s="47">
        <f>+'Cons spec tot e finalizzati'!S130-'Cons spec tot e finalizzati'!T130</f>
        <v>1094</v>
      </c>
      <c r="M130" s="47">
        <f>+'Cons spec tot e finalizzati'!U130-'Cons spec tot e finalizzati'!V130</f>
        <v>654</v>
      </c>
    </row>
    <row r="131" spans="1:13" s="2" customFormat="1" ht="12.75">
      <c r="A131" s="130" t="s">
        <v>174</v>
      </c>
      <c r="B131" s="123"/>
      <c r="C131" s="123"/>
      <c r="D131" s="170"/>
      <c r="E131" s="67">
        <f>+'Cons spec tot e finalizzati'!E131-'Cons spec tot e finalizzati'!F131</f>
        <v>2279</v>
      </c>
      <c r="F131" s="67">
        <f>+'Cons spec tot e finalizzati'!G131-'Cons spec tot e finalizzati'!H131</f>
        <v>2046</v>
      </c>
      <c r="G131" s="67">
        <f>+'Cons spec tot e finalizzati'!I131-'Cons spec tot e finalizzati'!J131</f>
        <v>1648</v>
      </c>
      <c r="H131" s="67">
        <f>+'Cons spec tot e finalizzati'!K131-'Cons spec tot e finalizzati'!L131</f>
        <v>1349</v>
      </c>
      <c r="I131" s="67">
        <f>+'Cons spec tot e finalizzati'!M131-'Cons spec tot e finalizzati'!N131</f>
        <v>1787</v>
      </c>
      <c r="J131" s="67">
        <f>+'Cons spec tot e finalizzati'!O131-'Cons spec tot e finalizzati'!P131</f>
        <v>1254</v>
      </c>
      <c r="K131" s="67">
        <f>+'Cons spec tot e finalizzati'!Q131-'Cons spec tot e finalizzati'!R131</f>
        <v>839</v>
      </c>
      <c r="L131" s="67">
        <f>+'Cons spec tot e finalizzati'!S131-'Cons spec tot e finalizzati'!T131</f>
        <v>1279</v>
      </c>
      <c r="M131" s="67">
        <f>+'Cons spec tot e finalizzati'!U131-'Cons spec tot e finalizzati'!V131</f>
        <v>394</v>
      </c>
    </row>
    <row r="132" spans="1:13" s="33" customFormat="1" ht="12.75">
      <c r="A132" s="29"/>
      <c r="B132" s="24" t="s">
        <v>27</v>
      </c>
      <c r="C132" s="2"/>
      <c r="D132" s="2"/>
      <c r="E132" s="47">
        <f>+'Cons spec tot e finalizzati'!E132-'Cons spec tot e finalizzati'!F132</f>
        <v>67</v>
      </c>
      <c r="F132" s="47">
        <f>+'Cons spec tot e finalizzati'!G132-'Cons spec tot e finalizzati'!H132</f>
        <v>171</v>
      </c>
      <c r="G132" s="47">
        <f>+'Cons spec tot e finalizzati'!I132-'Cons spec tot e finalizzati'!J132</f>
        <v>72</v>
      </c>
      <c r="H132" s="56">
        <f>+'Cons spec tot e finalizzati'!K132-'Cons spec tot e finalizzati'!L132</f>
        <v>103</v>
      </c>
      <c r="I132" s="47">
        <f>+'Cons spec tot e finalizzati'!M132-'Cons spec tot e finalizzati'!N132</f>
        <v>120</v>
      </c>
      <c r="J132" s="47">
        <f>+'Cons spec tot e finalizzati'!O132-'Cons spec tot e finalizzati'!P132</f>
        <v>99</v>
      </c>
      <c r="K132" s="47">
        <f>+'Cons spec tot e finalizzati'!Q132-'Cons spec tot e finalizzati'!R132</f>
        <v>192</v>
      </c>
      <c r="L132" s="47">
        <f>+'Cons spec tot e finalizzati'!S132-'Cons spec tot e finalizzati'!T132</f>
        <v>375</v>
      </c>
      <c r="M132" s="47">
        <f>+'Cons spec tot e finalizzati'!U132-'Cons spec tot e finalizzati'!V132</f>
        <v>151</v>
      </c>
    </row>
    <row r="133" spans="1:13" s="2" customFormat="1" ht="12.75">
      <c r="A133" s="132"/>
      <c r="B133" s="23" t="s">
        <v>57</v>
      </c>
      <c r="D133" s="33"/>
      <c r="E133" s="47">
        <f>+'Cons spec tot e finalizzati'!E133-'Cons spec tot e finalizzati'!F133</f>
        <v>33</v>
      </c>
      <c r="F133" s="47">
        <f>+'Cons spec tot e finalizzati'!G133-'Cons spec tot e finalizzati'!H133</f>
        <v>25</v>
      </c>
      <c r="G133" s="47">
        <f>+'Cons spec tot e finalizzati'!I133-'Cons spec tot e finalizzati'!J133</f>
        <v>0</v>
      </c>
      <c r="H133" s="56">
        <f>+'Cons spec tot e finalizzati'!K133-'Cons spec tot e finalizzati'!L133</f>
        <v>0</v>
      </c>
      <c r="I133" s="47">
        <f>+'Cons spec tot e finalizzati'!M133-'Cons spec tot e finalizzati'!N133</f>
        <v>0</v>
      </c>
      <c r="J133" s="47">
        <f>+'Cons spec tot e finalizzati'!O133-'Cons spec tot e finalizzati'!P133</f>
        <v>0</v>
      </c>
      <c r="K133" s="47">
        <f>+'Cons spec tot e finalizzati'!Q133-'Cons spec tot e finalizzati'!R133</f>
        <v>0</v>
      </c>
      <c r="L133" s="47">
        <f>+'Cons spec tot e finalizzati'!S133-'Cons spec tot e finalizzati'!T133</f>
        <v>0</v>
      </c>
      <c r="M133" s="47">
        <f>+'Cons spec tot e finalizzati'!U133-'Cons spec tot e finalizzati'!V133</f>
        <v>0</v>
      </c>
    </row>
    <row r="134" spans="1:13" s="2" customFormat="1" ht="12.75">
      <c r="A134" s="29"/>
      <c r="B134" s="24" t="s">
        <v>97</v>
      </c>
      <c r="E134" s="47">
        <f>+'Cons spec tot e finalizzati'!E134-'Cons spec tot e finalizzati'!F134</f>
        <v>131</v>
      </c>
      <c r="F134" s="47">
        <f>+'Cons spec tot e finalizzati'!G134-'Cons spec tot e finalizzati'!H134</f>
        <v>350</v>
      </c>
      <c r="G134" s="47">
        <f>+'Cons spec tot e finalizzati'!I134-'Cons spec tot e finalizzati'!J134</f>
        <v>983</v>
      </c>
      <c r="H134" s="56">
        <f>+'Cons spec tot e finalizzati'!K134-'Cons spec tot e finalizzati'!L134</f>
        <v>744</v>
      </c>
      <c r="I134" s="47">
        <f>+'Cons spec tot e finalizzati'!M134-'Cons spec tot e finalizzati'!N134</f>
        <v>655</v>
      </c>
      <c r="J134" s="47">
        <f>+'Cons spec tot e finalizzati'!O134-'Cons spec tot e finalizzati'!P134</f>
        <v>296</v>
      </c>
      <c r="K134" s="47">
        <f>+'Cons spec tot e finalizzati'!Q134-'Cons spec tot e finalizzati'!R134</f>
        <v>80</v>
      </c>
      <c r="L134" s="47">
        <f>+'Cons spec tot e finalizzati'!S134-'Cons spec tot e finalizzati'!T134</f>
        <v>11</v>
      </c>
      <c r="M134" s="47">
        <f>+'Cons spec tot e finalizzati'!U134-'Cons spec tot e finalizzati'!V134</f>
        <v>84</v>
      </c>
    </row>
    <row r="135" spans="1:13" s="2" customFormat="1" ht="12.75">
      <c r="A135" s="29"/>
      <c r="B135" s="23" t="s">
        <v>58</v>
      </c>
      <c r="C135" s="33"/>
      <c r="E135" s="53">
        <f>+'Cons spec tot e finalizzati'!E135-'Cons spec tot e finalizzati'!F135</f>
        <v>1813</v>
      </c>
      <c r="F135" s="53">
        <f>+'Cons spec tot e finalizzati'!G135-'Cons spec tot e finalizzati'!H135</f>
        <v>1194</v>
      </c>
      <c r="G135" s="48">
        <f>+'Cons spec tot e finalizzati'!I135-'Cons spec tot e finalizzati'!J135</f>
        <v>213</v>
      </c>
      <c r="H135" s="54">
        <f>+'Cons spec tot e finalizzati'!K135-'Cons spec tot e finalizzati'!L135</f>
        <v>171</v>
      </c>
      <c r="I135" s="48">
        <f>+'Cons spec tot e finalizzati'!M135-'Cons spec tot e finalizzati'!N135</f>
        <v>171</v>
      </c>
      <c r="J135" s="47">
        <f>+'Cons spec tot e finalizzati'!O135-'Cons spec tot e finalizzati'!P135</f>
        <v>194</v>
      </c>
      <c r="K135" s="48">
        <f>+'Cons spec tot e finalizzati'!Q135-'Cons spec tot e finalizzati'!R135</f>
        <v>267</v>
      </c>
      <c r="L135" s="48">
        <f>+'Cons spec tot e finalizzati'!S135-'Cons spec tot e finalizzati'!T135</f>
        <v>338</v>
      </c>
      <c r="M135" s="48">
        <f>+'Cons spec tot e finalizzati'!U135-'Cons spec tot e finalizzati'!V135</f>
        <v>99</v>
      </c>
    </row>
    <row r="136" spans="1:13" s="2" customFormat="1" ht="12.75">
      <c r="A136" s="29"/>
      <c r="B136" s="24" t="s">
        <v>145</v>
      </c>
      <c r="C136" s="35"/>
      <c r="E136" s="72">
        <f>+'Cons spec tot e finalizzati'!E136-'Cons spec tot e finalizzati'!F136</f>
        <v>0</v>
      </c>
      <c r="F136" s="56">
        <f>+'Cons spec tot e finalizzati'!G136-'Cons spec tot e finalizzati'!H136</f>
        <v>0</v>
      </c>
      <c r="G136" s="72">
        <f>+'Cons spec tot e finalizzati'!I136-'Cons spec tot e finalizzati'!J136</f>
        <v>0</v>
      </c>
      <c r="H136" s="56">
        <f>+'Cons spec tot e finalizzati'!K136-'Cons spec tot e finalizzati'!L136</f>
        <v>0</v>
      </c>
      <c r="I136" s="56">
        <f>+'Cons spec tot e finalizzati'!M136-'Cons spec tot e finalizzati'!N136</f>
        <v>506</v>
      </c>
      <c r="J136" s="56">
        <f>+'Cons spec tot e finalizzati'!O136-'Cons spec tot e finalizzati'!P136</f>
        <v>348</v>
      </c>
      <c r="K136" s="56">
        <f>+'Cons spec tot e finalizzati'!Q136-'Cons spec tot e finalizzati'!R136</f>
        <v>53</v>
      </c>
      <c r="L136" s="56">
        <f>+'Cons spec tot e finalizzati'!S136-'Cons spec tot e finalizzati'!T136</f>
        <v>451</v>
      </c>
      <c r="M136" s="56">
        <f>+'Cons spec tot e finalizzati'!U136-'Cons spec tot e finalizzati'!V136</f>
        <v>17</v>
      </c>
    </row>
    <row r="137" spans="1:13" s="2" customFormat="1" ht="12.75">
      <c r="A137" s="29"/>
      <c r="B137" s="24" t="s">
        <v>31</v>
      </c>
      <c r="C137" s="35"/>
      <c r="E137" s="72">
        <f>+'Cons spec tot e finalizzati'!E137-'Cons spec tot e finalizzati'!F137</f>
        <v>235</v>
      </c>
      <c r="F137" s="56">
        <f>+'Cons spec tot e finalizzati'!G137-'Cons spec tot e finalizzati'!H137</f>
        <v>306</v>
      </c>
      <c r="G137" s="72">
        <f>+'Cons spec tot e finalizzati'!I137-'Cons spec tot e finalizzati'!J137</f>
        <v>380</v>
      </c>
      <c r="H137" s="56">
        <f>+'Cons spec tot e finalizzati'!K137-'Cons spec tot e finalizzati'!L137</f>
        <v>331</v>
      </c>
      <c r="I137" s="56">
        <f>+'Cons spec tot e finalizzati'!M137-'Cons spec tot e finalizzati'!N137</f>
        <v>335</v>
      </c>
      <c r="J137" s="56">
        <f>+'Cons spec tot e finalizzati'!O137-'Cons spec tot e finalizzati'!P137</f>
        <v>317</v>
      </c>
      <c r="K137" s="56">
        <f>+'Cons spec tot e finalizzati'!Q137-'Cons spec tot e finalizzati'!R137</f>
        <v>247</v>
      </c>
      <c r="L137" s="56">
        <f>+'Cons spec tot e finalizzati'!S137-'Cons spec tot e finalizzati'!T137</f>
        <v>104</v>
      </c>
      <c r="M137" s="56">
        <f>+'Cons spec tot e finalizzati'!U137-'Cons spec tot e finalizzati'!V137</f>
        <v>43</v>
      </c>
    </row>
    <row r="138" spans="1:13" s="2" customFormat="1" ht="12.75">
      <c r="A138" s="130" t="s">
        <v>116</v>
      </c>
      <c r="B138" s="123"/>
      <c r="C138" s="123"/>
      <c r="D138" s="170"/>
      <c r="E138" s="67">
        <f>+'Cons spec tot e finalizzati'!E138-'Cons spec tot e finalizzati'!F138</f>
        <v>1155</v>
      </c>
      <c r="F138" s="67">
        <f>+'Cons spec tot e finalizzati'!G138-'Cons spec tot e finalizzati'!H138</f>
        <v>1559</v>
      </c>
      <c r="G138" s="67">
        <f>+'Cons spec tot e finalizzati'!I138-'Cons spec tot e finalizzati'!J138</f>
        <v>2720.5</v>
      </c>
      <c r="H138" s="67">
        <f>+'Cons spec tot e finalizzati'!K138-'Cons spec tot e finalizzati'!L138</f>
        <v>2095</v>
      </c>
      <c r="I138" s="67">
        <f>+'Cons spec tot e finalizzati'!M138-'Cons spec tot e finalizzati'!N138</f>
        <v>3629</v>
      </c>
      <c r="J138" s="67">
        <f>+'Cons spec tot e finalizzati'!O138-'Cons spec tot e finalizzati'!P138</f>
        <v>2231</v>
      </c>
      <c r="K138" s="67">
        <f>+'Cons spec tot e finalizzati'!Q138-'Cons spec tot e finalizzati'!R138</f>
        <v>1745</v>
      </c>
      <c r="L138" s="67">
        <f>+'Cons spec tot e finalizzati'!S138-'Cons spec tot e finalizzati'!T138</f>
        <v>2805</v>
      </c>
      <c r="M138" s="67">
        <f>+'Cons spec tot e finalizzati'!U138-'Cons spec tot e finalizzati'!V138</f>
        <v>2584</v>
      </c>
    </row>
    <row r="139" spans="1:13" s="2" customFormat="1" ht="12.75">
      <c r="A139" s="29"/>
      <c r="B139" s="10" t="s">
        <v>117</v>
      </c>
      <c r="C139" s="35"/>
      <c r="E139" s="113">
        <f>+'Cons spec tot e finalizzati'!E139-'Cons spec tot e finalizzati'!F139</f>
        <v>106</v>
      </c>
      <c r="F139" s="113">
        <f>+'Cons spec tot e finalizzati'!G139-'Cons spec tot e finalizzati'!H139</f>
        <v>144</v>
      </c>
      <c r="G139" s="113">
        <f>+'Cons spec tot e finalizzati'!I139-'Cons spec tot e finalizzati'!J139</f>
        <v>444</v>
      </c>
      <c r="H139" s="56">
        <f>+'Cons spec tot e finalizzati'!K139-'Cons spec tot e finalizzati'!L139</f>
        <v>428</v>
      </c>
      <c r="I139" s="53">
        <f>+'Cons spec tot e finalizzati'!M139-'Cons spec tot e finalizzati'!N139</f>
        <v>207</v>
      </c>
      <c r="J139" s="53">
        <f>+'Cons spec tot e finalizzati'!O139-'Cons spec tot e finalizzati'!P139</f>
        <v>221</v>
      </c>
      <c r="K139" s="53">
        <f>+'Cons spec tot e finalizzati'!Q139-'Cons spec tot e finalizzati'!R139</f>
        <v>92</v>
      </c>
      <c r="L139" s="53">
        <f>+'Cons spec tot e finalizzati'!S139-'Cons spec tot e finalizzati'!T139</f>
        <v>109</v>
      </c>
      <c r="M139" s="53">
        <f>+'Cons spec tot e finalizzati'!U139-'Cons spec tot e finalizzati'!V139</f>
        <v>135</v>
      </c>
    </row>
    <row r="140" spans="1:13" s="2" customFormat="1" ht="12.75">
      <c r="A140" s="29"/>
      <c r="B140" s="10" t="s">
        <v>101</v>
      </c>
      <c r="E140" s="113">
        <f>+'Cons spec tot e finalizzati'!E140-'Cons spec tot e finalizzati'!F140</f>
        <v>0</v>
      </c>
      <c r="F140" s="113">
        <f>+'Cons spec tot e finalizzati'!G140-'Cons spec tot e finalizzati'!H140</f>
        <v>0</v>
      </c>
      <c r="G140" s="113">
        <f>+'Cons spec tot e finalizzati'!I140-'Cons spec tot e finalizzati'!J140</f>
        <v>0</v>
      </c>
      <c r="H140" s="56">
        <f>+'Cons spec tot e finalizzati'!K140-'Cons spec tot e finalizzati'!L140</f>
        <v>0</v>
      </c>
      <c r="I140" s="53">
        <f>+'Cons spec tot e finalizzati'!M140-'Cons spec tot e finalizzati'!N140</f>
        <v>63</v>
      </c>
      <c r="J140" s="53">
        <f>+'Cons spec tot e finalizzati'!O140-'Cons spec tot e finalizzati'!P140</f>
        <v>34</v>
      </c>
      <c r="K140" s="53">
        <f>+'Cons spec tot e finalizzati'!Q140-'Cons spec tot e finalizzati'!R140</f>
        <v>0</v>
      </c>
      <c r="L140" s="53">
        <f>+'Cons spec tot e finalizzati'!S140-'Cons spec tot e finalizzati'!T140</f>
        <v>0</v>
      </c>
      <c r="M140" s="53">
        <f>+'Cons spec tot e finalizzati'!U140-'Cons spec tot e finalizzati'!V140</f>
        <v>0</v>
      </c>
    </row>
    <row r="141" spans="1:13" s="2" customFormat="1" ht="12.75">
      <c r="A141" s="29"/>
      <c r="B141" s="24" t="s">
        <v>98</v>
      </c>
      <c r="E141" s="113">
        <f>+'Cons spec tot e finalizzati'!E141-'Cons spec tot e finalizzati'!F141</f>
        <v>39</v>
      </c>
      <c r="F141" s="113">
        <f>+'Cons spec tot e finalizzati'!G141-'Cons spec tot e finalizzati'!H141</f>
        <v>15</v>
      </c>
      <c r="G141" s="113">
        <f>+'Cons spec tot e finalizzati'!I141-'Cons spec tot e finalizzati'!J141</f>
        <v>49</v>
      </c>
      <c r="H141" s="56">
        <f>+'Cons spec tot e finalizzati'!K141-'Cons spec tot e finalizzati'!L141</f>
        <v>17</v>
      </c>
      <c r="I141" s="53">
        <f>+'Cons spec tot e finalizzati'!M141-'Cons spec tot e finalizzati'!N141</f>
        <v>1</v>
      </c>
      <c r="J141" s="53">
        <f>+'Cons spec tot e finalizzati'!O141-'Cons spec tot e finalizzati'!P141</f>
        <v>12</v>
      </c>
      <c r="K141" s="53">
        <f>+'Cons spec tot e finalizzati'!Q141-'Cons spec tot e finalizzati'!R141</f>
        <v>21</v>
      </c>
      <c r="L141" s="53">
        <f>+'Cons spec tot e finalizzati'!S141-'Cons spec tot e finalizzati'!T141</f>
        <v>163</v>
      </c>
      <c r="M141" s="53">
        <f>+'Cons spec tot e finalizzati'!U141-'Cons spec tot e finalizzati'!V141</f>
        <v>82</v>
      </c>
    </row>
    <row r="142" spans="1:13" s="2" customFormat="1" ht="12.75">
      <c r="A142" s="29"/>
      <c r="B142" s="24" t="s">
        <v>100</v>
      </c>
      <c r="E142" s="113">
        <f>+'Cons spec tot e finalizzati'!E142-'Cons spec tot e finalizzati'!F142</f>
        <v>0</v>
      </c>
      <c r="F142" s="113">
        <f>+'Cons spec tot e finalizzati'!G142-'Cons spec tot e finalizzati'!H142</f>
        <v>0</v>
      </c>
      <c r="G142" s="113">
        <f>+'Cons spec tot e finalizzati'!I142-'Cons spec tot e finalizzati'!J142</f>
        <v>131</v>
      </c>
      <c r="H142" s="56">
        <f>+'Cons spec tot e finalizzati'!K142-'Cons spec tot e finalizzati'!L142</f>
        <v>81</v>
      </c>
      <c r="I142" s="53">
        <f>+'Cons spec tot e finalizzati'!M142-'Cons spec tot e finalizzati'!N142</f>
        <v>331</v>
      </c>
      <c r="J142" s="53">
        <f>+'Cons spec tot e finalizzati'!O142-'Cons spec tot e finalizzati'!P142</f>
        <v>245</v>
      </c>
      <c r="K142" s="53">
        <f>+'Cons spec tot e finalizzati'!Q142-'Cons spec tot e finalizzati'!R142</f>
        <v>164</v>
      </c>
      <c r="L142" s="53">
        <f>+'Cons spec tot e finalizzati'!S142-'Cons spec tot e finalizzati'!T142</f>
        <v>170</v>
      </c>
      <c r="M142" s="53">
        <f>+'Cons spec tot e finalizzati'!U142-'Cons spec tot e finalizzati'!V142</f>
        <v>202</v>
      </c>
    </row>
    <row r="143" spans="1:13" s="2" customFormat="1" ht="12.75">
      <c r="A143" s="29"/>
      <c r="B143" s="24" t="s">
        <v>102</v>
      </c>
      <c r="E143" s="53">
        <f>+'Cons spec tot e finalizzati'!E143-'Cons spec tot e finalizzati'!F143</f>
        <v>0</v>
      </c>
      <c r="F143" s="53">
        <f>+'Cons spec tot e finalizzati'!G143-'Cons spec tot e finalizzati'!H143</f>
        <v>0</v>
      </c>
      <c r="G143" s="53">
        <f>+'Cons spec tot e finalizzati'!I143-'Cons spec tot e finalizzati'!J143</f>
        <v>0</v>
      </c>
      <c r="H143" s="56">
        <f>+'Cons spec tot e finalizzati'!K143-'Cons spec tot e finalizzati'!L143</f>
        <v>0</v>
      </c>
      <c r="I143" s="76">
        <f>+'Cons spec tot e finalizzati'!M143-'Cons spec tot e finalizzati'!N143</f>
        <v>27</v>
      </c>
      <c r="J143" s="76">
        <f>+'Cons spec tot e finalizzati'!O143-'Cons spec tot e finalizzati'!P143</f>
        <v>44</v>
      </c>
      <c r="K143" s="76">
        <f>+'Cons spec tot e finalizzati'!Q143-'Cons spec tot e finalizzati'!R143</f>
        <v>31</v>
      </c>
      <c r="L143" s="76">
        <f>+'Cons spec tot e finalizzati'!S143-'Cons spec tot e finalizzati'!T143</f>
        <v>0</v>
      </c>
      <c r="M143" s="76">
        <f>+'Cons spec tot e finalizzati'!U143-'Cons spec tot e finalizzati'!V143</f>
        <v>0</v>
      </c>
    </row>
    <row r="144" spans="1:13" s="35" customFormat="1" ht="12.75">
      <c r="A144" s="29"/>
      <c r="B144" s="24" t="s">
        <v>103</v>
      </c>
      <c r="C144" s="2"/>
      <c r="D144" s="2"/>
      <c r="E144" s="93">
        <f>+'Cons spec tot e finalizzati'!E144-'Cons spec tot e finalizzati'!F144</f>
        <v>0</v>
      </c>
      <c r="F144" s="93">
        <f>+'Cons spec tot e finalizzati'!G144-'Cons spec tot e finalizzati'!H144</f>
        <v>0</v>
      </c>
      <c r="G144" s="93">
        <f>+'Cons spec tot e finalizzati'!I144-'Cons spec tot e finalizzati'!J144</f>
        <v>0</v>
      </c>
      <c r="H144" s="99">
        <f>+'Cons spec tot e finalizzati'!K144-'Cons spec tot e finalizzati'!L144</f>
        <v>0</v>
      </c>
      <c r="I144" s="68">
        <f>+'Cons spec tot e finalizzati'!M144-'Cons spec tot e finalizzati'!N144</f>
        <v>1820</v>
      </c>
      <c r="J144" s="68">
        <f>+'Cons spec tot e finalizzati'!O144-'Cons spec tot e finalizzati'!P144</f>
        <v>1187</v>
      </c>
      <c r="K144" s="68">
        <f>+'Cons spec tot e finalizzati'!Q144-'Cons spec tot e finalizzati'!R144</f>
        <v>1209</v>
      </c>
      <c r="L144" s="68">
        <f>+'Cons spec tot e finalizzati'!S144-'Cons spec tot e finalizzati'!T144</f>
        <v>2174</v>
      </c>
      <c r="M144" s="68">
        <f>+'Cons spec tot e finalizzati'!U144-'Cons spec tot e finalizzati'!V144</f>
        <v>2100</v>
      </c>
    </row>
    <row r="145" spans="1:13" s="35" customFormat="1" ht="12.75">
      <c r="A145" s="29"/>
      <c r="B145" s="23" t="s">
        <v>99</v>
      </c>
      <c r="C145" s="2"/>
      <c r="D145" s="2"/>
      <c r="E145" s="93">
        <f>+'Cons spec tot e finalizzati'!E145-'Cons spec tot e finalizzati'!F145</f>
        <v>0</v>
      </c>
      <c r="F145" s="93">
        <f>+'Cons spec tot e finalizzati'!G145-'Cons spec tot e finalizzati'!H145</f>
        <v>0</v>
      </c>
      <c r="G145" s="93">
        <f>+'Cons spec tot e finalizzati'!I145-'Cons spec tot e finalizzati'!J145</f>
        <v>0</v>
      </c>
      <c r="H145" s="99">
        <f>+'Cons spec tot e finalizzati'!K145-'Cons spec tot e finalizzati'!L145</f>
        <v>178</v>
      </c>
      <c r="I145" s="68">
        <f>+'Cons spec tot e finalizzati'!M145-'Cons spec tot e finalizzati'!N145</f>
        <v>147</v>
      </c>
      <c r="J145" s="68">
        <f>+'Cons spec tot e finalizzati'!O145-'Cons spec tot e finalizzati'!P145</f>
        <v>293</v>
      </c>
      <c r="K145" s="68">
        <f>+'Cons spec tot e finalizzati'!Q145-'Cons spec tot e finalizzati'!R145</f>
        <v>144</v>
      </c>
      <c r="L145" s="68">
        <f>+'Cons spec tot e finalizzati'!S145-'Cons spec tot e finalizzati'!T145</f>
        <v>61</v>
      </c>
      <c r="M145" s="68">
        <f>+'Cons spec tot e finalizzati'!U145-'Cons spec tot e finalizzati'!V145</f>
        <v>65</v>
      </c>
    </row>
    <row r="146" spans="1:13" s="35" customFormat="1" ht="12.75">
      <c r="A146" s="29"/>
      <c r="B146" s="25" t="s">
        <v>87</v>
      </c>
      <c r="D146" s="2"/>
      <c r="E146" s="93">
        <f>+'Cons spec tot e finalizzati'!E146-'Cons spec tot e finalizzati'!F146</f>
        <v>147</v>
      </c>
      <c r="F146" s="93">
        <f>+'Cons spec tot e finalizzati'!G146-'Cons spec tot e finalizzati'!H146</f>
        <v>124</v>
      </c>
      <c r="G146" s="93">
        <f>+'Cons spec tot e finalizzati'!I146-'Cons spec tot e finalizzati'!J146</f>
        <v>472</v>
      </c>
      <c r="H146" s="99">
        <f>+'Cons spec tot e finalizzati'!K146-'Cons spec tot e finalizzati'!L146</f>
        <v>587</v>
      </c>
      <c r="I146" s="68">
        <f>+'Cons spec tot e finalizzati'!M146-'Cons spec tot e finalizzati'!N146</f>
        <v>1033</v>
      </c>
      <c r="J146" s="68">
        <f>+'Cons spec tot e finalizzati'!O146-'Cons spec tot e finalizzati'!P146</f>
        <v>195</v>
      </c>
      <c r="K146" s="68">
        <f>+'Cons spec tot e finalizzati'!Q146-'Cons spec tot e finalizzati'!R146</f>
        <v>84</v>
      </c>
      <c r="L146" s="68">
        <f>+'Cons spec tot e finalizzati'!S146-'Cons spec tot e finalizzati'!T146</f>
        <v>128</v>
      </c>
      <c r="M146" s="68">
        <f>+'Cons spec tot e finalizzati'!U146-'Cons spec tot e finalizzati'!V146</f>
        <v>0</v>
      </c>
    </row>
    <row r="147" spans="1:13" s="35" customFormat="1" ht="12.75">
      <c r="A147" s="29"/>
      <c r="B147" s="25" t="s">
        <v>60</v>
      </c>
      <c r="D147" s="2"/>
      <c r="E147" s="93">
        <f>+'Cons spec tot e finalizzati'!E147-'Cons spec tot e finalizzati'!F147</f>
        <v>155</v>
      </c>
      <c r="F147" s="93">
        <f>+'Cons spec tot e finalizzati'!G147-'Cons spec tot e finalizzati'!H147</f>
        <v>284</v>
      </c>
      <c r="G147" s="93">
        <f>+'Cons spec tot e finalizzati'!I147-'Cons spec tot e finalizzati'!J147</f>
        <v>262</v>
      </c>
      <c r="H147" s="99">
        <f>+'Cons spec tot e finalizzati'!K147-'Cons spec tot e finalizzati'!L147</f>
        <v>48</v>
      </c>
      <c r="I147" s="68">
        <f>+'Cons spec tot e finalizzati'!M147-'Cons spec tot e finalizzati'!N147</f>
        <v>0</v>
      </c>
      <c r="J147" s="68">
        <f>+'Cons spec tot e finalizzati'!O147-'Cons spec tot e finalizzati'!P147</f>
        <v>0</v>
      </c>
      <c r="K147" s="68">
        <f>+'Cons spec tot e finalizzati'!Q147-'Cons spec tot e finalizzati'!R147</f>
        <v>0</v>
      </c>
      <c r="L147" s="68">
        <f>+'Cons spec tot e finalizzati'!S147-'Cons spec tot e finalizzati'!T147</f>
        <v>0</v>
      </c>
      <c r="M147" s="68">
        <f>+'Cons spec tot e finalizzati'!U147-'Cons spec tot e finalizzati'!V147</f>
        <v>0</v>
      </c>
    </row>
    <row r="148" spans="1:13" s="35" customFormat="1" ht="12.75">
      <c r="A148" s="29"/>
      <c r="B148" s="25" t="s">
        <v>26</v>
      </c>
      <c r="D148" s="2"/>
      <c r="E148" s="93">
        <f>+'Cons spec tot e finalizzati'!E148-'Cons spec tot e finalizzati'!F148</f>
        <v>708</v>
      </c>
      <c r="F148" s="93">
        <f>+'Cons spec tot e finalizzati'!G148-'Cons spec tot e finalizzati'!H148</f>
        <v>727</v>
      </c>
      <c r="G148" s="93">
        <f>+'Cons spec tot e finalizzati'!I148-'Cons spec tot e finalizzati'!J148</f>
        <v>1362.5</v>
      </c>
      <c r="H148" s="99">
        <f>+'Cons spec tot e finalizzati'!K148-'Cons spec tot e finalizzati'!L148</f>
        <v>756</v>
      </c>
      <c r="I148" s="68">
        <f>+'Cons spec tot e finalizzati'!M148-'Cons spec tot e finalizzati'!N148</f>
        <v>0</v>
      </c>
      <c r="J148" s="68">
        <f>+'Cons spec tot e finalizzati'!O148-'Cons spec tot e finalizzati'!P148</f>
        <v>0</v>
      </c>
      <c r="K148" s="68">
        <f>+'Cons spec tot e finalizzati'!Q148-'Cons spec tot e finalizzati'!R148</f>
        <v>0</v>
      </c>
      <c r="L148" s="68">
        <f>+'Cons spec tot e finalizzati'!S148-'Cons spec tot e finalizzati'!T148</f>
        <v>0</v>
      </c>
      <c r="M148" s="68">
        <f>+'Cons spec tot e finalizzati'!U148-'Cons spec tot e finalizzati'!V148</f>
        <v>0</v>
      </c>
    </row>
    <row r="149" spans="1:13" s="2" customFormat="1" ht="12.75">
      <c r="A149" s="61"/>
      <c r="B149" s="25" t="s">
        <v>52</v>
      </c>
      <c r="D149" s="35"/>
      <c r="E149" s="47">
        <f>+'Cons spec tot e finalizzati'!E149-'Cons spec tot e finalizzati'!F149</f>
        <v>0</v>
      </c>
      <c r="F149" s="47">
        <f>+'Cons spec tot e finalizzati'!G149-'Cons spec tot e finalizzati'!H149</f>
        <v>265</v>
      </c>
      <c r="G149" s="47">
        <f>+'Cons spec tot e finalizzati'!I149-'Cons spec tot e finalizzati'!J149</f>
        <v>0</v>
      </c>
      <c r="H149" s="56">
        <f>+'Cons spec tot e finalizzati'!K149-'Cons spec tot e finalizzati'!L149</f>
        <v>0</v>
      </c>
      <c r="I149" s="47">
        <f>+'Cons spec tot e finalizzati'!M149-'Cons spec tot e finalizzati'!N149</f>
        <v>0</v>
      </c>
      <c r="J149" s="47">
        <f>+'Cons spec tot e finalizzati'!O149-'Cons spec tot e finalizzati'!P149</f>
        <v>0</v>
      </c>
      <c r="K149" s="47">
        <f>+'Cons spec tot e finalizzati'!Q149-'Cons spec tot e finalizzati'!R149</f>
        <v>0</v>
      </c>
      <c r="L149" s="47">
        <f>+'Cons spec tot e finalizzati'!S149-'Cons spec tot e finalizzati'!T149</f>
        <v>0</v>
      </c>
      <c r="M149" s="47">
        <f>+'Cons spec tot e finalizzati'!U149-'Cons spec tot e finalizzati'!V149</f>
        <v>0</v>
      </c>
    </row>
    <row r="150" spans="1:13" s="2" customFormat="1" ht="12.75">
      <c r="A150" s="167" t="s">
        <v>175</v>
      </c>
      <c r="B150" s="168"/>
      <c r="C150" s="168"/>
      <c r="D150" s="169"/>
      <c r="E150" s="70">
        <f>+'Cons spec tot e finalizzati'!E150-'Cons spec tot e finalizzati'!F150</f>
        <v>568</v>
      </c>
      <c r="F150" s="70">
        <f>+'Cons spec tot e finalizzati'!G150-'Cons spec tot e finalizzati'!H150</f>
        <v>553</v>
      </c>
      <c r="G150" s="84">
        <f>+'Cons spec tot e finalizzati'!I150-'Cons spec tot e finalizzati'!J150</f>
        <v>963</v>
      </c>
      <c r="H150" s="84">
        <f>+'Cons spec tot e finalizzati'!K150-'Cons spec tot e finalizzati'!L150</f>
        <v>974</v>
      </c>
      <c r="I150" s="70">
        <f>+'Cons spec tot e finalizzati'!M150-'Cons spec tot e finalizzati'!N150</f>
        <v>64</v>
      </c>
      <c r="J150" s="70">
        <f>+'Cons spec tot e finalizzati'!O150-'Cons spec tot e finalizzati'!P150</f>
        <v>34</v>
      </c>
      <c r="K150" s="70">
        <f>+'Cons spec tot e finalizzati'!Q150-'Cons spec tot e finalizzati'!R150</f>
        <v>168</v>
      </c>
      <c r="L150" s="70">
        <f>+'Cons spec tot e finalizzati'!S150-'Cons spec tot e finalizzati'!T150</f>
        <v>99</v>
      </c>
      <c r="M150" s="70">
        <f>+'Cons spec tot e finalizzati'!U150-'Cons spec tot e finalizzati'!V150</f>
        <v>85</v>
      </c>
    </row>
    <row r="151" spans="1:13" s="2" customFormat="1" ht="12.75">
      <c r="A151" s="130" t="s">
        <v>125</v>
      </c>
      <c r="B151" s="123"/>
      <c r="C151" s="123"/>
      <c r="D151" s="170"/>
      <c r="E151" s="67">
        <f>+'Cons spec tot e finalizzati'!E151-'Cons spec tot e finalizzati'!F151</f>
        <v>5590</v>
      </c>
      <c r="F151" s="67">
        <f>+'Cons spec tot e finalizzati'!G151-'Cons spec tot e finalizzati'!H151</f>
        <v>5299</v>
      </c>
      <c r="G151" s="67">
        <f>+'Cons spec tot e finalizzati'!I151-'Cons spec tot e finalizzati'!J151</f>
        <v>4663</v>
      </c>
      <c r="H151" s="67">
        <f>+'Cons spec tot e finalizzati'!K151-'Cons spec tot e finalizzati'!L151</f>
        <v>4467</v>
      </c>
      <c r="I151" s="67">
        <f>+'Cons spec tot e finalizzati'!M151-'Cons spec tot e finalizzati'!N151</f>
        <v>5963</v>
      </c>
      <c r="J151" s="67">
        <f>+'Cons spec tot e finalizzati'!O151-'Cons spec tot e finalizzati'!P151</f>
        <v>5183</v>
      </c>
      <c r="K151" s="67">
        <f>+'Cons spec tot e finalizzati'!Q151-'Cons spec tot e finalizzati'!R151</f>
        <v>5466</v>
      </c>
      <c r="L151" s="67">
        <f>+'Cons spec tot e finalizzati'!S151-'Cons spec tot e finalizzati'!T151</f>
        <v>6132</v>
      </c>
      <c r="M151" s="67">
        <f>+'Cons spec tot e finalizzati'!U151-'Cons spec tot e finalizzati'!V151</f>
        <v>5868</v>
      </c>
    </row>
    <row r="152" spans="1:13" s="2" customFormat="1" ht="12.75">
      <c r="A152" s="29"/>
      <c r="B152" s="10" t="s">
        <v>96</v>
      </c>
      <c r="E152" s="113">
        <f>+'Cons spec tot e finalizzati'!E152-'Cons spec tot e finalizzati'!F152</f>
        <v>948</v>
      </c>
      <c r="F152" s="113">
        <f>+'Cons spec tot e finalizzati'!G152-'Cons spec tot e finalizzati'!H152</f>
        <v>940</v>
      </c>
      <c r="G152" s="113">
        <f>+'Cons spec tot e finalizzati'!I152-'Cons spec tot e finalizzati'!J152</f>
        <v>965</v>
      </c>
      <c r="H152" s="56">
        <f>+'Cons spec tot e finalizzati'!K152-'Cons spec tot e finalizzati'!L152</f>
        <v>498</v>
      </c>
      <c r="I152" s="53">
        <f>+'Cons spec tot e finalizzati'!M152-'Cons spec tot e finalizzati'!N152</f>
        <v>962</v>
      </c>
      <c r="J152" s="53">
        <f>+'Cons spec tot e finalizzati'!O152-'Cons spec tot e finalizzati'!P152</f>
        <v>973</v>
      </c>
      <c r="K152" s="53">
        <f>+'Cons spec tot e finalizzati'!Q152-'Cons spec tot e finalizzati'!R152</f>
        <v>1137</v>
      </c>
      <c r="L152" s="53">
        <f>+'Cons spec tot e finalizzati'!S152-'Cons spec tot e finalizzati'!T152</f>
        <v>825</v>
      </c>
      <c r="M152" s="53">
        <f>+'Cons spec tot e finalizzati'!U152-'Cons spec tot e finalizzati'!V152</f>
        <v>756</v>
      </c>
    </row>
    <row r="153" spans="1:13" s="2" customFormat="1" ht="12.75">
      <c r="A153" s="37"/>
      <c r="B153" s="17" t="s">
        <v>12</v>
      </c>
      <c r="C153" s="17"/>
      <c r="D153" s="40"/>
      <c r="E153" s="72">
        <f>+'Cons spec tot e finalizzati'!E153-'Cons spec tot e finalizzati'!F153</f>
        <v>4642</v>
      </c>
      <c r="F153" s="56">
        <f>+'Cons spec tot e finalizzati'!G153-'Cons spec tot e finalizzati'!H153</f>
        <v>4359</v>
      </c>
      <c r="G153" s="72">
        <f>+'Cons spec tot e finalizzati'!I153-'Cons spec tot e finalizzati'!J153</f>
        <v>3698</v>
      </c>
      <c r="H153" s="56">
        <f>+'Cons spec tot e finalizzati'!K153-'Cons spec tot e finalizzati'!L153</f>
        <v>3969</v>
      </c>
      <c r="I153" s="72">
        <f>+'Cons spec tot e finalizzati'!M153-'Cons spec tot e finalizzati'!N153</f>
        <v>5001</v>
      </c>
      <c r="J153" s="72">
        <f>+'Cons spec tot e finalizzati'!O153-'Cons spec tot e finalizzati'!P153</f>
        <v>4210</v>
      </c>
      <c r="K153" s="72">
        <f>+'Cons spec tot e finalizzati'!Q153-'Cons spec tot e finalizzati'!R153</f>
        <v>4329</v>
      </c>
      <c r="L153" s="72">
        <f>+'Cons spec tot e finalizzati'!S153-'Cons spec tot e finalizzati'!T153</f>
        <v>5307</v>
      </c>
      <c r="M153" s="72">
        <f>+'Cons spec tot e finalizzati'!U153-'Cons spec tot e finalizzati'!V153</f>
        <v>5112</v>
      </c>
    </row>
    <row r="154" spans="1:13" s="2" customFormat="1" ht="12.75">
      <c r="A154" s="130" t="s">
        <v>126</v>
      </c>
      <c r="B154" s="123"/>
      <c r="C154" s="123"/>
      <c r="D154" s="170"/>
      <c r="E154" s="67">
        <f>+'Cons spec tot e finalizzati'!E154-'Cons spec tot e finalizzati'!F154</f>
        <v>215</v>
      </c>
      <c r="F154" s="67">
        <f>+'Cons spec tot e finalizzati'!G154-'Cons spec tot e finalizzati'!H154</f>
        <v>275</v>
      </c>
      <c r="G154" s="67">
        <f>+'Cons spec tot e finalizzati'!I154-'Cons spec tot e finalizzati'!J154</f>
        <v>285</v>
      </c>
      <c r="H154" s="67">
        <f>+'Cons spec tot e finalizzati'!K154-'Cons spec tot e finalizzati'!L154</f>
        <v>198</v>
      </c>
      <c r="I154" s="67">
        <f>+'Cons spec tot e finalizzati'!M154-'Cons spec tot e finalizzati'!N154</f>
        <v>457</v>
      </c>
      <c r="J154" s="67">
        <f>+'Cons spec tot e finalizzati'!O154-'Cons spec tot e finalizzati'!P154</f>
        <v>518</v>
      </c>
      <c r="K154" s="67">
        <f>+'Cons spec tot e finalizzati'!Q154-'Cons spec tot e finalizzati'!R154</f>
        <v>447</v>
      </c>
      <c r="L154" s="67">
        <f>+'Cons spec tot e finalizzati'!S154-'Cons spec tot e finalizzati'!T154</f>
        <v>328</v>
      </c>
      <c r="M154" s="67">
        <f>+'Cons spec tot e finalizzati'!U154-'Cons spec tot e finalizzati'!V154</f>
        <v>183</v>
      </c>
    </row>
    <row r="155" spans="1:13" s="2" customFormat="1" ht="12.75">
      <c r="A155" s="9"/>
      <c r="B155" s="24" t="s">
        <v>8</v>
      </c>
      <c r="D155"/>
      <c r="E155" s="47">
        <f>+'Cons spec tot e finalizzati'!E155-'Cons spec tot e finalizzati'!F155</f>
        <v>0</v>
      </c>
      <c r="F155" s="47">
        <f>+'Cons spec tot e finalizzati'!G155-'Cons spec tot e finalizzati'!H155</f>
        <v>0</v>
      </c>
      <c r="G155" s="47">
        <f>+'Cons spec tot e finalizzati'!I155-'Cons spec tot e finalizzati'!J155</f>
        <v>0</v>
      </c>
      <c r="H155" s="56">
        <f>+'Cons spec tot e finalizzati'!K155-'Cons spec tot e finalizzati'!L155</f>
        <v>0</v>
      </c>
      <c r="I155" s="53">
        <f>+'Cons spec tot e finalizzati'!M155-'Cons spec tot e finalizzati'!N155</f>
        <v>115</v>
      </c>
      <c r="J155" s="53">
        <f>+'Cons spec tot e finalizzati'!O155-'Cons spec tot e finalizzati'!P155</f>
        <v>158</v>
      </c>
      <c r="K155" s="53">
        <f>+'Cons spec tot e finalizzati'!Q155-'Cons spec tot e finalizzati'!R155</f>
        <v>163</v>
      </c>
      <c r="L155" s="53">
        <f>+'Cons spec tot e finalizzati'!S155-'Cons spec tot e finalizzati'!T155</f>
        <v>139</v>
      </c>
      <c r="M155" s="53">
        <f>+'Cons spec tot e finalizzati'!U155-'Cons spec tot e finalizzati'!V155</f>
        <v>79</v>
      </c>
    </row>
    <row r="156" spans="1:13" s="2" customFormat="1" ht="12.75">
      <c r="A156" s="29"/>
      <c r="B156" s="10" t="s">
        <v>32</v>
      </c>
      <c r="E156" s="113">
        <f>+'Cons spec tot e finalizzati'!E156-'Cons spec tot e finalizzati'!F156</f>
        <v>187</v>
      </c>
      <c r="F156" s="113">
        <f>+'Cons spec tot e finalizzati'!G156-'Cons spec tot e finalizzati'!H156</f>
        <v>262</v>
      </c>
      <c r="G156" s="113">
        <f>+'Cons spec tot e finalizzati'!I156-'Cons spec tot e finalizzati'!J156</f>
        <v>275</v>
      </c>
      <c r="H156" s="56">
        <f>+'Cons spec tot e finalizzati'!K156-'Cons spec tot e finalizzati'!L156</f>
        <v>187</v>
      </c>
      <c r="I156" s="53">
        <f>+'Cons spec tot e finalizzati'!M156-'Cons spec tot e finalizzati'!N156</f>
        <v>233</v>
      </c>
      <c r="J156" s="53">
        <f>+'Cons spec tot e finalizzati'!O156-'Cons spec tot e finalizzati'!P156</f>
        <v>185</v>
      </c>
      <c r="K156" s="53">
        <f>+'Cons spec tot e finalizzati'!Q156-'Cons spec tot e finalizzati'!R156</f>
        <v>145</v>
      </c>
      <c r="L156" s="53">
        <f>+'Cons spec tot e finalizzati'!S156-'Cons spec tot e finalizzati'!T156</f>
        <v>30</v>
      </c>
      <c r="M156" s="53">
        <f>+'Cons spec tot e finalizzati'!U156-'Cons spec tot e finalizzati'!V156</f>
        <v>0</v>
      </c>
    </row>
    <row r="157" spans="1:13" s="2" customFormat="1" ht="12.75">
      <c r="A157" s="9"/>
      <c r="B157" s="24" t="s">
        <v>33</v>
      </c>
      <c r="D157"/>
      <c r="E157" s="53">
        <f>+'Cons spec tot e finalizzati'!E157-'Cons spec tot e finalizzati'!F157</f>
        <v>11</v>
      </c>
      <c r="F157" s="53">
        <f>+'Cons spec tot e finalizzati'!G157-'Cons spec tot e finalizzati'!H157</f>
        <v>13</v>
      </c>
      <c r="G157" s="47">
        <f>+'Cons spec tot e finalizzati'!I157-'Cons spec tot e finalizzati'!J157</f>
        <v>10</v>
      </c>
      <c r="H157" s="56">
        <f>+'Cons spec tot e finalizzati'!K157-'Cons spec tot e finalizzati'!L157</f>
        <v>11</v>
      </c>
      <c r="I157" s="53">
        <f>+'Cons spec tot e finalizzati'!M157-'Cons spec tot e finalizzati'!N157</f>
        <v>7</v>
      </c>
      <c r="J157" s="53">
        <f>+'Cons spec tot e finalizzati'!O157-'Cons spec tot e finalizzati'!P157</f>
        <v>7</v>
      </c>
      <c r="K157" s="53">
        <f>+'Cons spec tot e finalizzati'!Q157-'Cons spec tot e finalizzati'!R157</f>
        <v>8</v>
      </c>
      <c r="L157" s="53">
        <f>+'Cons spec tot e finalizzati'!S157-'Cons spec tot e finalizzati'!T157</f>
        <v>11</v>
      </c>
      <c r="M157" s="53">
        <f>+'Cons spec tot e finalizzati'!U157-'Cons spec tot e finalizzati'!V157</f>
        <v>12</v>
      </c>
    </row>
    <row r="158" spans="1:13" s="2" customFormat="1" ht="12.75">
      <c r="A158" s="9"/>
      <c r="B158" s="24" t="s">
        <v>108</v>
      </c>
      <c r="D158"/>
      <c r="E158" s="53">
        <f>+'Cons spec tot e finalizzati'!E158-'Cons spec tot e finalizzati'!F158</f>
        <v>17</v>
      </c>
      <c r="F158" s="53">
        <f>+'Cons spec tot e finalizzati'!G158-'Cons spec tot e finalizzati'!H158</f>
        <v>0</v>
      </c>
      <c r="G158" s="47">
        <f>+'Cons spec tot e finalizzati'!I158-'Cons spec tot e finalizzati'!J158</f>
        <v>0</v>
      </c>
      <c r="H158" s="56">
        <f>+'Cons spec tot e finalizzati'!K158-'Cons spec tot e finalizzati'!L158</f>
        <v>0</v>
      </c>
      <c r="I158" s="53">
        <f>+'Cons spec tot e finalizzati'!M158-'Cons spec tot e finalizzati'!N158</f>
        <v>102</v>
      </c>
      <c r="J158" s="53">
        <f>+'Cons spec tot e finalizzati'!O158-'Cons spec tot e finalizzati'!P158</f>
        <v>168</v>
      </c>
      <c r="K158" s="53">
        <f>+'Cons spec tot e finalizzati'!Q158-'Cons spec tot e finalizzati'!R158</f>
        <v>131</v>
      </c>
      <c r="L158" s="53">
        <f>+'Cons spec tot e finalizzati'!S158-'Cons spec tot e finalizzati'!T158</f>
        <v>148</v>
      </c>
      <c r="M158" s="53">
        <f>+'Cons spec tot e finalizzati'!U158-'Cons spec tot e finalizzati'!V158</f>
        <v>92</v>
      </c>
    </row>
    <row r="159" spans="1:13" s="2" customFormat="1" ht="12.75">
      <c r="A159" s="162" t="s">
        <v>68</v>
      </c>
      <c r="B159" s="126"/>
      <c r="C159" s="126"/>
      <c r="D159" s="171"/>
      <c r="E159" s="161">
        <f>+'Cons spec tot e finalizzati'!E159-'Cons spec tot e finalizzati'!F159</f>
        <v>23377</v>
      </c>
      <c r="F159" s="161">
        <f>+'Cons spec tot e finalizzati'!G159-'Cons spec tot e finalizzati'!H159</f>
        <v>25259</v>
      </c>
      <c r="G159" s="161">
        <f>+'Cons spec tot e finalizzati'!I159-'Cons spec tot e finalizzati'!J159</f>
        <v>26872.5</v>
      </c>
      <c r="H159" s="161">
        <f>+'Cons spec tot e finalizzati'!K159-'Cons spec tot e finalizzati'!L159</f>
        <v>28607.891094733688</v>
      </c>
      <c r="I159" s="161">
        <f>+'Cons spec tot e finalizzati'!M159-'Cons spec tot e finalizzati'!N159</f>
        <v>30082</v>
      </c>
      <c r="J159" s="161">
        <f>+'Cons spec tot e finalizzati'!O159-'Cons spec tot e finalizzati'!P159</f>
        <v>31730</v>
      </c>
      <c r="K159" s="161">
        <f>+'Cons spec tot e finalizzati'!Q159-'Cons spec tot e finalizzati'!R159</f>
        <v>31966</v>
      </c>
      <c r="L159" s="161">
        <f>+'Cons spec tot e finalizzati'!S159-'Cons spec tot e finalizzati'!T159</f>
        <v>33222</v>
      </c>
      <c r="M159" s="161">
        <f>+'Cons spec tot e finalizzati'!U159-'Cons spec tot e finalizzati'!V159</f>
        <v>33055</v>
      </c>
    </row>
    <row r="160" spans="1:13" s="2" customFormat="1" ht="12.75">
      <c r="A160" s="130" t="s">
        <v>34</v>
      </c>
      <c r="B160" s="123"/>
      <c r="C160" s="123"/>
      <c r="D160" s="170"/>
      <c r="E160" s="67">
        <f>+'Cons spec tot e finalizzati'!E160-'Cons spec tot e finalizzati'!F160</f>
        <v>1477</v>
      </c>
      <c r="F160" s="67">
        <f>+'Cons spec tot e finalizzati'!G160-'Cons spec tot e finalizzati'!H160</f>
        <v>1496</v>
      </c>
      <c r="G160" s="67">
        <f>+'Cons spec tot e finalizzati'!I160-'Cons spec tot e finalizzati'!J160</f>
        <v>1577</v>
      </c>
      <c r="H160" s="67">
        <f>+'Cons spec tot e finalizzati'!K160-'Cons spec tot e finalizzati'!L160</f>
        <v>1657</v>
      </c>
      <c r="I160" s="67">
        <f>+'Cons spec tot e finalizzati'!M160-'Cons spec tot e finalizzati'!N160</f>
        <v>1762</v>
      </c>
      <c r="J160" s="67">
        <f>+'Cons spec tot e finalizzati'!O160-'Cons spec tot e finalizzati'!P160</f>
        <v>1864</v>
      </c>
      <c r="K160" s="67">
        <f>+'Cons spec tot e finalizzati'!Q160-'Cons spec tot e finalizzati'!R160</f>
        <v>1893</v>
      </c>
      <c r="L160" s="67">
        <f>+'Cons spec tot e finalizzati'!S160-'Cons spec tot e finalizzati'!T160</f>
        <v>2163</v>
      </c>
      <c r="M160" s="67">
        <f>+'Cons spec tot e finalizzati'!U160-'Cons spec tot e finalizzati'!V160</f>
        <v>2154</v>
      </c>
    </row>
    <row r="161" spans="1:13" s="2" customFormat="1" ht="12.75">
      <c r="A161" s="29"/>
      <c r="B161" s="10" t="s">
        <v>35</v>
      </c>
      <c r="E161" s="113">
        <f>+'Cons spec tot e finalizzati'!E161-'Cons spec tot e finalizzati'!F161</f>
        <v>146</v>
      </c>
      <c r="F161" s="113">
        <f>+'Cons spec tot e finalizzati'!G161-'Cons spec tot e finalizzati'!H161</f>
        <v>156</v>
      </c>
      <c r="G161" s="113">
        <f>+'Cons spec tot e finalizzati'!I161-'Cons spec tot e finalizzati'!J161</f>
        <v>245</v>
      </c>
      <c r="H161" s="56">
        <f>+'Cons spec tot e finalizzati'!K161-'Cons spec tot e finalizzati'!L161</f>
        <v>262</v>
      </c>
      <c r="I161" s="53">
        <f>+'Cons spec tot e finalizzati'!M161-'Cons spec tot e finalizzati'!N161</f>
        <v>281</v>
      </c>
      <c r="J161" s="53">
        <f>+'Cons spec tot e finalizzati'!O161-'Cons spec tot e finalizzati'!P161</f>
        <v>229</v>
      </c>
      <c r="K161" s="53">
        <f>+'Cons spec tot e finalizzati'!Q161-'Cons spec tot e finalizzati'!R161</f>
        <v>259</v>
      </c>
      <c r="L161" s="53">
        <f>+'Cons spec tot e finalizzati'!S161-'Cons spec tot e finalizzati'!T161</f>
        <v>306</v>
      </c>
      <c r="M161" s="53">
        <f>+'Cons spec tot e finalizzati'!U161-'Cons spec tot e finalizzati'!V161</f>
        <v>225</v>
      </c>
    </row>
    <row r="162" spans="1:13" s="2" customFormat="1" ht="12.75">
      <c r="A162" s="29"/>
      <c r="B162" s="10" t="s">
        <v>36</v>
      </c>
      <c r="E162" s="113">
        <f>+'Cons spec tot e finalizzati'!E162-'Cons spec tot e finalizzati'!F162</f>
        <v>972</v>
      </c>
      <c r="F162" s="113">
        <f>+'Cons spec tot e finalizzati'!G162-'Cons spec tot e finalizzati'!H162</f>
        <v>965</v>
      </c>
      <c r="G162" s="113">
        <f>+'Cons spec tot e finalizzati'!I162-'Cons spec tot e finalizzati'!J162</f>
        <v>943</v>
      </c>
      <c r="H162" s="56">
        <f>+'Cons spec tot e finalizzati'!K162-'Cons spec tot e finalizzati'!L162</f>
        <v>947</v>
      </c>
      <c r="I162" s="53">
        <f>+'Cons spec tot e finalizzati'!M162-'Cons spec tot e finalizzati'!N162</f>
        <v>959</v>
      </c>
      <c r="J162" s="53">
        <f>+'Cons spec tot e finalizzati'!O162-'Cons spec tot e finalizzati'!P162</f>
        <v>1093</v>
      </c>
      <c r="K162" s="53">
        <f>+'Cons spec tot e finalizzati'!Q162-'Cons spec tot e finalizzati'!R162</f>
        <v>1088</v>
      </c>
      <c r="L162" s="53">
        <f>+'Cons spec tot e finalizzati'!S162-'Cons spec tot e finalizzati'!T162</f>
        <v>1286</v>
      </c>
      <c r="M162" s="53">
        <f>+'Cons spec tot e finalizzati'!U162-'Cons spec tot e finalizzati'!V162</f>
        <v>1230</v>
      </c>
    </row>
    <row r="163" spans="1:13" s="2" customFormat="1" ht="12.75">
      <c r="A163" s="29"/>
      <c r="B163" s="10" t="s">
        <v>37</v>
      </c>
      <c r="E163" s="113">
        <f>+'Cons spec tot e finalizzati'!E163-'Cons spec tot e finalizzati'!F163</f>
        <v>0</v>
      </c>
      <c r="F163" s="113">
        <f>+'Cons spec tot e finalizzati'!G163-'Cons spec tot e finalizzati'!H163</f>
        <v>0</v>
      </c>
      <c r="G163" s="113">
        <f>+'Cons spec tot e finalizzati'!I163-'Cons spec tot e finalizzati'!J163</f>
        <v>0</v>
      </c>
      <c r="H163" s="56">
        <f>+'Cons spec tot e finalizzati'!K163-'Cons spec tot e finalizzati'!L163</f>
        <v>0</v>
      </c>
      <c r="I163" s="53">
        <f>+'Cons spec tot e finalizzati'!M163-'Cons spec tot e finalizzati'!N163</f>
        <v>7</v>
      </c>
      <c r="J163" s="53">
        <f>+'Cons spec tot e finalizzati'!O163-'Cons spec tot e finalizzati'!P163</f>
        <v>7</v>
      </c>
      <c r="K163" s="53">
        <f>+'Cons spec tot e finalizzati'!Q163-'Cons spec tot e finalizzati'!R163</f>
        <v>1</v>
      </c>
      <c r="L163" s="53">
        <f>+'Cons spec tot e finalizzati'!S163-'Cons spec tot e finalizzati'!T163</f>
        <v>7</v>
      </c>
      <c r="M163" s="53">
        <f>+'Cons spec tot e finalizzati'!U163-'Cons spec tot e finalizzati'!V163</f>
        <v>0</v>
      </c>
    </row>
    <row r="164" spans="1:13" s="2" customFormat="1" ht="12.75">
      <c r="A164" s="29"/>
      <c r="B164" s="10" t="s">
        <v>38</v>
      </c>
      <c r="E164" s="113">
        <f>+'Cons spec tot e finalizzati'!E164-'Cons spec tot e finalizzati'!F164</f>
        <v>3</v>
      </c>
      <c r="F164" s="113">
        <f>+'Cons spec tot e finalizzati'!G164-'Cons spec tot e finalizzati'!H164</f>
        <v>18</v>
      </c>
      <c r="G164" s="113">
        <f>+'Cons spec tot e finalizzati'!I164-'Cons spec tot e finalizzati'!J164</f>
        <v>14</v>
      </c>
      <c r="H164" s="56">
        <f>+'Cons spec tot e finalizzati'!K164-'Cons spec tot e finalizzati'!L164</f>
        <v>15</v>
      </c>
      <c r="I164" s="53">
        <f>+'Cons spec tot e finalizzati'!M164-'Cons spec tot e finalizzati'!N164</f>
        <v>15</v>
      </c>
      <c r="J164" s="53">
        <f>+'Cons spec tot e finalizzati'!O164-'Cons spec tot e finalizzati'!P164</f>
        <v>63</v>
      </c>
      <c r="K164" s="53">
        <f>+'Cons spec tot e finalizzati'!Q164-'Cons spec tot e finalizzati'!R164</f>
        <v>66</v>
      </c>
      <c r="L164" s="53">
        <f>+'Cons spec tot e finalizzati'!S164-'Cons spec tot e finalizzati'!T164</f>
        <v>63</v>
      </c>
      <c r="M164" s="53">
        <f>+'Cons spec tot e finalizzati'!U164-'Cons spec tot e finalizzati'!V164</f>
        <v>67</v>
      </c>
    </row>
    <row r="165" spans="1:13" s="2" customFormat="1" ht="12.75">
      <c r="A165" s="29"/>
      <c r="B165" s="10" t="s">
        <v>127</v>
      </c>
      <c r="E165" s="113">
        <f>+'Cons spec tot e finalizzati'!E165-'Cons spec tot e finalizzati'!F165</f>
        <v>282</v>
      </c>
      <c r="F165" s="113">
        <f>+'Cons spec tot e finalizzati'!G165-'Cons spec tot e finalizzati'!H165</f>
        <v>290</v>
      </c>
      <c r="G165" s="113">
        <f>+'Cons spec tot e finalizzati'!I165-'Cons spec tot e finalizzati'!J165</f>
        <v>297</v>
      </c>
      <c r="H165" s="56">
        <f>+'Cons spec tot e finalizzati'!K165-'Cons spec tot e finalizzati'!L165</f>
        <v>343</v>
      </c>
      <c r="I165" s="53">
        <f>+'Cons spec tot e finalizzati'!M165-'Cons spec tot e finalizzati'!N165</f>
        <v>262</v>
      </c>
      <c r="J165" s="53">
        <f>+'Cons spec tot e finalizzati'!O165-'Cons spec tot e finalizzati'!P165</f>
        <v>256</v>
      </c>
      <c r="K165" s="53">
        <f>+'Cons spec tot e finalizzati'!Q165-'Cons spec tot e finalizzati'!R165</f>
        <v>311</v>
      </c>
      <c r="L165" s="53">
        <f>+'Cons spec tot e finalizzati'!S165-'Cons spec tot e finalizzati'!T165</f>
        <v>330</v>
      </c>
      <c r="M165" s="53">
        <f>+'Cons spec tot e finalizzati'!U165-'Cons spec tot e finalizzati'!V165</f>
        <v>461</v>
      </c>
    </row>
    <row r="166" spans="1:13" s="2" customFormat="1" ht="12.75">
      <c r="A166" s="29"/>
      <c r="B166" s="10" t="s">
        <v>128</v>
      </c>
      <c r="E166" s="172">
        <f>+'Cons spec tot e finalizzati'!E166-'Cons spec tot e finalizzati'!F166</f>
        <v>74</v>
      </c>
      <c r="F166" s="172">
        <f>+'Cons spec tot e finalizzati'!G166-'Cons spec tot e finalizzati'!H166</f>
        <v>67</v>
      </c>
      <c r="G166" s="172">
        <f>+'Cons spec tot e finalizzati'!I166-'Cons spec tot e finalizzati'!J166</f>
        <v>78</v>
      </c>
      <c r="H166" s="69">
        <f>+'Cons spec tot e finalizzati'!K166-'Cons spec tot e finalizzati'!L166</f>
        <v>89</v>
      </c>
      <c r="I166" s="77">
        <f>+'Cons spec tot e finalizzati'!M166-'Cons spec tot e finalizzati'!N166</f>
        <v>238</v>
      </c>
      <c r="J166" s="77">
        <f>+'Cons spec tot e finalizzati'!O166-'Cons spec tot e finalizzati'!P166</f>
        <v>216</v>
      </c>
      <c r="K166" s="77">
        <f>+'Cons spec tot e finalizzati'!Q166-'Cons spec tot e finalizzati'!R166</f>
        <v>168</v>
      </c>
      <c r="L166" s="77">
        <f>+'Cons spec tot e finalizzati'!S166-'Cons spec tot e finalizzati'!T166</f>
        <v>171</v>
      </c>
      <c r="M166" s="77">
        <f>+'Cons spec tot e finalizzati'!U166-'Cons spec tot e finalizzati'!V166</f>
        <v>171</v>
      </c>
    </row>
    <row r="167" spans="1:13" s="2" customFormat="1" ht="12.75">
      <c r="A167" s="130" t="s">
        <v>39</v>
      </c>
      <c r="B167" s="123"/>
      <c r="C167" s="123"/>
      <c r="D167" s="170"/>
      <c r="E167" s="67">
        <f>+'Cons spec tot e finalizzati'!E167-'Cons spec tot e finalizzati'!F167</f>
        <v>3704</v>
      </c>
      <c r="F167" s="67">
        <f>+'Cons spec tot e finalizzati'!G167-'Cons spec tot e finalizzati'!H167</f>
        <v>4133</v>
      </c>
      <c r="G167" s="67">
        <f>+'Cons spec tot e finalizzati'!I167-'Cons spec tot e finalizzati'!J167</f>
        <v>4395</v>
      </c>
      <c r="H167" s="67">
        <f>+'Cons spec tot e finalizzati'!K167-'Cons spec tot e finalizzati'!L167</f>
        <v>4774.384801706374</v>
      </c>
      <c r="I167" s="67">
        <f>+'Cons spec tot e finalizzati'!M167-'Cons spec tot e finalizzati'!N167</f>
        <v>5164</v>
      </c>
      <c r="J167" s="67">
        <f>+'Cons spec tot e finalizzati'!O167-'Cons spec tot e finalizzati'!P167</f>
        <v>5396</v>
      </c>
      <c r="K167" s="67">
        <f>+'Cons spec tot e finalizzati'!Q167-'Cons spec tot e finalizzati'!R167</f>
        <v>5352</v>
      </c>
      <c r="L167" s="67">
        <f>+'Cons spec tot e finalizzati'!S167-'Cons spec tot e finalizzati'!T167</f>
        <v>5560</v>
      </c>
      <c r="M167" s="67">
        <f>+'Cons spec tot e finalizzati'!U167-'Cons spec tot e finalizzati'!V167</f>
        <v>5514</v>
      </c>
    </row>
    <row r="168" spans="1:13" s="2" customFormat="1" ht="12.75">
      <c r="A168" s="29"/>
      <c r="B168" s="10" t="s">
        <v>35</v>
      </c>
      <c r="E168" s="113">
        <f>+'Cons spec tot e finalizzati'!E168-'Cons spec tot e finalizzati'!F168</f>
        <v>178</v>
      </c>
      <c r="F168" s="113">
        <f>+'Cons spec tot e finalizzati'!G168-'Cons spec tot e finalizzati'!H168</f>
        <v>233</v>
      </c>
      <c r="G168" s="113">
        <f>+'Cons spec tot e finalizzati'!I168-'Cons spec tot e finalizzati'!J168</f>
        <v>194</v>
      </c>
      <c r="H168" s="56">
        <f>+'Cons spec tot e finalizzati'!K168-'Cons spec tot e finalizzati'!L168</f>
        <v>264.3848017063736</v>
      </c>
      <c r="I168" s="53">
        <f>+'Cons spec tot e finalizzati'!M168-'Cons spec tot e finalizzati'!N168</f>
        <v>205</v>
      </c>
      <c r="J168" s="53">
        <f>+'Cons spec tot e finalizzati'!O168-'Cons spec tot e finalizzati'!P168</f>
        <v>155</v>
      </c>
      <c r="K168" s="53">
        <f>+'Cons spec tot e finalizzati'!Q168-'Cons spec tot e finalizzati'!R168</f>
        <v>165</v>
      </c>
      <c r="L168" s="53">
        <f>+'Cons spec tot e finalizzati'!S168-'Cons spec tot e finalizzati'!T168</f>
        <v>163</v>
      </c>
      <c r="M168" s="53">
        <f>+'Cons spec tot e finalizzati'!U168-'Cons spec tot e finalizzati'!V168</f>
        <v>202</v>
      </c>
    </row>
    <row r="169" spans="1:13" s="2" customFormat="1" ht="12.75">
      <c r="A169" s="29"/>
      <c r="B169" s="10" t="s">
        <v>36</v>
      </c>
      <c r="E169" s="113">
        <f>+'Cons spec tot e finalizzati'!E169-'Cons spec tot e finalizzati'!F169</f>
        <v>2723</v>
      </c>
      <c r="F169" s="113">
        <f>+'Cons spec tot e finalizzati'!G169-'Cons spec tot e finalizzati'!H169</f>
        <v>2837</v>
      </c>
      <c r="G169" s="113">
        <f>+'Cons spec tot e finalizzati'!I169-'Cons spec tot e finalizzati'!J169</f>
        <v>3173</v>
      </c>
      <c r="H169" s="56">
        <f>+'Cons spec tot e finalizzati'!K169-'Cons spec tot e finalizzati'!L169</f>
        <v>3300</v>
      </c>
      <c r="I169" s="53">
        <f>+'Cons spec tot e finalizzati'!M169-'Cons spec tot e finalizzati'!N169</f>
        <v>3244</v>
      </c>
      <c r="J169" s="53">
        <f>+'Cons spec tot e finalizzati'!O169-'Cons spec tot e finalizzati'!P169</f>
        <v>3393</v>
      </c>
      <c r="K169" s="53">
        <f>+'Cons spec tot e finalizzati'!Q169-'Cons spec tot e finalizzati'!R169</f>
        <v>3171</v>
      </c>
      <c r="L169" s="53">
        <f>+'Cons spec tot e finalizzati'!S169-'Cons spec tot e finalizzati'!T169</f>
        <v>3290</v>
      </c>
      <c r="M169" s="53">
        <f>+'Cons spec tot e finalizzati'!U169-'Cons spec tot e finalizzati'!V169</f>
        <v>3320</v>
      </c>
    </row>
    <row r="170" spans="1:13" s="2" customFormat="1" ht="12.75">
      <c r="A170" s="29"/>
      <c r="B170" s="10" t="s">
        <v>37</v>
      </c>
      <c r="E170" s="113">
        <f>+'Cons spec tot e finalizzati'!E170-'Cons spec tot e finalizzati'!F170</f>
        <v>0</v>
      </c>
      <c r="F170" s="113">
        <f>+'Cons spec tot e finalizzati'!G170-'Cons spec tot e finalizzati'!H170</f>
        <v>0</v>
      </c>
      <c r="G170" s="113">
        <f>+'Cons spec tot e finalizzati'!I170-'Cons spec tot e finalizzati'!J170</f>
        <v>0</v>
      </c>
      <c r="H170" s="56">
        <f>+'Cons spec tot e finalizzati'!K170-'Cons spec tot e finalizzati'!L170</f>
        <v>0</v>
      </c>
      <c r="I170" s="53">
        <f>+'Cons spec tot e finalizzati'!M170-'Cons spec tot e finalizzati'!N170</f>
        <v>22</v>
      </c>
      <c r="J170" s="53">
        <f>+'Cons spec tot e finalizzati'!O170-'Cons spec tot e finalizzati'!P170</f>
        <v>26</v>
      </c>
      <c r="K170" s="53">
        <f>+'Cons spec tot e finalizzati'!Q170-'Cons spec tot e finalizzati'!R170</f>
        <v>36</v>
      </c>
      <c r="L170" s="53">
        <f>+'Cons spec tot e finalizzati'!S170-'Cons spec tot e finalizzati'!T170</f>
        <v>43</v>
      </c>
      <c r="M170" s="53">
        <f>+'Cons spec tot e finalizzati'!U170-'Cons spec tot e finalizzati'!V170</f>
        <v>0</v>
      </c>
    </row>
    <row r="171" spans="1:13" s="2" customFormat="1" ht="12.75">
      <c r="A171" s="29"/>
      <c r="B171" s="10" t="s">
        <v>38</v>
      </c>
      <c r="E171" s="113">
        <f>+'Cons spec tot e finalizzati'!E171-'Cons spec tot e finalizzati'!F171</f>
        <v>11</v>
      </c>
      <c r="F171" s="113">
        <f>+'Cons spec tot e finalizzati'!G171-'Cons spec tot e finalizzati'!H171</f>
        <v>61</v>
      </c>
      <c r="G171" s="113">
        <f>+'Cons spec tot e finalizzati'!I171-'Cons spec tot e finalizzati'!J171</f>
        <v>51</v>
      </c>
      <c r="H171" s="56">
        <f>+'Cons spec tot e finalizzati'!K171-'Cons spec tot e finalizzati'!L171</f>
        <v>51</v>
      </c>
      <c r="I171" s="53">
        <f>+'Cons spec tot e finalizzati'!M171-'Cons spec tot e finalizzati'!N171</f>
        <v>97</v>
      </c>
      <c r="J171" s="53">
        <f>+'Cons spec tot e finalizzati'!O171-'Cons spec tot e finalizzati'!P171</f>
        <v>66</v>
      </c>
      <c r="K171" s="53">
        <f>+'Cons spec tot e finalizzati'!Q171-'Cons spec tot e finalizzati'!R171</f>
        <v>76</v>
      </c>
      <c r="L171" s="53">
        <f>+'Cons spec tot e finalizzati'!S171-'Cons spec tot e finalizzati'!T171</f>
        <v>85</v>
      </c>
      <c r="M171" s="53">
        <f>+'Cons spec tot e finalizzati'!U171-'Cons spec tot e finalizzati'!V171</f>
        <v>92</v>
      </c>
    </row>
    <row r="172" spans="1:13" s="2" customFormat="1" ht="12.75">
      <c r="A172" s="29"/>
      <c r="B172" s="10" t="s">
        <v>127</v>
      </c>
      <c r="E172" s="113">
        <f>+'Cons spec tot e finalizzati'!E172-'Cons spec tot e finalizzati'!F172</f>
        <v>731</v>
      </c>
      <c r="F172" s="113">
        <f>+'Cons spec tot e finalizzati'!G172-'Cons spec tot e finalizzati'!H172</f>
        <v>855</v>
      </c>
      <c r="G172" s="113">
        <f>+'Cons spec tot e finalizzati'!I172-'Cons spec tot e finalizzati'!J172</f>
        <v>798</v>
      </c>
      <c r="H172" s="56">
        <f>+'Cons spec tot e finalizzati'!K172-'Cons spec tot e finalizzati'!L172</f>
        <v>948</v>
      </c>
      <c r="I172" s="53">
        <f>+'Cons spec tot e finalizzati'!M172-'Cons spec tot e finalizzati'!N172</f>
        <v>1085</v>
      </c>
      <c r="J172" s="53">
        <f>+'Cons spec tot e finalizzati'!O172-'Cons spec tot e finalizzati'!P172</f>
        <v>1128</v>
      </c>
      <c r="K172" s="53">
        <f>+'Cons spec tot e finalizzati'!Q172-'Cons spec tot e finalizzati'!R172</f>
        <v>1324</v>
      </c>
      <c r="L172" s="53">
        <f>+'Cons spec tot e finalizzati'!S172-'Cons spec tot e finalizzati'!T172</f>
        <v>1397</v>
      </c>
      <c r="M172" s="53">
        <f>+'Cons spec tot e finalizzati'!U172-'Cons spec tot e finalizzati'!V172</f>
        <v>1334</v>
      </c>
    </row>
    <row r="173" spans="1:13" s="2" customFormat="1" ht="12.75">
      <c r="A173" s="29"/>
      <c r="B173" s="10" t="s">
        <v>128</v>
      </c>
      <c r="E173" s="172">
        <f>+'Cons spec tot e finalizzati'!E173-'Cons spec tot e finalizzati'!F173</f>
        <v>61</v>
      </c>
      <c r="F173" s="172">
        <f>+'Cons spec tot e finalizzati'!G173-'Cons spec tot e finalizzati'!H173</f>
        <v>147</v>
      </c>
      <c r="G173" s="172">
        <f>+'Cons spec tot e finalizzati'!I173-'Cons spec tot e finalizzati'!J173</f>
        <v>179</v>
      </c>
      <c r="H173" s="69">
        <f>+'Cons spec tot e finalizzati'!K173-'Cons spec tot e finalizzati'!L173</f>
        <v>211</v>
      </c>
      <c r="I173" s="77">
        <f>+'Cons spec tot e finalizzati'!M173-'Cons spec tot e finalizzati'!N173</f>
        <v>511</v>
      </c>
      <c r="J173" s="77">
        <f>+'Cons spec tot e finalizzati'!O173-'Cons spec tot e finalizzati'!P173</f>
        <v>628</v>
      </c>
      <c r="K173" s="77">
        <f>+'Cons spec tot e finalizzati'!Q173-'Cons spec tot e finalizzati'!R173</f>
        <v>580</v>
      </c>
      <c r="L173" s="77">
        <f>+'Cons spec tot e finalizzati'!S173-'Cons spec tot e finalizzati'!T173</f>
        <v>582</v>
      </c>
      <c r="M173" s="77">
        <f>+'Cons spec tot e finalizzati'!U173-'Cons spec tot e finalizzati'!V173</f>
        <v>566</v>
      </c>
    </row>
    <row r="174" spans="1:13" s="2" customFormat="1" ht="12.75">
      <c r="A174" s="130" t="s">
        <v>40</v>
      </c>
      <c r="B174" s="123"/>
      <c r="C174" s="123"/>
      <c r="D174" s="170"/>
      <c r="E174" s="67">
        <f>+'Cons spec tot e finalizzati'!E174-'Cons spec tot e finalizzati'!F174</f>
        <v>2417</v>
      </c>
      <c r="F174" s="67">
        <f>+'Cons spec tot e finalizzati'!G174-'Cons spec tot e finalizzati'!H174</f>
        <v>2523</v>
      </c>
      <c r="G174" s="67">
        <f>+'Cons spec tot e finalizzati'!I174-'Cons spec tot e finalizzati'!J174</f>
        <v>2656</v>
      </c>
      <c r="H174" s="67">
        <f>+'Cons spec tot e finalizzati'!K174-'Cons spec tot e finalizzati'!L174</f>
        <v>2762</v>
      </c>
      <c r="I174" s="67">
        <f>+'Cons spec tot e finalizzati'!M174-'Cons spec tot e finalizzati'!N174</f>
        <v>2844</v>
      </c>
      <c r="J174" s="67">
        <f>+'Cons spec tot e finalizzati'!O174-'Cons spec tot e finalizzati'!P174</f>
        <v>2847</v>
      </c>
      <c r="K174" s="67">
        <f>+'Cons spec tot e finalizzati'!Q174-'Cons spec tot e finalizzati'!R174</f>
        <v>2921</v>
      </c>
      <c r="L174" s="67">
        <f>+'Cons spec tot e finalizzati'!S174-'Cons spec tot e finalizzati'!T174</f>
        <v>2943</v>
      </c>
      <c r="M174" s="67">
        <f>+'Cons spec tot e finalizzati'!U174-'Cons spec tot e finalizzati'!V174</f>
        <v>2973</v>
      </c>
    </row>
    <row r="175" spans="1:13" s="2" customFormat="1" ht="13.5" customHeight="1">
      <c r="A175" s="29"/>
      <c r="B175" s="10" t="s">
        <v>35</v>
      </c>
      <c r="E175" s="113">
        <f>+'Cons spec tot e finalizzati'!E175-'Cons spec tot e finalizzati'!F175</f>
        <v>107</v>
      </c>
      <c r="F175" s="113">
        <f>+'Cons spec tot e finalizzati'!G175-'Cons spec tot e finalizzati'!H175</f>
        <v>153</v>
      </c>
      <c r="G175" s="113">
        <f>+'Cons spec tot e finalizzati'!I175-'Cons spec tot e finalizzati'!J175</f>
        <v>244</v>
      </c>
      <c r="H175" s="56">
        <f>+'Cons spec tot e finalizzati'!K175-'Cons spec tot e finalizzati'!L175</f>
        <v>244</v>
      </c>
      <c r="I175" s="53">
        <f>+'Cons spec tot e finalizzati'!M175-'Cons spec tot e finalizzati'!N175</f>
        <v>170</v>
      </c>
      <c r="J175" s="53">
        <f>+'Cons spec tot e finalizzati'!O175-'Cons spec tot e finalizzati'!P175</f>
        <v>178</v>
      </c>
      <c r="K175" s="53">
        <f>+'Cons spec tot e finalizzati'!Q175-'Cons spec tot e finalizzati'!R175</f>
        <v>156</v>
      </c>
      <c r="L175" s="53">
        <f>+'Cons spec tot e finalizzati'!S175-'Cons spec tot e finalizzati'!T175</f>
        <v>112</v>
      </c>
      <c r="M175" s="53">
        <f>+'Cons spec tot e finalizzati'!U175-'Cons spec tot e finalizzati'!V175</f>
        <v>136</v>
      </c>
    </row>
    <row r="176" spans="1:13" s="2" customFormat="1" ht="12.75">
      <c r="A176" s="29"/>
      <c r="B176" s="10" t="s">
        <v>36</v>
      </c>
      <c r="E176" s="113">
        <f>+'Cons spec tot e finalizzati'!E176-'Cons spec tot e finalizzati'!F176</f>
        <v>1928</v>
      </c>
      <c r="F176" s="113">
        <f>+'Cons spec tot e finalizzati'!G176-'Cons spec tot e finalizzati'!H176</f>
        <v>1927</v>
      </c>
      <c r="G176" s="113">
        <f>+'Cons spec tot e finalizzati'!I176-'Cons spec tot e finalizzati'!J176</f>
        <v>1954</v>
      </c>
      <c r="H176" s="56">
        <f>+'Cons spec tot e finalizzati'!K176-'Cons spec tot e finalizzati'!L176</f>
        <v>2005</v>
      </c>
      <c r="I176" s="53">
        <f>+'Cons spec tot e finalizzati'!M176-'Cons spec tot e finalizzati'!N176</f>
        <v>2041</v>
      </c>
      <c r="J176" s="53">
        <f>+'Cons spec tot e finalizzati'!O176-'Cons spec tot e finalizzati'!P176</f>
        <v>1975</v>
      </c>
      <c r="K176" s="53">
        <f>+'Cons spec tot e finalizzati'!Q176-'Cons spec tot e finalizzati'!R176</f>
        <v>2090</v>
      </c>
      <c r="L176" s="53">
        <f>+'Cons spec tot e finalizzati'!S176-'Cons spec tot e finalizzati'!T176</f>
        <v>2118</v>
      </c>
      <c r="M176" s="53">
        <f>+'Cons spec tot e finalizzati'!U176-'Cons spec tot e finalizzati'!V176</f>
        <v>2162</v>
      </c>
    </row>
    <row r="177" spans="1:13" s="2" customFormat="1" ht="12.75">
      <c r="A177" s="29"/>
      <c r="B177" s="10" t="s">
        <v>37</v>
      </c>
      <c r="E177" s="113">
        <f>+'Cons spec tot e finalizzati'!E177-'Cons spec tot e finalizzati'!F177</f>
        <v>0</v>
      </c>
      <c r="F177" s="113">
        <f>+'Cons spec tot e finalizzati'!G177-'Cons spec tot e finalizzati'!H177</f>
        <v>0</v>
      </c>
      <c r="G177" s="113">
        <f>+'Cons spec tot e finalizzati'!I177-'Cons spec tot e finalizzati'!J177</f>
        <v>0</v>
      </c>
      <c r="H177" s="56">
        <f>+'Cons spec tot e finalizzati'!K177-'Cons spec tot e finalizzati'!L177</f>
        <v>0</v>
      </c>
      <c r="I177" s="53">
        <f>+'Cons spec tot e finalizzati'!M177-'Cons spec tot e finalizzati'!N177</f>
        <v>26</v>
      </c>
      <c r="J177" s="53">
        <f>+'Cons spec tot e finalizzati'!O177-'Cons spec tot e finalizzati'!P177</f>
        <v>26</v>
      </c>
      <c r="K177" s="53">
        <f>+'Cons spec tot e finalizzati'!Q177-'Cons spec tot e finalizzati'!R177</f>
        <v>27</v>
      </c>
      <c r="L177" s="53">
        <f>+'Cons spec tot e finalizzati'!S177-'Cons spec tot e finalizzati'!T177</f>
        <v>2</v>
      </c>
      <c r="M177" s="53">
        <f>+'Cons spec tot e finalizzati'!U177-'Cons spec tot e finalizzati'!V177</f>
        <v>0</v>
      </c>
    </row>
    <row r="178" spans="1:13" ht="12.75">
      <c r="A178" s="29"/>
      <c r="B178" s="10" t="s">
        <v>38</v>
      </c>
      <c r="C178" s="2"/>
      <c r="D178" s="2"/>
      <c r="E178" s="113">
        <f>+'Cons spec tot e finalizzati'!E178-'Cons spec tot e finalizzati'!F178</f>
        <v>10</v>
      </c>
      <c r="F178" s="113">
        <f>+'Cons spec tot e finalizzati'!G178-'Cons spec tot e finalizzati'!H178</f>
        <v>52</v>
      </c>
      <c r="G178" s="113">
        <f>+'Cons spec tot e finalizzati'!I178-'Cons spec tot e finalizzati'!J178</f>
        <v>42</v>
      </c>
      <c r="H178" s="56">
        <f>+'Cons spec tot e finalizzati'!K178-'Cons spec tot e finalizzati'!L178</f>
        <v>51</v>
      </c>
      <c r="I178" s="53">
        <f>+'Cons spec tot e finalizzati'!M178-'Cons spec tot e finalizzati'!N178</f>
        <v>50</v>
      </c>
      <c r="J178" s="53">
        <f>+'Cons spec tot e finalizzati'!O178-'Cons spec tot e finalizzati'!P178</f>
        <v>60</v>
      </c>
      <c r="K178" s="53">
        <f>+'Cons spec tot e finalizzati'!Q178-'Cons spec tot e finalizzati'!R178</f>
        <v>76</v>
      </c>
      <c r="L178" s="53">
        <f>+'Cons spec tot e finalizzati'!S178-'Cons spec tot e finalizzati'!T178</f>
        <v>85</v>
      </c>
      <c r="M178" s="53">
        <f>+'Cons spec tot e finalizzati'!U178-'Cons spec tot e finalizzati'!V178</f>
        <v>92</v>
      </c>
    </row>
    <row r="179" spans="1:13" ht="12.75">
      <c r="A179" s="29"/>
      <c r="B179" s="10" t="s">
        <v>127</v>
      </c>
      <c r="C179" s="2"/>
      <c r="D179" s="2"/>
      <c r="E179" s="113">
        <f>+'Cons spec tot e finalizzati'!E179-'Cons spec tot e finalizzati'!F179</f>
        <v>250</v>
      </c>
      <c r="F179" s="113">
        <f>+'Cons spec tot e finalizzati'!G179-'Cons spec tot e finalizzati'!H179</f>
        <v>269</v>
      </c>
      <c r="G179" s="113">
        <f>+'Cons spec tot e finalizzati'!I179-'Cons spec tot e finalizzati'!J179</f>
        <v>270</v>
      </c>
      <c r="H179" s="56">
        <f>+'Cons spec tot e finalizzati'!K179-'Cons spec tot e finalizzati'!L179</f>
        <v>338</v>
      </c>
      <c r="I179" s="53">
        <f>+'Cons spec tot e finalizzati'!M179-'Cons spec tot e finalizzati'!N179</f>
        <v>387</v>
      </c>
      <c r="J179" s="53">
        <f>+'Cons spec tot e finalizzati'!O179-'Cons spec tot e finalizzati'!P179</f>
        <v>417</v>
      </c>
      <c r="K179" s="53">
        <f>+'Cons spec tot e finalizzati'!Q179-'Cons spec tot e finalizzati'!R179</f>
        <v>437</v>
      </c>
      <c r="L179" s="53">
        <f>+'Cons spec tot e finalizzati'!S179-'Cons spec tot e finalizzati'!T179</f>
        <v>446</v>
      </c>
      <c r="M179" s="53">
        <f>+'Cons spec tot e finalizzati'!U179-'Cons spec tot e finalizzati'!V179</f>
        <v>438</v>
      </c>
    </row>
    <row r="180" spans="1:13" ht="12.75">
      <c r="A180" s="29"/>
      <c r="B180" s="10" t="s">
        <v>128</v>
      </c>
      <c r="C180" s="2"/>
      <c r="D180" s="2"/>
      <c r="E180" s="172">
        <f>+'Cons spec tot e finalizzati'!E180-'Cons spec tot e finalizzati'!F180</f>
        <v>122</v>
      </c>
      <c r="F180" s="172">
        <f>+'Cons spec tot e finalizzati'!G180-'Cons spec tot e finalizzati'!H180</f>
        <v>122</v>
      </c>
      <c r="G180" s="172">
        <f>+'Cons spec tot e finalizzati'!I180-'Cons spec tot e finalizzati'!J180</f>
        <v>146</v>
      </c>
      <c r="H180" s="69">
        <f>+'Cons spec tot e finalizzati'!K180-'Cons spec tot e finalizzati'!L180</f>
        <v>124</v>
      </c>
      <c r="I180" s="77">
        <f>+'Cons spec tot e finalizzati'!M180-'Cons spec tot e finalizzati'!N180</f>
        <v>170</v>
      </c>
      <c r="J180" s="77">
        <f>+'Cons spec tot e finalizzati'!O180-'Cons spec tot e finalizzati'!P180</f>
        <v>191</v>
      </c>
      <c r="K180" s="77">
        <f>+'Cons spec tot e finalizzati'!Q180-'Cons spec tot e finalizzati'!R180</f>
        <v>135</v>
      </c>
      <c r="L180" s="77">
        <f>+'Cons spec tot e finalizzati'!S180-'Cons spec tot e finalizzati'!T180</f>
        <v>180</v>
      </c>
      <c r="M180" s="77">
        <f>+'Cons spec tot e finalizzati'!U180-'Cons spec tot e finalizzati'!V180</f>
        <v>145</v>
      </c>
    </row>
    <row r="181" spans="1:13" ht="12.75">
      <c r="A181" s="130" t="s">
        <v>41</v>
      </c>
      <c r="B181" s="123"/>
      <c r="C181" s="123"/>
      <c r="D181" s="170"/>
      <c r="E181" s="67">
        <f>+'Cons spec tot e finalizzati'!E181-'Cons spec tot e finalizzati'!F181</f>
        <v>1937</v>
      </c>
      <c r="F181" s="67">
        <f>+'Cons spec tot e finalizzati'!G181-'Cons spec tot e finalizzati'!H181</f>
        <v>2061</v>
      </c>
      <c r="G181" s="67">
        <f>+'Cons spec tot e finalizzati'!I181-'Cons spec tot e finalizzati'!J181</f>
        <v>2175</v>
      </c>
      <c r="H181" s="67">
        <f>+'Cons spec tot e finalizzati'!K181-'Cons spec tot e finalizzati'!L181</f>
        <v>2364</v>
      </c>
      <c r="I181" s="67">
        <f>+'Cons spec tot e finalizzati'!M181-'Cons spec tot e finalizzati'!N181</f>
        <v>2542</v>
      </c>
      <c r="J181" s="67">
        <f>+'Cons spec tot e finalizzati'!O181-'Cons spec tot e finalizzati'!P181</f>
        <v>2821</v>
      </c>
      <c r="K181" s="67">
        <f>+'Cons spec tot e finalizzati'!Q181-'Cons spec tot e finalizzati'!R181</f>
        <v>2964</v>
      </c>
      <c r="L181" s="67">
        <f>+'Cons spec tot e finalizzati'!S181-'Cons spec tot e finalizzati'!T181</f>
        <v>3120</v>
      </c>
      <c r="M181" s="67">
        <f>+'Cons spec tot e finalizzati'!U181-'Cons spec tot e finalizzati'!V181</f>
        <v>3147</v>
      </c>
    </row>
    <row r="182" spans="1:13" ht="12.75">
      <c r="A182" s="29"/>
      <c r="B182" s="10" t="s">
        <v>35</v>
      </c>
      <c r="C182" s="2"/>
      <c r="D182" s="2"/>
      <c r="E182" s="113">
        <f>+'Cons spec tot e finalizzati'!E182-'Cons spec tot e finalizzati'!F182</f>
        <v>123</v>
      </c>
      <c r="F182" s="113">
        <f>+'Cons spec tot e finalizzati'!G182-'Cons spec tot e finalizzati'!H182</f>
        <v>80</v>
      </c>
      <c r="G182" s="113">
        <f>+'Cons spec tot e finalizzati'!I182-'Cons spec tot e finalizzati'!J182</f>
        <v>104</v>
      </c>
      <c r="H182" s="56">
        <f>+'Cons spec tot e finalizzati'!K182-'Cons spec tot e finalizzati'!L182</f>
        <v>102</v>
      </c>
      <c r="I182" s="53">
        <f>+'Cons spec tot e finalizzati'!M182-'Cons spec tot e finalizzati'!N182</f>
        <v>159</v>
      </c>
      <c r="J182" s="53">
        <f>+'Cons spec tot e finalizzati'!O182-'Cons spec tot e finalizzati'!P182</f>
        <v>115</v>
      </c>
      <c r="K182" s="53">
        <f>+'Cons spec tot e finalizzati'!Q182-'Cons spec tot e finalizzati'!R182</f>
        <v>144</v>
      </c>
      <c r="L182" s="53">
        <f>+'Cons spec tot e finalizzati'!S182-'Cons spec tot e finalizzati'!T182</f>
        <v>126</v>
      </c>
      <c r="M182" s="53">
        <f>+'Cons spec tot e finalizzati'!U182-'Cons spec tot e finalizzati'!V182</f>
        <v>174</v>
      </c>
    </row>
    <row r="183" spans="1:13" ht="12.75">
      <c r="A183" s="29"/>
      <c r="B183" s="10" t="s">
        <v>36</v>
      </c>
      <c r="C183" s="2"/>
      <c r="D183" s="2"/>
      <c r="E183" s="113">
        <f>+'Cons spec tot e finalizzati'!E183-'Cons spec tot e finalizzati'!F183</f>
        <v>1195</v>
      </c>
      <c r="F183" s="113">
        <f>+'Cons spec tot e finalizzati'!G183-'Cons spec tot e finalizzati'!H183</f>
        <v>1307</v>
      </c>
      <c r="G183" s="113">
        <f>+'Cons spec tot e finalizzati'!I183-'Cons spec tot e finalizzati'!J183</f>
        <v>1402</v>
      </c>
      <c r="H183" s="56">
        <f>+'Cons spec tot e finalizzati'!K183-'Cons spec tot e finalizzati'!L183</f>
        <v>1526</v>
      </c>
      <c r="I183" s="53">
        <f>+'Cons spec tot e finalizzati'!M183-'Cons spec tot e finalizzati'!N183</f>
        <v>1516</v>
      </c>
      <c r="J183" s="53">
        <f>+'Cons spec tot e finalizzati'!O183-'Cons spec tot e finalizzati'!P183</f>
        <v>1708</v>
      </c>
      <c r="K183" s="53">
        <f>+'Cons spec tot e finalizzati'!Q183-'Cons spec tot e finalizzati'!R183</f>
        <v>1805</v>
      </c>
      <c r="L183" s="53">
        <f>+'Cons spec tot e finalizzati'!S183-'Cons spec tot e finalizzati'!T183</f>
        <v>1929</v>
      </c>
      <c r="M183" s="53">
        <f>+'Cons spec tot e finalizzati'!U183-'Cons spec tot e finalizzati'!V183</f>
        <v>1862</v>
      </c>
    </row>
    <row r="184" spans="1:13" ht="12.75">
      <c r="A184" s="29"/>
      <c r="B184" s="10" t="s">
        <v>37</v>
      </c>
      <c r="C184" s="2"/>
      <c r="D184" s="2"/>
      <c r="E184" s="113">
        <f>+'Cons spec tot e finalizzati'!E184-'Cons spec tot e finalizzati'!F184</f>
        <v>0</v>
      </c>
      <c r="F184" s="113">
        <f>+'Cons spec tot e finalizzati'!G184-'Cons spec tot e finalizzati'!H184</f>
        <v>0</v>
      </c>
      <c r="G184" s="113">
        <f>+'Cons spec tot e finalizzati'!I184-'Cons spec tot e finalizzati'!J184</f>
        <v>0</v>
      </c>
      <c r="H184" s="56">
        <f>+'Cons spec tot e finalizzati'!K184-'Cons spec tot e finalizzati'!L184</f>
        <v>0</v>
      </c>
      <c r="I184" s="53">
        <f>+'Cons spec tot e finalizzati'!M184-'Cons spec tot e finalizzati'!N184</f>
        <v>26</v>
      </c>
      <c r="J184" s="53">
        <f>+'Cons spec tot e finalizzati'!O184-'Cons spec tot e finalizzati'!P184</f>
        <v>30</v>
      </c>
      <c r="K184" s="53">
        <f>+'Cons spec tot e finalizzati'!Q184-'Cons spec tot e finalizzati'!R184</f>
        <v>40</v>
      </c>
      <c r="L184" s="53">
        <f>+'Cons spec tot e finalizzati'!S184-'Cons spec tot e finalizzati'!T184</f>
        <v>29</v>
      </c>
      <c r="M184" s="53">
        <f>+'Cons spec tot e finalizzati'!U184-'Cons spec tot e finalizzati'!V184</f>
        <v>0</v>
      </c>
    </row>
    <row r="185" spans="1:13" ht="12.75">
      <c r="A185" s="29"/>
      <c r="B185" s="10" t="s">
        <v>38</v>
      </c>
      <c r="C185" s="2"/>
      <c r="D185" s="2"/>
      <c r="E185" s="113">
        <f>+'Cons spec tot e finalizzati'!E185-'Cons spec tot e finalizzati'!F185</f>
        <v>6</v>
      </c>
      <c r="F185" s="113">
        <f>+'Cons spec tot e finalizzati'!G185-'Cons spec tot e finalizzati'!H185</f>
        <v>35</v>
      </c>
      <c r="G185" s="113">
        <f>+'Cons spec tot e finalizzati'!I185-'Cons spec tot e finalizzati'!J185</f>
        <v>29</v>
      </c>
      <c r="H185" s="56">
        <f>+'Cons spec tot e finalizzati'!K185-'Cons spec tot e finalizzati'!L185</f>
        <v>29</v>
      </c>
      <c r="I185" s="53">
        <f>+'Cons spec tot e finalizzati'!M185-'Cons spec tot e finalizzati'!N185</f>
        <v>29</v>
      </c>
      <c r="J185" s="53">
        <f>+'Cons spec tot e finalizzati'!O185-'Cons spec tot e finalizzati'!P185</f>
        <v>35</v>
      </c>
      <c r="K185" s="53">
        <f>+'Cons spec tot e finalizzati'!Q185-'Cons spec tot e finalizzati'!R185</f>
        <v>44</v>
      </c>
      <c r="L185" s="53">
        <f>+'Cons spec tot e finalizzati'!S185-'Cons spec tot e finalizzati'!T185</f>
        <v>49</v>
      </c>
      <c r="M185" s="53">
        <f>+'Cons spec tot e finalizzati'!U185-'Cons spec tot e finalizzati'!V185</f>
        <v>53</v>
      </c>
    </row>
    <row r="186" spans="1:13" ht="12.75">
      <c r="A186" s="29"/>
      <c r="B186" s="10" t="s">
        <v>127</v>
      </c>
      <c r="C186" s="2"/>
      <c r="D186" s="2"/>
      <c r="E186" s="113">
        <f>+'Cons spec tot e finalizzati'!E186-'Cons spec tot e finalizzati'!F186</f>
        <v>348</v>
      </c>
      <c r="F186" s="113">
        <f>+'Cons spec tot e finalizzati'!G186-'Cons spec tot e finalizzati'!H186</f>
        <v>325</v>
      </c>
      <c r="G186" s="113">
        <f>+'Cons spec tot e finalizzati'!I186-'Cons spec tot e finalizzati'!J186</f>
        <v>329</v>
      </c>
      <c r="H186" s="56">
        <f>+'Cons spec tot e finalizzati'!K186-'Cons spec tot e finalizzati'!L186</f>
        <v>393</v>
      </c>
      <c r="I186" s="53">
        <f>+'Cons spec tot e finalizzati'!M186-'Cons spec tot e finalizzati'!N186</f>
        <v>441</v>
      </c>
      <c r="J186" s="53">
        <f>+'Cons spec tot e finalizzati'!O186-'Cons spec tot e finalizzati'!P186</f>
        <v>474</v>
      </c>
      <c r="K186" s="53">
        <f>+'Cons spec tot e finalizzati'!Q186-'Cons spec tot e finalizzati'!R186</f>
        <v>506</v>
      </c>
      <c r="L186" s="53">
        <f>+'Cons spec tot e finalizzati'!S186-'Cons spec tot e finalizzati'!T186</f>
        <v>566</v>
      </c>
      <c r="M186" s="53">
        <f>+'Cons spec tot e finalizzati'!U186-'Cons spec tot e finalizzati'!V186</f>
        <v>619</v>
      </c>
    </row>
    <row r="187" spans="1:13" ht="12.75">
      <c r="A187" s="29"/>
      <c r="B187" s="10" t="s">
        <v>128</v>
      </c>
      <c r="C187" s="2"/>
      <c r="D187" s="2"/>
      <c r="E187" s="172">
        <f>+'Cons spec tot e finalizzati'!E187-'Cons spec tot e finalizzati'!F187</f>
        <v>265</v>
      </c>
      <c r="F187" s="172">
        <f>+'Cons spec tot e finalizzati'!G187-'Cons spec tot e finalizzati'!H187</f>
        <v>314</v>
      </c>
      <c r="G187" s="172">
        <f>+'Cons spec tot e finalizzati'!I187-'Cons spec tot e finalizzati'!J187</f>
        <v>311</v>
      </c>
      <c r="H187" s="69">
        <f>+'Cons spec tot e finalizzati'!K187-'Cons spec tot e finalizzati'!L187</f>
        <v>315</v>
      </c>
      <c r="I187" s="77">
        <f>+'Cons spec tot e finalizzati'!M187-'Cons spec tot e finalizzati'!N187</f>
        <v>371</v>
      </c>
      <c r="J187" s="77">
        <f>+'Cons spec tot e finalizzati'!O187-'Cons spec tot e finalizzati'!P187</f>
        <v>459</v>
      </c>
      <c r="K187" s="77">
        <f>+'Cons spec tot e finalizzati'!Q187-'Cons spec tot e finalizzati'!R187</f>
        <v>425</v>
      </c>
      <c r="L187" s="77">
        <f>+'Cons spec tot e finalizzati'!S187-'Cons spec tot e finalizzati'!T187</f>
        <v>421</v>
      </c>
      <c r="M187" s="77">
        <f>+'Cons spec tot e finalizzati'!U187-'Cons spec tot e finalizzati'!V187</f>
        <v>439</v>
      </c>
    </row>
    <row r="188" spans="1:13" ht="12.75">
      <c r="A188" s="130" t="s">
        <v>42</v>
      </c>
      <c r="B188" s="123"/>
      <c r="C188" s="123"/>
      <c r="D188" s="170"/>
      <c r="E188" s="67">
        <f>+'Cons spec tot e finalizzati'!E188-'Cons spec tot e finalizzati'!F188</f>
        <v>1924</v>
      </c>
      <c r="F188" s="67">
        <f>+'Cons spec tot e finalizzati'!G188-'Cons spec tot e finalizzati'!H188</f>
        <v>2143</v>
      </c>
      <c r="G188" s="67">
        <f>+'Cons spec tot e finalizzati'!I188-'Cons spec tot e finalizzati'!J188</f>
        <v>2288</v>
      </c>
      <c r="H188" s="67">
        <f>+'Cons spec tot e finalizzati'!K188-'Cons spec tot e finalizzati'!L188</f>
        <v>2609</v>
      </c>
      <c r="I188" s="67">
        <f>+'Cons spec tot e finalizzati'!M188-'Cons spec tot e finalizzati'!N188</f>
        <v>2694</v>
      </c>
      <c r="J188" s="67">
        <f>+'Cons spec tot e finalizzati'!O188-'Cons spec tot e finalizzati'!P188</f>
        <v>2995</v>
      </c>
      <c r="K188" s="67">
        <f>+'Cons spec tot e finalizzati'!Q188-'Cons spec tot e finalizzati'!R188</f>
        <v>2996</v>
      </c>
      <c r="L188" s="67">
        <f>+'Cons spec tot e finalizzati'!S188-'Cons spec tot e finalizzati'!T188</f>
        <v>3188</v>
      </c>
      <c r="M188" s="67">
        <f>+'Cons spec tot e finalizzati'!U188-'Cons spec tot e finalizzati'!V188</f>
        <v>3168</v>
      </c>
    </row>
    <row r="189" spans="1:13" ht="12.75">
      <c r="A189" s="29"/>
      <c r="B189" s="10" t="s">
        <v>35</v>
      </c>
      <c r="C189" s="2"/>
      <c r="D189" s="2"/>
      <c r="E189" s="113">
        <f>+'Cons spec tot e finalizzati'!E189-'Cons spec tot e finalizzati'!F189</f>
        <v>99</v>
      </c>
      <c r="F189" s="113">
        <f>+'Cons spec tot e finalizzati'!G189-'Cons spec tot e finalizzati'!H189</f>
        <v>94</v>
      </c>
      <c r="G189" s="113">
        <f>+'Cons spec tot e finalizzati'!I189-'Cons spec tot e finalizzati'!J189</f>
        <v>149</v>
      </c>
      <c r="H189" s="56">
        <f>+'Cons spec tot e finalizzati'!K189-'Cons spec tot e finalizzati'!L189</f>
        <v>145</v>
      </c>
      <c r="I189" s="53">
        <f>+'Cons spec tot e finalizzati'!M189-'Cons spec tot e finalizzati'!N189</f>
        <v>89</v>
      </c>
      <c r="J189" s="53">
        <f>+'Cons spec tot e finalizzati'!O189-'Cons spec tot e finalizzati'!P189</f>
        <v>70</v>
      </c>
      <c r="K189" s="53">
        <f>+'Cons spec tot e finalizzati'!Q189-'Cons spec tot e finalizzati'!R189</f>
        <v>138</v>
      </c>
      <c r="L189" s="53">
        <f>+'Cons spec tot e finalizzati'!S189-'Cons spec tot e finalizzati'!T189</f>
        <v>155</v>
      </c>
      <c r="M189" s="53">
        <f>+'Cons spec tot e finalizzati'!U189-'Cons spec tot e finalizzati'!V189</f>
        <v>224</v>
      </c>
    </row>
    <row r="190" spans="1:13" ht="12.75">
      <c r="A190" s="29"/>
      <c r="B190" s="10" t="s">
        <v>36</v>
      </c>
      <c r="C190" s="2"/>
      <c r="D190" s="2"/>
      <c r="E190" s="113">
        <f>+'Cons spec tot e finalizzati'!E190-'Cons spec tot e finalizzati'!F190</f>
        <v>1408</v>
      </c>
      <c r="F190" s="113">
        <f>+'Cons spec tot e finalizzati'!G190-'Cons spec tot e finalizzati'!H190</f>
        <v>1565</v>
      </c>
      <c r="G190" s="113">
        <f>+'Cons spec tot e finalizzati'!I190-'Cons spec tot e finalizzati'!J190</f>
        <v>1628</v>
      </c>
      <c r="H190" s="56">
        <f>+'Cons spec tot e finalizzati'!K190-'Cons spec tot e finalizzati'!L190</f>
        <v>1858</v>
      </c>
      <c r="I190" s="53">
        <f>+'Cons spec tot e finalizzati'!M190-'Cons spec tot e finalizzati'!N190</f>
        <v>1753</v>
      </c>
      <c r="J190" s="53">
        <f>+'Cons spec tot e finalizzati'!O190-'Cons spec tot e finalizzati'!P190</f>
        <v>2070</v>
      </c>
      <c r="K190" s="53">
        <f>+'Cons spec tot e finalizzati'!Q190-'Cons spec tot e finalizzati'!R190</f>
        <v>1922</v>
      </c>
      <c r="L190" s="53">
        <f>+'Cons spec tot e finalizzati'!S190-'Cons spec tot e finalizzati'!T190</f>
        <v>2060</v>
      </c>
      <c r="M190" s="53">
        <f>+'Cons spec tot e finalizzati'!U190-'Cons spec tot e finalizzati'!V190</f>
        <v>2090</v>
      </c>
    </row>
    <row r="191" spans="1:13" ht="12.75">
      <c r="A191" s="29"/>
      <c r="B191" s="10" t="s">
        <v>37</v>
      </c>
      <c r="C191" s="2"/>
      <c r="D191" s="2"/>
      <c r="E191" s="113">
        <f>+'Cons spec tot e finalizzati'!E191-'Cons spec tot e finalizzati'!F191</f>
        <v>0</v>
      </c>
      <c r="F191" s="113">
        <f>+'Cons spec tot e finalizzati'!G191-'Cons spec tot e finalizzati'!H191</f>
        <v>0</v>
      </c>
      <c r="G191" s="113">
        <f>+'Cons spec tot e finalizzati'!I191-'Cons spec tot e finalizzati'!J191</f>
        <v>0</v>
      </c>
      <c r="H191" s="56">
        <f>+'Cons spec tot e finalizzati'!K191-'Cons spec tot e finalizzati'!L191</f>
        <v>0</v>
      </c>
      <c r="I191" s="53">
        <f>+'Cons spec tot e finalizzati'!M191-'Cons spec tot e finalizzati'!N191</f>
        <v>24</v>
      </c>
      <c r="J191" s="53">
        <f>+'Cons spec tot e finalizzati'!O191-'Cons spec tot e finalizzati'!P191</f>
        <v>39</v>
      </c>
      <c r="K191" s="53">
        <f>+'Cons spec tot e finalizzati'!Q191-'Cons spec tot e finalizzati'!R191</f>
        <v>41</v>
      </c>
      <c r="L191" s="53">
        <f>+'Cons spec tot e finalizzati'!S191-'Cons spec tot e finalizzati'!T191</f>
        <v>32</v>
      </c>
      <c r="M191" s="53">
        <f>+'Cons spec tot e finalizzati'!U191-'Cons spec tot e finalizzati'!V191</f>
        <v>0</v>
      </c>
    </row>
    <row r="192" spans="1:13" ht="12.75">
      <c r="A192" s="29"/>
      <c r="B192" s="10" t="s">
        <v>38</v>
      </c>
      <c r="C192" s="2"/>
      <c r="D192" s="2"/>
      <c r="E192" s="113">
        <f>+'Cons spec tot e finalizzati'!E192-'Cons spec tot e finalizzati'!F192</f>
        <v>0</v>
      </c>
      <c r="F192" s="113">
        <f>+'Cons spec tot e finalizzati'!G192-'Cons spec tot e finalizzati'!H192</f>
        <v>0</v>
      </c>
      <c r="G192" s="113">
        <f>+'Cons spec tot e finalizzati'!I192-'Cons spec tot e finalizzati'!J192</f>
        <v>0</v>
      </c>
      <c r="H192" s="56">
        <f>+'Cons spec tot e finalizzati'!K192-'Cons spec tot e finalizzati'!L192</f>
        <v>0</v>
      </c>
      <c r="I192" s="53">
        <f>+'Cons spec tot e finalizzati'!M192-'Cons spec tot e finalizzati'!N192</f>
        <v>0</v>
      </c>
      <c r="J192" s="53">
        <f>+'Cons spec tot e finalizzati'!O192-'Cons spec tot e finalizzati'!P192</f>
        <v>0</v>
      </c>
      <c r="K192" s="53">
        <f>+'Cons spec tot e finalizzati'!Q192-'Cons spec tot e finalizzati'!R192</f>
        <v>0</v>
      </c>
      <c r="L192" s="53">
        <f>+'Cons spec tot e finalizzati'!S192-'Cons spec tot e finalizzati'!T192</f>
        <v>0</v>
      </c>
      <c r="M192" s="53">
        <f>+'Cons spec tot e finalizzati'!U192-'Cons spec tot e finalizzati'!V192</f>
        <v>0</v>
      </c>
    </row>
    <row r="193" spans="1:13" ht="12.75">
      <c r="A193" s="29"/>
      <c r="B193" s="10" t="s">
        <v>127</v>
      </c>
      <c r="C193" s="2"/>
      <c r="D193" s="2"/>
      <c r="E193" s="113">
        <f>+'Cons spec tot e finalizzati'!E193-'Cons spec tot e finalizzati'!F193</f>
        <v>390</v>
      </c>
      <c r="F193" s="113">
        <f>+'Cons spec tot e finalizzati'!G193-'Cons spec tot e finalizzati'!H193</f>
        <v>457</v>
      </c>
      <c r="G193" s="113">
        <f>+'Cons spec tot e finalizzati'!I193-'Cons spec tot e finalizzati'!J193</f>
        <v>478</v>
      </c>
      <c r="H193" s="56">
        <f>+'Cons spec tot e finalizzati'!K193-'Cons spec tot e finalizzati'!L193</f>
        <v>588</v>
      </c>
      <c r="I193" s="53">
        <f>+'Cons spec tot e finalizzati'!M193-'Cons spec tot e finalizzati'!N193</f>
        <v>634</v>
      </c>
      <c r="J193" s="53">
        <f>+'Cons spec tot e finalizzati'!O193-'Cons spec tot e finalizzati'!P193</f>
        <v>622</v>
      </c>
      <c r="K193" s="53">
        <f>+'Cons spec tot e finalizzati'!Q193-'Cons spec tot e finalizzati'!R193</f>
        <v>741</v>
      </c>
      <c r="L193" s="53">
        <f>+'Cons spec tot e finalizzati'!S193-'Cons spec tot e finalizzati'!T193</f>
        <v>828</v>
      </c>
      <c r="M193" s="53">
        <f>+'Cons spec tot e finalizzati'!U193-'Cons spec tot e finalizzati'!V193</f>
        <v>771</v>
      </c>
    </row>
    <row r="194" spans="1:13" ht="12.75">
      <c r="A194" s="29"/>
      <c r="B194" s="10" t="s">
        <v>128</v>
      </c>
      <c r="C194" s="2"/>
      <c r="D194" s="2"/>
      <c r="E194" s="172">
        <f>+'Cons spec tot e finalizzati'!E194-'Cons spec tot e finalizzati'!F194</f>
        <v>27</v>
      </c>
      <c r="F194" s="172">
        <f>+'Cons spec tot e finalizzati'!G194-'Cons spec tot e finalizzati'!H194</f>
        <v>27</v>
      </c>
      <c r="G194" s="172">
        <f>+'Cons spec tot e finalizzati'!I194-'Cons spec tot e finalizzati'!J194</f>
        <v>33</v>
      </c>
      <c r="H194" s="69">
        <f>+'Cons spec tot e finalizzati'!K194-'Cons spec tot e finalizzati'!L194</f>
        <v>18</v>
      </c>
      <c r="I194" s="77">
        <f>+'Cons spec tot e finalizzati'!M194-'Cons spec tot e finalizzati'!N194</f>
        <v>194</v>
      </c>
      <c r="J194" s="77">
        <f>+'Cons spec tot e finalizzati'!O194-'Cons spec tot e finalizzati'!P194</f>
        <v>194</v>
      </c>
      <c r="K194" s="77">
        <f>+'Cons spec tot e finalizzati'!Q194-'Cons spec tot e finalizzati'!R194</f>
        <v>154</v>
      </c>
      <c r="L194" s="77">
        <f>+'Cons spec tot e finalizzati'!S194-'Cons spec tot e finalizzati'!T194</f>
        <v>113</v>
      </c>
      <c r="M194" s="77">
        <f>+'Cons spec tot e finalizzati'!U194-'Cons spec tot e finalizzati'!V194</f>
        <v>83</v>
      </c>
    </row>
    <row r="195" spans="1:13" ht="12.75">
      <c r="A195" s="130" t="s">
        <v>43</v>
      </c>
      <c r="B195" s="123"/>
      <c r="C195" s="123"/>
      <c r="D195" s="170"/>
      <c r="E195" s="67">
        <f>+'Cons spec tot e finalizzati'!E195-'Cons spec tot e finalizzati'!F195</f>
        <v>2819</v>
      </c>
      <c r="F195" s="67">
        <f>+'Cons spec tot e finalizzati'!G195-'Cons spec tot e finalizzati'!H195</f>
        <v>3149</v>
      </c>
      <c r="G195" s="67">
        <f>+'Cons spec tot e finalizzati'!I195-'Cons spec tot e finalizzati'!J195</f>
        <v>3287</v>
      </c>
      <c r="H195" s="67">
        <f>+'Cons spec tot e finalizzati'!K195-'Cons spec tot e finalizzati'!L195</f>
        <v>3312</v>
      </c>
      <c r="I195" s="67">
        <f>+'Cons spec tot e finalizzati'!M195-'Cons spec tot e finalizzati'!N195</f>
        <v>3424</v>
      </c>
      <c r="J195" s="67">
        <f>+'Cons spec tot e finalizzati'!O195-'Cons spec tot e finalizzati'!P195</f>
        <v>3530</v>
      </c>
      <c r="K195" s="67">
        <f>+'Cons spec tot e finalizzati'!Q195-'Cons spec tot e finalizzati'!R195</f>
        <v>3386</v>
      </c>
      <c r="L195" s="67">
        <f>+'Cons spec tot e finalizzati'!S195-'Cons spec tot e finalizzati'!T195</f>
        <v>3492</v>
      </c>
      <c r="M195" s="67">
        <f>+'Cons spec tot e finalizzati'!U195-'Cons spec tot e finalizzati'!V195</f>
        <v>3382</v>
      </c>
    </row>
    <row r="196" spans="1:13" ht="12.75">
      <c r="A196" s="29"/>
      <c r="B196" s="10" t="s">
        <v>35</v>
      </c>
      <c r="C196" s="2"/>
      <c r="D196" s="2"/>
      <c r="E196" s="113">
        <f>+'Cons spec tot e finalizzati'!E196-'Cons spec tot e finalizzati'!F196</f>
        <v>183</v>
      </c>
      <c r="F196" s="113">
        <f>+'Cons spec tot e finalizzati'!G196-'Cons spec tot e finalizzati'!H196</f>
        <v>180</v>
      </c>
      <c r="G196" s="113">
        <f>+'Cons spec tot e finalizzati'!I196-'Cons spec tot e finalizzati'!J196</f>
        <v>212</v>
      </c>
      <c r="H196" s="56">
        <f>+'Cons spec tot e finalizzati'!K196-'Cons spec tot e finalizzati'!L196</f>
        <v>259</v>
      </c>
      <c r="I196" s="53">
        <f>+'Cons spec tot e finalizzati'!M196-'Cons spec tot e finalizzati'!N196</f>
        <v>206</v>
      </c>
      <c r="J196" s="53">
        <f>+'Cons spec tot e finalizzati'!O196-'Cons spec tot e finalizzati'!P196</f>
        <v>158</v>
      </c>
      <c r="K196" s="53">
        <f>+'Cons spec tot e finalizzati'!Q196-'Cons spec tot e finalizzati'!R196</f>
        <v>156</v>
      </c>
      <c r="L196" s="53">
        <f>+'Cons spec tot e finalizzati'!S196-'Cons spec tot e finalizzati'!T196</f>
        <v>184</v>
      </c>
      <c r="M196" s="53">
        <f>+'Cons spec tot e finalizzati'!U196-'Cons spec tot e finalizzati'!V196</f>
        <v>137</v>
      </c>
    </row>
    <row r="197" spans="1:13" ht="12.75">
      <c r="A197" s="29"/>
      <c r="B197" s="10" t="s">
        <v>36</v>
      </c>
      <c r="C197" s="2"/>
      <c r="D197" s="2"/>
      <c r="E197" s="113">
        <f>+'Cons spec tot e finalizzati'!E197-'Cons spec tot e finalizzati'!F197</f>
        <v>2166</v>
      </c>
      <c r="F197" s="113">
        <f>+'Cons spec tot e finalizzati'!G197-'Cons spec tot e finalizzati'!H197</f>
        <v>2264</v>
      </c>
      <c r="G197" s="113">
        <f>+'Cons spec tot e finalizzati'!I197-'Cons spec tot e finalizzati'!J197</f>
        <v>2328</v>
      </c>
      <c r="H197" s="56">
        <f>+'Cons spec tot e finalizzati'!K197-'Cons spec tot e finalizzati'!L197</f>
        <v>2228</v>
      </c>
      <c r="I197" s="53">
        <f>+'Cons spec tot e finalizzati'!M197-'Cons spec tot e finalizzati'!N197</f>
        <v>2309</v>
      </c>
      <c r="J197" s="53">
        <f>+'Cons spec tot e finalizzati'!O197-'Cons spec tot e finalizzati'!P197</f>
        <v>2417</v>
      </c>
      <c r="K197" s="53">
        <f>+'Cons spec tot e finalizzati'!Q197-'Cons spec tot e finalizzati'!R197</f>
        <v>2305</v>
      </c>
      <c r="L197" s="53">
        <f>+'Cons spec tot e finalizzati'!S197-'Cons spec tot e finalizzati'!T197</f>
        <v>2281</v>
      </c>
      <c r="M197" s="53">
        <f>+'Cons spec tot e finalizzati'!U197-'Cons spec tot e finalizzati'!V197</f>
        <v>2093</v>
      </c>
    </row>
    <row r="198" spans="1:13" ht="12.75">
      <c r="A198" s="29"/>
      <c r="B198" s="10" t="s">
        <v>37</v>
      </c>
      <c r="C198" s="2"/>
      <c r="D198" s="2"/>
      <c r="E198" s="113">
        <f>+'Cons spec tot e finalizzati'!E198-'Cons spec tot e finalizzati'!F198</f>
        <v>0</v>
      </c>
      <c r="F198" s="113">
        <f>+'Cons spec tot e finalizzati'!G198-'Cons spec tot e finalizzati'!H198</f>
        <v>0</v>
      </c>
      <c r="G198" s="113">
        <f>+'Cons spec tot e finalizzati'!I198-'Cons spec tot e finalizzati'!J198</f>
        <v>0</v>
      </c>
      <c r="H198" s="56">
        <f>+'Cons spec tot e finalizzati'!K198-'Cons spec tot e finalizzati'!L198</f>
        <v>0</v>
      </c>
      <c r="I198" s="53">
        <f>+'Cons spec tot e finalizzati'!M198-'Cons spec tot e finalizzati'!N198</f>
        <v>46</v>
      </c>
      <c r="J198" s="53">
        <f>+'Cons spec tot e finalizzati'!O198-'Cons spec tot e finalizzati'!P198</f>
        <v>56</v>
      </c>
      <c r="K198" s="53">
        <f>+'Cons spec tot e finalizzati'!Q198-'Cons spec tot e finalizzati'!R198</f>
        <v>47</v>
      </c>
      <c r="L198" s="53">
        <f>+'Cons spec tot e finalizzati'!S198-'Cons spec tot e finalizzati'!T198</f>
        <v>50</v>
      </c>
      <c r="M198" s="53">
        <f>+'Cons spec tot e finalizzati'!U198-'Cons spec tot e finalizzati'!V198</f>
        <v>0</v>
      </c>
    </row>
    <row r="199" spans="1:13" ht="12.75">
      <c r="A199" s="29"/>
      <c r="B199" s="10" t="s">
        <v>38</v>
      </c>
      <c r="C199" s="2"/>
      <c r="D199" s="2"/>
      <c r="E199" s="113">
        <f>+'Cons spec tot e finalizzati'!E199-'Cons spec tot e finalizzati'!F199</f>
        <v>0</v>
      </c>
      <c r="F199" s="113">
        <f>+'Cons spec tot e finalizzati'!G199-'Cons spec tot e finalizzati'!H199</f>
        <v>181</v>
      </c>
      <c r="G199" s="113">
        <f>+'Cons spec tot e finalizzati'!I199-'Cons spec tot e finalizzati'!J199</f>
        <v>135</v>
      </c>
      <c r="H199" s="56">
        <f>+'Cons spec tot e finalizzati'!K199-'Cons spec tot e finalizzati'!L199</f>
        <v>135</v>
      </c>
      <c r="I199" s="53">
        <f>+'Cons spec tot e finalizzati'!M199-'Cons spec tot e finalizzati'!N199</f>
        <v>135</v>
      </c>
      <c r="J199" s="53">
        <f>+'Cons spec tot e finalizzati'!O199-'Cons spec tot e finalizzati'!P199</f>
        <v>169</v>
      </c>
      <c r="K199" s="53">
        <f>+'Cons spec tot e finalizzati'!Q199-'Cons spec tot e finalizzati'!R199</f>
        <v>214</v>
      </c>
      <c r="L199" s="53">
        <f>+'Cons spec tot e finalizzati'!S199-'Cons spec tot e finalizzati'!T199</f>
        <v>238</v>
      </c>
      <c r="M199" s="53">
        <f>+'Cons spec tot e finalizzati'!U199-'Cons spec tot e finalizzati'!V199</f>
        <v>258</v>
      </c>
    </row>
    <row r="200" spans="1:13" ht="12.75">
      <c r="A200" s="29"/>
      <c r="B200" s="10" t="s">
        <v>127</v>
      </c>
      <c r="C200" s="2"/>
      <c r="D200" s="2"/>
      <c r="E200" s="113">
        <f>+'Cons spec tot e finalizzati'!E200-'Cons spec tot e finalizzati'!F200</f>
        <v>452</v>
      </c>
      <c r="F200" s="113">
        <f>+'Cons spec tot e finalizzati'!G200-'Cons spec tot e finalizzati'!H200</f>
        <v>506</v>
      </c>
      <c r="G200" s="113">
        <f>+'Cons spec tot e finalizzati'!I200-'Cons spec tot e finalizzati'!J200</f>
        <v>590</v>
      </c>
      <c r="H200" s="56">
        <f>+'Cons spec tot e finalizzati'!K200-'Cons spec tot e finalizzati'!L200</f>
        <v>669</v>
      </c>
      <c r="I200" s="53">
        <f>+'Cons spec tot e finalizzati'!M200-'Cons spec tot e finalizzati'!N200</f>
        <v>656</v>
      </c>
      <c r="J200" s="53">
        <f>+'Cons spec tot e finalizzati'!O200-'Cons spec tot e finalizzati'!P200</f>
        <v>650</v>
      </c>
      <c r="K200" s="53">
        <f>+'Cons spec tot e finalizzati'!Q200-'Cons spec tot e finalizzati'!R200</f>
        <v>584</v>
      </c>
      <c r="L200" s="53">
        <f>+'Cons spec tot e finalizzati'!S200-'Cons spec tot e finalizzati'!T200</f>
        <v>662</v>
      </c>
      <c r="M200" s="53">
        <f>+'Cons spec tot e finalizzati'!U200-'Cons spec tot e finalizzati'!V200</f>
        <v>835</v>
      </c>
    </row>
    <row r="201" spans="1:13" ht="12.75">
      <c r="A201" s="29"/>
      <c r="B201" s="10" t="s">
        <v>128</v>
      </c>
      <c r="C201" s="2"/>
      <c r="D201" s="2"/>
      <c r="E201" s="172">
        <f>+'Cons spec tot e finalizzati'!E201-'Cons spec tot e finalizzati'!F201</f>
        <v>18</v>
      </c>
      <c r="F201" s="172">
        <f>+'Cons spec tot e finalizzati'!G201-'Cons spec tot e finalizzati'!H201</f>
        <v>18</v>
      </c>
      <c r="G201" s="172">
        <f>+'Cons spec tot e finalizzati'!I201-'Cons spec tot e finalizzati'!J201</f>
        <v>22</v>
      </c>
      <c r="H201" s="69">
        <f>+'Cons spec tot e finalizzati'!K201-'Cons spec tot e finalizzati'!L201</f>
        <v>21</v>
      </c>
      <c r="I201" s="77">
        <f>+'Cons spec tot e finalizzati'!M201-'Cons spec tot e finalizzati'!N201</f>
        <v>72</v>
      </c>
      <c r="J201" s="77">
        <f>+'Cons spec tot e finalizzati'!O201-'Cons spec tot e finalizzati'!P201</f>
        <v>80</v>
      </c>
      <c r="K201" s="77">
        <f>+'Cons spec tot e finalizzati'!Q201-'Cons spec tot e finalizzati'!R201</f>
        <v>80</v>
      </c>
      <c r="L201" s="77">
        <f>+'Cons spec tot e finalizzati'!S201-'Cons spec tot e finalizzati'!T201</f>
        <v>77</v>
      </c>
      <c r="M201" s="77">
        <f>+'Cons spec tot e finalizzati'!U201-'Cons spec tot e finalizzati'!V201</f>
        <v>59</v>
      </c>
    </row>
    <row r="202" spans="1:13" ht="12.75">
      <c r="A202" s="130" t="s">
        <v>44</v>
      </c>
      <c r="B202" s="123"/>
      <c r="C202" s="123"/>
      <c r="D202" s="170"/>
      <c r="E202" s="67">
        <f>+'Cons spec tot e finalizzati'!E202-'Cons spec tot e finalizzati'!F202</f>
        <v>2725</v>
      </c>
      <c r="F202" s="67">
        <f>+'Cons spec tot e finalizzati'!G202-'Cons spec tot e finalizzati'!H202</f>
        <v>2991</v>
      </c>
      <c r="G202" s="67">
        <f>+'Cons spec tot e finalizzati'!I202-'Cons spec tot e finalizzati'!J202</f>
        <v>3170</v>
      </c>
      <c r="H202" s="67">
        <f>+'Cons spec tot e finalizzati'!K202-'Cons spec tot e finalizzati'!L202</f>
        <v>3484</v>
      </c>
      <c r="I202" s="67">
        <f>+'Cons spec tot e finalizzati'!M202-'Cons spec tot e finalizzati'!N202</f>
        <v>3564</v>
      </c>
      <c r="J202" s="67">
        <f>+'Cons spec tot e finalizzati'!O202-'Cons spec tot e finalizzati'!P202</f>
        <v>3958</v>
      </c>
      <c r="K202" s="67">
        <f>+'Cons spec tot e finalizzati'!Q202-'Cons spec tot e finalizzati'!R202</f>
        <v>4002</v>
      </c>
      <c r="L202" s="67">
        <f>+'Cons spec tot e finalizzati'!S202-'Cons spec tot e finalizzati'!T202</f>
        <v>4279</v>
      </c>
      <c r="M202" s="67">
        <f>+'Cons spec tot e finalizzati'!U202-'Cons spec tot e finalizzati'!V202</f>
        <v>4198</v>
      </c>
    </row>
    <row r="203" spans="1:13" ht="12.75">
      <c r="A203" s="29"/>
      <c r="B203" s="10" t="s">
        <v>35</v>
      </c>
      <c r="C203" s="2"/>
      <c r="D203" s="2"/>
      <c r="E203" s="113">
        <f>+'Cons spec tot e finalizzati'!E203-'Cons spec tot e finalizzati'!F203</f>
        <v>168</v>
      </c>
      <c r="F203" s="113">
        <f>+'Cons spec tot e finalizzati'!G203-'Cons spec tot e finalizzati'!H203</f>
        <v>284</v>
      </c>
      <c r="G203" s="113">
        <f>+'Cons spec tot e finalizzati'!I203-'Cons spec tot e finalizzati'!J203</f>
        <v>158</v>
      </c>
      <c r="H203" s="56">
        <f>+'Cons spec tot e finalizzati'!K203-'Cons spec tot e finalizzati'!L203</f>
        <v>159</v>
      </c>
      <c r="I203" s="53">
        <f>+'Cons spec tot e finalizzati'!M203-'Cons spec tot e finalizzati'!N203</f>
        <v>192</v>
      </c>
      <c r="J203" s="53">
        <f>+'Cons spec tot e finalizzati'!O203-'Cons spec tot e finalizzati'!P203</f>
        <v>198</v>
      </c>
      <c r="K203" s="53">
        <f>+'Cons spec tot e finalizzati'!Q203-'Cons spec tot e finalizzati'!R203</f>
        <v>187</v>
      </c>
      <c r="L203" s="53">
        <f>+'Cons spec tot e finalizzati'!S203-'Cons spec tot e finalizzati'!T203</f>
        <v>182</v>
      </c>
      <c r="M203" s="53">
        <f>+'Cons spec tot e finalizzati'!U203-'Cons spec tot e finalizzati'!V203</f>
        <v>153</v>
      </c>
    </row>
    <row r="204" spans="1:13" ht="14.25" customHeight="1">
      <c r="A204" s="29"/>
      <c r="B204" s="10" t="s">
        <v>36</v>
      </c>
      <c r="C204" s="2"/>
      <c r="D204" s="2"/>
      <c r="E204" s="113">
        <f>+'Cons spec tot e finalizzati'!E204-'Cons spec tot e finalizzati'!F204</f>
        <v>2053</v>
      </c>
      <c r="F204" s="113">
        <f>+'Cons spec tot e finalizzati'!G204-'Cons spec tot e finalizzati'!H204</f>
        <v>2095</v>
      </c>
      <c r="G204" s="113">
        <f>+'Cons spec tot e finalizzati'!I204-'Cons spec tot e finalizzati'!J204</f>
        <v>2411</v>
      </c>
      <c r="H204" s="56">
        <f>+'Cons spec tot e finalizzati'!K204-'Cons spec tot e finalizzati'!L204</f>
        <v>2573</v>
      </c>
      <c r="I204" s="53">
        <f>+'Cons spec tot e finalizzati'!M204-'Cons spec tot e finalizzati'!N204</f>
        <v>2528</v>
      </c>
      <c r="J204" s="53">
        <f>+'Cons spec tot e finalizzati'!O204-'Cons spec tot e finalizzati'!P204</f>
        <v>2798</v>
      </c>
      <c r="K204" s="53">
        <f>+'Cons spec tot e finalizzati'!Q204-'Cons spec tot e finalizzati'!R204</f>
        <v>2787</v>
      </c>
      <c r="L204" s="53">
        <f>+'Cons spec tot e finalizzati'!S204-'Cons spec tot e finalizzati'!T204</f>
        <v>3043</v>
      </c>
      <c r="M204" s="53">
        <f>+'Cons spec tot e finalizzati'!U204-'Cons spec tot e finalizzati'!V204</f>
        <v>2951</v>
      </c>
    </row>
    <row r="205" spans="1:13" ht="12.75">
      <c r="A205" s="29"/>
      <c r="B205" s="10" t="s">
        <v>37</v>
      </c>
      <c r="C205" s="2"/>
      <c r="D205" s="2"/>
      <c r="E205" s="113">
        <f>+'Cons spec tot e finalizzati'!E205-'Cons spec tot e finalizzati'!F205</f>
        <v>0</v>
      </c>
      <c r="F205" s="113">
        <f>+'Cons spec tot e finalizzati'!G205-'Cons spec tot e finalizzati'!H205</f>
        <v>0</v>
      </c>
      <c r="G205" s="113">
        <f>+'Cons spec tot e finalizzati'!I205-'Cons spec tot e finalizzati'!J205</f>
        <v>0</v>
      </c>
      <c r="H205" s="56">
        <f>+'Cons spec tot e finalizzati'!K205-'Cons spec tot e finalizzati'!L205</f>
        <v>0</v>
      </c>
      <c r="I205" s="53">
        <f>+'Cons spec tot e finalizzati'!M205-'Cons spec tot e finalizzati'!N205</f>
        <v>59</v>
      </c>
      <c r="J205" s="53">
        <f>+'Cons spec tot e finalizzati'!O205-'Cons spec tot e finalizzati'!P205</f>
        <v>46</v>
      </c>
      <c r="K205" s="53">
        <f>+'Cons spec tot e finalizzati'!Q205-'Cons spec tot e finalizzati'!R205</f>
        <v>78</v>
      </c>
      <c r="L205" s="53">
        <f>+'Cons spec tot e finalizzati'!S205-'Cons spec tot e finalizzati'!T205</f>
        <v>63</v>
      </c>
      <c r="M205" s="53">
        <f>+'Cons spec tot e finalizzati'!U205-'Cons spec tot e finalizzati'!V205</f>
        <v>0</v>
      </c>
    </row>
    <row r="206" spans="1:13" ht="12.75">
      <c r="A206" s="29"/>
      <c r="B206" s="10" t="s">
        <v>38</v>
      </c>
      <c r="C206" s="2"/>
      <c r="D206" s="2"/>
      <c r="E206" s="113">
        <f>+'Cons spec tot e finalizzati'!E206-'Cons spec tot e finalizzati'!F206</f>
        <v>13</v>
      </c>
      <c r="F206" s="113">
        <f>+'Cons spec tot e finalizzati'!G206-'Cons spec tot e finalizzati'!H206</f>
        <v>70</v>
      </c>
      <c r="G206" s="113">
        <f>+'Cons spec tot e finalizzati'!I206-'Cons spec tot e finalizzati'!J206</f>
        <v>58</v>
      </c>
      <c r="H206" s="56">
        <f>+'Cons spec tot e finalizzati'!K206-'Cons spec tot e finalizzati'!L206</f>
        <v>51</v>
      </c>
      <c r="I206" s="53">
        <f>+'Cons spec tot e finalizzati'!M206-'Cons spec tot e finalizzati'!N206</f>
        <v>108</v>
      </c>
      <c r="J206" s="53">
        <f>+'Cons spec tot e finalizzati'!O206-'Cons spec tot e finalizzati'!P206</f>
        <v>83</v>
      </c>
      <c r="K206" s="53">
        <f>+'Cons spec tot e finalizzati'!Q206-'Cons spec tot e finalizzati'!R206</f>
        <v>123</v>
      </c>
      <c r="L206" s="53">
        <f>+'Cons spec tot e finalizzati'!S206-'Cons spec tot e finalizzati'!T206</f>
        <v>127</v>
      </c>
      <c r="M206" s="53">
        <f>+'Cons spec tot e finalizzati'!U206-'Cons spec tot e finalizzati'!V206</f>
        <v>104</v>
      </c>
    </row>
    <row r="207" spans="1:13" ht="12.75">
      <c r="A207" s="29"/>
      <c r="B207" s="10" t="s">
        <v>127</v>
      </c>
      <c r="C207" s="2"/>
      <c r="D207" s="2"/>
      <c r="E207" s="113">
        <f>+'Cons spec tot e finalizzati'!E207-'Cons spec tot e finalizzati'!F207</f>
        <v>408</v>
      </c>
      <c r="F207" s="113">
        <f>+'Cons spec tot e finalizzati'!G207-'Cons spec tot e finalizzati'!H207</f>
        <v>441</v>
      </c>
      <c r="G207" s="113">
        <f>+'Cons spec tot e finalizzati'!I207-'Cons spec tot e finalizzati'!J207</f>
        <v>445</v>
      </c>
      <c r="H207" s="56">
        <f>+'Cons spec tot e finalizzati'!K207-'Cons spec tot e finalizzati'!L207</f>
        <v>590</v>
      </c>
      <c r="I207" s="53">
        <f>+'Cons spec tot e finalizzati'!M207-'Cons spec tot e finalizzati'!N207</f>
        <v>583</v>
      </c>
      <c r="J207" s="53">
        <f>+'Cons spec tot e finalizzati'!O207-'Cons spec tot e finalizzati'!P207</f>
        <v>718</v>
      </c>
      <c r="K207" s="53">
        <f>+'Cons spec tot e finalizzati'!Q207-'Cons spec tot e finalizzati'!R207</f>
        <v>730</v>
      </c>
      <c r="L207" s="53">
        <f>+'Cons spec tot e finalizzati'!S207-'Cons spec tot e finalizzati'!T207</f>
        <v>757</v>
      </c>
      <c r="M207" s="53">
        <f>+'Cons spec tot e finalizzati'!U207-'Cons spec tot e finalizzati'!V207</f>
        <v>872</v>
      </c>
    </row>
    <row r="208" spans="1:13" ht="12.75">
      <c r="A208" s="29"/>
      <c r="B208" s="10" t="s">
        <v>128</v>
      </c>
      <c r="C208" s="2"/>
      <c r="D208" s="2"/>
      <c r="E208" s="172">
        <f>+'Cons spec tot e finalizzati'!E208-'Cons spec tot e finalizzati'!F208</f>
        <v>83</v>
      </c>
      <c r="F208" s="172">
        <f>+'Cons spec tot e finalizzati'!G208-'Cons spec tot e finalizzati'!H208</f>
        <v>101</v>
      </c>
      <c r="G208" s="172">
        <f>+'Cons spec tot e finalizzati'!I208-'Cons spec tot e finalizzati'!J208</f>
        <v>98</v>
      </c>
      <c r="H208" s="69">
        <f>+'Cons spec tot e finalizzati'!K208-'Cons spec tot e finalizzati'!L208</f>
        <v>111</v>
      </c>
      <c r="I208" s="77">
        <f>+'Cons spec tot e finalizzati'!M208-'Cons spec tot e finalizzati'!N208</f>
        <v>94</v>
      </c>
      <c r="J208" s="77">
        <f>+'Cons spec tot e finalizzati'!O208-'Cons spec tot e finalizzati'!P208</f>
        <v>115</v>
      </c>
      <c r="K208" s="77">
        <f>+'Cons spec tot e finalizzati'!Q208-'Cons spec tot e finalizzati'!R208</f>
        <v>97</v>
      </c>
      <c r="L208" s="77">
        <f>+'Cons spec tot e finalizzati'!S208-'Cons spec tot e finalizzati'!T208</f>
        <v>107</v>
      </c>
      <c r="M208" s="77">
        <f>+'Cons spec tot e finalizzati'!U208-'Cons spec tot e finalizzati'!V208</f>
        <v>118</v>
      </c>
    </row>
    <row r="209" spans="1:13" ht="12.75">
      <c r="A209" s="130" t="s">
        <v>45</v>
      </c>
      <c r="B209" s="123"/>
      <c r="C209" s="123"/>
      <c r="D209" s="170"/>
      <c r="E209" s="67">
        <f>+'Cons spec tot e finalizzati'!E209-'Cons spec tot e finalizzati'!F209</f>
        <v>3059</v>
      </c>
      <c r="F209" s="67">
        <f>+'Cons spec tot e finalizzati'!G209-'Cons spec tot e finalizzati'!H209</f>
        <v>3122</v>
      </c>
      <c r="G209" s="67">
        <f>+'Cons spec tot e finalizzati'!I209-'Cons spec tot e finalizzati'!J209</f>
        <v>3371.5</v>
      </c>
      <c r="H209" s="67">
        <f>+'Cons spec tot e finalizzati'!K209-'Cons spec tot e finalizzati'!L209</f>
        <v>3499</v>
      </c>
      <c r="I209" s="67">
        <f>+'Cons spec tot e finalizzati'!M209-'Cons spec tot e finalizzati'!N209</f>
        <v>3534</v>
      </c>
      <c r="J209" s="67">
        <f>+'Cons spec tot e finalizzati'!O209-'Cons spec tot e finalizzati'!P209</f>
        <v>3814</v>
      </c>
      <c r="K209" s="67">
        <f>+'Cons spec tot e finalizzati'!Q209-'Cons spec tot e finalizzati'!R209</f>
        <v>3838</v>
      </c>
      <c r="L209" s="67">
        <f>+'Cons spec tot e finalizzati'!S209-'Cons spec tot e finalizzati'!T209</f>
        <v>3823</v>
      </c>
      <c r="M209" s="67">
        <f>+'Cons spec tot e finalizzati'!U209-'Cons spec tot e finalizzati'!V209</f>
        <v>3908</v>
      </c>
    </row>
    <row r="210" spans="1:13" ht="12.75">
      <c r="A210" s="29"/>
      <c r="B210" s="10" t="s">
        <v>35</v>
      </c>
      <c r="C210" s="2"/>
      <c r="D210" s="2"/>
      <c r="E210" s="113">
        <f>+'Cons spec tot e finalizzati'!E210-'Cons spec tot e finalizzati'!F210</f>
        <v>162</v>
      </c>
      <c r="F210" s="113">
        <f>+'Cons spec tot e finalizzati'!G210-'Cons spec tot e finalizzati'!H210</f>
        <v>179</v>
      </c>
      <c r="G210" s="113">
        <f>+'Cons spec tot e finalizzati'!I210-'Cons spec tot e finalizzati'!J210</f>
        <v>205</v>
      </c>
      <c r="H210" s="56">
        <f>+'Cons spec tot e finalizzati'!K210-'Cons spec tot e finalizzati'!L210</f>
        <v>231</v>
      </c>
      <c r="I210" s="53">
        <f>+'Cons spec tot e finalizzati'!M210-'Cons spec tot e finalizzati'!N210</f>
        <v>197</v>
      </c>
      <c r="J210" s="53">
        <f>+'Cons spec tot e finalizzati'!O210-'Cons spec tot e finalizzati'!P210</f>
        <v>211</v>
      </c>
      <c r="K210" s="53">
        <f>+'Cons spec tot e finalizzati'!Q210-'Cons spec tot e finalizzati'!R210</f>
        <v>172</v>
      </c>
      <c r="L210" s="53">
        <f>+'Cons spec tot e finalizzati'!S210-'Cons spec tot e finalizzati'!T210</f>
        <v>189</v>
      </c>
      <c r="M210" s="53">
        <f>+'Cons spec tot e finalizzati'!U210-'Cons spec tot e finalizzati'!V210</f>
        <v>235</v>
      </c>
    </row>
    <row r="211" spans="1:13" ht="12.75">
      <c r="A211" s="29"/>
      <c r="B211" s="10" t="s">
        <v>36</v>
      </c>
      <c r="C211" s="2"/>
      <c r="D211" s="2"/>
      <c r="E211" s="113">
        <f>+'Cons spec tot e finalizzati'!E211-'Cons spec tot e finalizzati'!F211</f>
        <v>2163</v>
      </c>
      <c r="F211" s="113">
        <f>+'Cons spec tot e finalizzati'!G211-'Cons spec tot e finalizzati'!H211</f>
        <v>2254</v>
      </c>
      <c r="G211" s="113">
        <f>+'Cons spec tot e finalizzati'!I211-'Cons spec tot e finalizzati'!J211</f>
        <v>2392.5</v>
      </c>
      <c r="H211" s="56">
        <f>+'Cons spec tot e finalizzati'!K211-'Cons spec tot e finalizzati'!L211</f>
        <v>2315</v>
      </c>
      <c r="I211" s="53">
        <f>+'Cons spec tot e finalizzati'!M211-'Cons spec tot e finalizzati'!N211</f>
        <v>2265</v>
      </c>
      <c r="J211" s="53">
        <f>+'Cons spec tot e finalizzati'!O211-'Cons spec tot e finalizzati'!P211</f>
        <v>2499</v>
      </c>
      <c r="K211" s="53">
        <f>+'Cons spec tot e finalizzati'!Q211-'Cons spec tot e finalizzati'!R211</f>
        <v>2503</v>
      </c>
      <c r="L211" s="53">
        <f>+'Cons spec tot e finalizzati'!S211-'Cons spec tot e finalizzati'!T211</f>
        <v>2492</v>
      </c>
      <c r="M211" s="53">
        <f>+'Cons spec tot e finalizzati'!U211-'Cons spec tot e finalizzati'!V211</f>
        <v>2550</v>
      </c>
    </row>
    <row r="212" spans="1:13" ht="12.75">
      <c r="A212" s="29"/>
      <c r="B212" s="10" t="s">
        <v>37</v>
      </c>
      <c r="C212" s="2"/>
      <c r="D212" s="2"/>
      <c r="E212" s="113">
        <f>+'Cons spec tot e finalizzati'!E212-'Cons spec tot e finalizzati'!F212</f>
        <v>0</v>
      </c>
      <c r="F212" s="113">
        <f>+'Cons spec tot e finalizzati'!G212-'Cons spec tot e finalizzati'!H212</f>
        <v>0</v>
      </c>
      <c r="G212" s="113">
        <f>+'Cons spec tot e finalizzati'!I212-'Cons spec tot e finalizzati'!J212</f>
        <v>0</v>
      </c>
      <c r="H212" s="56">
        <f>+'Cons spec tot e finalizzati'!K212-'Cons spec tot e finalizzati'!L212</f>
        <v>0</v>
      </c>
      <c r="I212" s="53">
        <f>+'Cons spec tot e finalizzati'!M212-'Cons spec tot e finalizzati'!N212</f>
        <v>32</v>
      </c>
      <c r="J212" s="53">
        <f>+'Cons spec tot e finalizzati'!O212-'Cons spec tot e finalizzati'!P212</f>
        <v>40</v>
      </c>
      <c r="K212" s="53">
        <f>+'Cons spec tot e finalizzati'!Q212-'Cons spec tot e finalizzati'!R212</f>
        <v>43</v>
      </c>
      <c r="L212" s="53">
        <f>+'Cons spec tot e finalizzati'!S212-'Cons spec tot e finalizzati'!T212</f>
        <v>48</v>
      </c>
      <c r="M212" s="53">
        <f>+'Cons spec tot e finalizzati'!U212-'Cons spec tot e finalizzati'!V212</f>
        <v>0</v>
      </c>
    </row>
    <row r="213" spans="1:13" ht="12.75">
      <c r="A213" s="29"/>
      <c r="B213" s="10" t="s">
        <v>38</v>
      </c>
      <c r="C213" s="2"/>
      <c r="D213" s="2"/>
      <c r="E213" s="113">
        <f>+'Cons spec tot e finalizzati'!E213-'Cons spec tot e finalizzati'!F213</f>
        <v>0</v>
      </c>
      <c r="F213" s="113">
        <f>+'Cons spec tot e finalizzati'!G213-'Cons spec tot e finalizzati'!H213</f>
        <v>0</v>
      </c>
      <c r="G213" s="113">
        <f>+'Cons spec tot e finalizzati'!I213-'Cons spec tot e finalizzati'!J213</f>
        <v>0</v>
      </c>
      <c r="H213" s="56">
        <f>+'Cons spec tot e finalizzati'!K213-'Cons spec tot e finalizzati'!L213</f>
        <v>29</v>
      </c>
      <c r="I213" s="53">
        <f>+'Cons spec tot e finalizzati'!M213-'Cons spec tot e finalizzati'!N213</f>
        <v>29</v>
      </c>
      <c r="J213" s="53">
        <f>+'Cons spec tot e finalizzati'!O213-'Cons spec tot e finalizzati'!P213</f>
        <v>35</v>
      </c>
      <c r="K213" s="53">
        <f>+'Cons spec tot e finalizzati'!Q213-'Cons spec tot e finalizzati'!R213</f>
        <v>44</v>
      </c>
      <c r="L213" s="53">
        <f>+'Cons spec tot e finalizzati'!S213-'Cons spec tot e finalizzati'!T213</f>
        <v>60</v>
      </c>
      <c r="M213" s="53">
        <f>+'Cons spec tot e finalizzati'!U213-'Cons spec tot e finalizzati'!V213</f>
        <v>65</v>
      </c>
    </row>
    <row r="214" spans="1:13" ht="12.75">
      <c r="A214" s="29"/>
      <c r="B214" s="10" t="s">
        <v>127</v>
      </c>
      <c r="C214" s="2"/>
      <c r="D214" s="2"/>
      <c r="E214" s="113">
        <f>+'Cons spec tot e finalizzati'!E214-'Cons spec tot e finalizzati'!F214</f>
        <v>657</v>
      </c>
      <c r="F214" s="113">
        <f>+'Cons spec tot e finalizzati'!G214-'Cons spec tot e finalizzati'!H214</f>
        <v>656</v>
      </c>
      <c r="G214" s="113">
        <f>+'Cons spec tot e finalizzati'!I214-'Cons spec tot e finalizzati'!J214</f>
        <v>672</v>
      </c>
      <c r="H214" s="56">
        <f>+'Cons spec tot e finalizzati'!K214-'Cons spec tot e finalizzati'!L214</f>
        <v>820</v>
      </c>
      <c r="I214" s="53">
        <f>+'Cons spec tot e finalizzati'!M214-'Cons spec tot e finalizzati'!N214</f>
        <v>849</v>
      </c>
      <c r="J214" s="53">
        <f>+'Cons spec tot e finalizzati'!O214-'Cons spec tot e finalizzati'!P214</f>
        <v>898</v>
      </c>
      <c r="K214" s="53">
        <f>+'Cons spec tot e finalizzati'!Q214-'Cons spec tot e finalizzati'!R214</f>
        <v>984</v>
      </c>
      <c r="L214" s="53">
        <f>+'Cons spec tot e finalizzati'!S214-'Cons spec tot e finalizzati'!T214</f>
        <v>938</v>
      </c>
      <c r="M214" s="53">
        <f>+'Cons spec tot e finalizzati'!U214-'Cons spec tot e finalizzati'!V214</f>
        <v>921</v>
      </c>
    </row>
    <row r="215" spans="1:13" ht="12.75">
      <c r="A215" s="29"/>
      <c r="B215" s="10" t="s">
        <v>128</v>
      </c>
      <c r="C215" s="2"/>
      <c r="D215" s="2"/>
      <c r="E215" s="172">
        <f>+'Cons spec tot e finalizzati'!E215-'Cons spec tot e finalizzati'!F215</f>
        <v>77</v>
      </c>
      <c r="F215" s="172">
        <f>+'Cons spec tot e finalizzati'!G215-'Cons spec tot e finalizzati'!H215</f>
        <v>33</v>
      </c>
      <c r="G215" s="172">
        <f>+'Cons spec tot e finalizzati'!I215-'Cons spec tot e finalizzati'!J215</f>
        <v>102</v>
      </c>
      <c r="H215" s="69">
        <f>+'Cons spec tot e finalizzati'!K215-'Cons spec tot e finalizzati'!L215</f>
        <v>105</v>
      </c>
      <c r="I215" s="77">
        <f>+'Cons spec tot e finalizzati'!M215-'Cons spec tot e finalizzati'!N215</f>
        <v>162</v>
      </c>
      <c r="J215" s="77">
        <f>+'Cons spec tot e finalizzati'!O215-'Cons spec tot e finalizzati'!P215</f>
        <v>131</v>
      </c>
      <c r="K215" s="77">
        <f>+'Cons spec tot e finalizzati'!Q215-'Cons spec tot e finalizzati'!R215</f>
        <v>92</v>
      </c>
      <c r="L215" s="77">
        <f>+'Cons spec tot e finalizzati'!S215-'Cons spec tot e finalizzati'!T215</f>
        <v>96</v>
      </c>
      <c r="M215" s="77">
        <f>+'Cons spec tot e finalizzati'!U215-'Cons spec tot e finalizzati'!V215</f>
        <v>137</v>
      </c>
    </row>
    <row r="216" spans="1:13" ht="12.75">
      <c r="A216" s="130" t="s">
        <v>46</v>
      </c>
      <c r="B216" s="123"/>
      <c r="C216" s="123"/>
      <c r="D216" s="170"/>
      <c r="E216" s="67">
        <f>+'Cons spec tot e finalizzati'!E216-'Cons spec tot e finalizzati'!F216</f>
        <v>3315</v>
      </c>
      <c r="F216" s="67">
        <f>+'Cons spec tot e finalizzati'!G216-'Cons spec tot e finalizzati'!H216</f>
        <v>3641</v>
      </c>
      <c r="G216" s="67">
        <f>+'Cons spec tot e finalizzati'!I216-'Cons spec tot e finalizzati'!J216</f>
        <v>3953</v>
      </c>
      <c r="H216" s="67">
        <f>+'Cons spec tot e finalizzati'!K216-'Cons spec tot e finalizzati'!L216</f>
        <v>4146.506293027315</v>
      </c>
      <c r="I216" s="67">
        <f>+'Cons spec tot e finalizzati'!M216-'Cons spec tot e finalizzati'!N216</f>
        <v>4554</v>
      </c>
      <c r="J216" s="67">
        <f>+'Cons spec tot e finalizzati'!O216-'Cons spec tot e finalizzati'!P216</f>
        <v>4505</v>
      </c>
      <c r="K216" s="67">
        <f>+'Cons spec tot e finalizzati'!Q216-'Cons spec tot e finalizzati'!R216</f>
        <v>4614</v>
      </c>
      <c r="L216" s="67">
        <f>+'Cons spec tot e finalizzati'!S216-'Cons spec tot e finalizzati'!T216</f>
        <v>4654</v>
      </c>
      <c r="M216" s="67">
        <f>+'Cons spec tot e finalizzati'!U216-'Cons spec tot e finalizzati'!V216</f>
        <v>4611</v>
      </c>
    </row>
    <row r="217" spans="1:13" ht="12.75">
      <c r="A217" s="29"/>
      <c r="B217" s="10" t="s">
        <v>35</v>
      </c>
      <c r="C217" s="2"/>
      <c r="D217" s="2"/>
      <c r="E217" s="113">
        <f>+'Cons spec tot e finalizzati'!E217-'Cons spec tot e finalizzati'!F217</f>
        <v>348</v>
      </c>
      <c r="F217" s="113">
        <f>+'Cons spec tot e finalizzati'!G217-'Cons spec tot e finalizzati'!H217</f>
        <v>370</v>
      </c>
      <c r="G217" s="113">
        <f>+'Cons spec tot e finalizzati'!I217-'Cons spec tot e finalizzati'!J217</f>
        <v>349</v>
      </c>
      <c r="H217" s="56">
        <f>+'Cons spec tot e finalizzati'!K217-'Cons spec tot e finalizzati'!L217</f>
        <v>309</v>
      </c>
      <c r="I217" s="53">
        <f>+'Cons spec tot e finalizzati'!M217-'Cons spec tot e finalizzati'!N217</f>
        <v>289</v>
      </c>
      <c r="J217" s="53">
        <f>+'Cons spec tot e finalizzati'!O217-'Cons spec tot e finalizzati'!P217</f>
        <v>199</v>
      </c>
      <c r="K217" s="53">
        <f>+'Cons spec tot e finalizzati'!Q217-'Cons spec tot e finalizzati'!R217</f>
        <v>263</v>
      </c>
      <c r="L217" s="53">
        <f>+'Cons spec tot e finalizzati'!S217-'Cons spec tot e finalizzati'!T217</f>
        <v>275</v>
      </c>
      <c r="M217" s="53">
        <f>+'Cons spec tot e finalizzati'!U217-'Cons spec tot e finalizzati'!V217</f>
        <v>335</v>
      </c>
    </row>
    <row r="218" spans="1:13" ht="12.75">
      <c r="A218" s="29"/>
      <c r="B218" s="10" t="s">
        <v>36</v>
      </c>
      <c r="C218" s="2"/>
      <c r="D218" s="2"/>
      <c r="E218" s="113">
        <f>+'Cons spec tot e finalizzati'!E218-'Cons spec tot e finalizzati'!F218</f>
        <v>2271</v>
      </c>
      <c r="F218" s="113">
        <f>+'Cons spec tot e finalizzati'!G218-'Cons spec tot e finalizzati'!H218</f>
        <v>2441</v>
      </c>
      <c r="G218" s="113">
        <f>+'Cons spec tot e finalizzati'!I218-'Cons spec tot e finalizzati'!J218</f>
        <v>2684</v>
      </c>
      <c r="H218" s="56">
        <f>+'Cons spec tot e finalizzati'!K218-'Cons spec tot e finalizzati'!L218</f>
        <v>2788.506293027315</v>
      </c>
      <c r="I218" s="53">
        <f>+'Cons spec tot e finalizzati'!M218-'Cons spec tot e finalizzati'!N218</f>
        <v>2883</v>
      </c>
      <c r="J218" s="53">
        <f>+'Cons spec tot e finalizzati'!O218-'Cons spec tot e finalizzati'!P218</f>
        <v>2919</v>
      </c>
      <c r="K218" s="53">
        <f>+'Cons spec tot e finalizzati'!Q218-'Cons spec tot e finalizzati'!R218</f>
        <v>2929</v>
      </c>
      <c r="L218" s="53">
        <f>+'Cons spec tot e finalizzati'!S218-'Cons spec tot e finalizzati'!T218</f>
        <v>2719</v>
      </c>
      <c r="M218" s="53">
        <f>+'Cons spec tot e finalizzati'!U218-'Cons spec tot e finalizzati'!V218</f>
        <v>2686</v>
      </c>
    </row>
    <row r="219" spans="1:13" ht="12.75">
      <c r="A219" s="29"/>
      <c r="B219" s="10" t="s">
        <v>37</v>
      </c>
      <c r="C219" s="2"/>
      <c r="D219" s="2"/>
      <c r="E219" s="113">
        <f>+'Cons spec tot e finalizzati'!E219-'Cons spec tot e finalizzati'!F219</f>
        <v>0</v>
      </c>
      <c r="F219" s="113">
        <f>+'Cons spec tot e finalizzati'!G219-'Cons spec tot e finalizzati'!H219</f>
        <v>0</v>
      </c>
      <c r="G219" s="113">
        <f>+'Cons spec tot e finalizzati'!I219-'Cons spec tot e finalizzati'!J219</f>
        <v>0</v>
      </c>
      <c r="H219" s="56">
        <f>+'Cons spec tot e finalizzati'!K219-'Cons spec tot e finalizzati'!L219</f>
        <v>0</v>
      </c>
      <c r="I219" s="53">
        <f>+'Cons spec tot e finalizzati'!M219-'Cons spec tot e finalizzati'!N219</f>
        <v>58</v>
      </c>
      <c r="J219" s="53">
        <f>+'Cons spec tot e finalizzati'!O219-'Cons spec tot e finalizzati'!P219</f>
        <v>79</v>
      </c>
      <c r="K219" s="53">
        <f>+'Cons spec tot e finalizzati'!Q219-'Cons spec tot e finalizzati'!R219</f>
        <v>50</v>
      </c>
      <c r="L219" s="53">
        <f>+'Cons spec tot e finalizzati'!S219-'Cons spec tot e finalizzati'!T219</f>
        <v>91</v>
      </c>
      <c r="M219" s="53">
        <f>+'Cons spec tot e finalizzati'!U219-'Cons spec tot e finalizzati'!V219</f>
        <v>0</v>
      </c>
    </row>
    <row r="220" spans="1:13" ht="12.75">
      <c r="A220" s="29"/>
      <c r="B220" s="10" t="s">
        <v>38</v>
      </c>
      <c r="C220" s="2"/>
      <c r="D220" s="2"/>
      <c r="E220" s="113">
        <f>+'Cons spec tot e finalizzati'!E220-'Cons spec tot e finalizzati'!F220</f>
        <v>18</v>
      </c>
      <c r="F220" s="113">
        <f>+'Cons spec tot e finalizzati'!G220-'Cons spec tot e finalizzati'!H220</f>
        <v>69</v>
      </c>
      <c r="G220" s="113">
        <f>+'Cons spec tot e finalizzati'!I220-'Cons spec tot e finalizzati'!J220</f>
        <v>57</v>
      </c>
      <c r="H220" s="56">
        <f>+'Cons spec tot e finalizzati'!K220-'Cons spec tot e finalizzati'!L220</f>
        <v>72</v>
      </c>
      <c r="I220" s="53">
        <f>+'Cons spec tot e finalizzati'!M220-'Cons spec tot e finalizzati'!N220</f>
        <v>72</v>
      </c>
      <c r="J220" s="53">
        <f>+'Cons spec tot e finalizzati'!O220-'Cons spec tot e finalizzati'!P220</f>
        <v>85</v>
      </c>
      <c r="K220" s="53">
        <f>+'Cons spec tot e finalizzati'!Q220-'Cons spec tot e finalizzati'!R220</f>
        <v>118</v>
      </c>
      <c r="L220" s="53">
        <f>+'Cons spec tot e finalizzati'!S220-'Cons spec tot e finalizzati'!T220</f>
        <v>131</v>
      </c>
      <c r="M220" s="53">
        <f>+'Cons spec tot e finalizzati'!U220-'Cons spec tot e finalizzati'!V220</f>
        <v>154</v>
      </c>
    </row>
    <row r="221" spans="1:13" ht="12.75">
      <c r="A221" s="29"/>
      <c r="B221" s="10" t="s">
        <v>127</v>
      </c>
      <c r="C221" s="2"/>
      <c r="D221" s="2"/>
      <c r="E221" s="113">
        <f>+'Cons spec tot e finalizzati'!E221-'Cons spec tot e finalizzati'!F221</f>
        <v>524</v>
      </c>
      <c r="F221" s="113">
        <f>+'Cons spec tot e finalizzati'!G221-'Cons spec tot e finalizzati'!H221</f>
        <v>577</v>
      </c>
      <c r="G221" s="113">
        <f>+'Cons spec tot e finalizzati'!I221-'Cons spec tot e finalizzati'!J221</f>
        <v>711</v>
      </c>
      <c r="H221" s="56">
        <f>+'Cons spec tot e finalizzati'!K221-'Cons spec tot e finalizzati'!L221</f>
        <v>821</v>
      </c>
      <c r="I221" s="53">
        <f>+'Cons spec tot e finalizzati'!M221-'Cons spec tot e finalizzati'!N221</f>
        <v>924</v>
      </c>
      <c r="J221" s="53">
        <f>+'Cons spec tot e finalizzati'!O221-'Cons spec tot e finalizzati'!P221</f>
        <v>853</v>
      </c>
      <c r="K221" s="53">
        <f>+'Cons spec tot e finalizzati'!Q221-'Cons spec tot e finalizzati'!R221</f>
        <v>949</v>
      </c>
      <c r="L221" s="53">
        <f>+'Cons spec tot e finalizzati'!S221-'Cons spec tot e finalizzati'!T221</f>
        <v>1077</v>
      </c>
      <c r="M221" s="53">
        <f>+'Cons spec tot e finalizzati'!U221-'Cons spec tot e finalizzati'!V221</f>
        <v>1056</v>
      </c>
    </row>
    <row r="222" spans="1:13" ht="12.75">
      <c r="A222" s="29"/>
      <c r="B222" s="10" t="s">
        <v>128</v>
      </c>
      <c r="C222" s="2"/>
      <c r="D222" s="2"/>
      <c r="E222" s="172">
        <f>+'Cons spec tot e finalizzati'!E222-'Cons spec tot e finalizzati'!F222</f>
        <v>154</v>
      </c>
      <c r="F222" s="172">
        <f>+'Cons spec tot e finalizzati'!G222-'Cons spec tot e finalizzati'!H222</f>
        <v>184</v>
      </c>
      <c r="G222" s="172">
        <f>+'Cons spec tot e finalizzati'!I222-'Cons spec tot e finalizzati'!J222</f>
        <v>152</v>
      </c>
      <c r="H222" s="69">
        <f>+'Cons spec tot e finalizzati'!K222-'Cons spec tot e finalizzati'!L222</f>
        <v>156</v>
      </c>
      <c r="I222" s="77">
        <f>+'Cons spec tot e finalizzati'!M222-'Cons spec tot e finalizzati'!N222</f>
        <v>328</v>
      </c>
      <c r="J222" s="77">
        <f>+'Cons spec tot e finalizzati'!O222-'Cons spec tot e finalizzati'!P222</f>
        <v>370</v>
      </c>
      <c r="K222" s="77">
        <f>+'Cons spec tot e finalizzati'!Q222-'Cons spec tot e finalizzati'!R222</f>
        <v>305</v>
      </c>
      <c r="L222" s="77">
        <f>+'Cons spec tot e finalizzati'!S222-'Cons spec tot e finalizzati'!T222</f>
        <v>361</v>
      </c>
      <c r="M222" s="77">
        <f>+'Cons spec tot e finalizzati'!U222-'Cons spec tot e finalizzati'!V222</f>
        <v>380</v>
      </c>
    </row>
    <row r="223" spans="1:13" ht="15.75">
      <c r="A223" s="127" t="s">
        <v>47</v>
      </c>
      <c r="B223" s="128"/>
      <c r="C223" s="129"/>
      <c r="D223" s="42"/>
      <c r="E223" s="80">
        <f>+'Cons spec tot e finalizzati'!E223-'Cons spec tot e finalizzati'!F223</f>
        <v>105532</v>
      </c>
      <c r="F223" s="80">
        <f>+'Cons spec tot e finalizzati'!G223-'Cons spec tot e finalizzati'!H223</f>
        <v>99213</v>
      </c>
      <c r="G223" s="80">
        <f>+'Cons spec tot e finalizzati'!I223-'Cons spec tot e finalizzati'!J223</f>
        <v>108868</v>
      </c>
      <c r="H223" s="80">
        <f>+'Cons spec tot e finalizzati'!K223-'Cons spec tot e finalizzati'!L223</f>
        <v>111909.1264286489</v>
      </c>
      <c r="I223" s="80">
        <f>+'Cons spec tot e finalizzati'!M223-'Cons spec tot e finalizzati'!N223</f>
        <v>116842</v>
      </c>
      <c r="J223" s="80">
        <f>+'Cons spec tot e finalizzati'!O223-'Cons spec tot e finalizzati'!P223</f>
        <v>120908</v>
      </c>
      <c r="K223" s="80">
        <f>+'Cons spec tot e finalizzati'!Q223-'Cons spec tot e finalizzati'!R223</f>
        <v>127534</v>
      </c>
      <c r="L223" s="80">
        <f>+'Cons spec tot e finalizzati'!S223-'Cons spec tot e finalizzati'!T223</f>
        <v>126551</v>
      </c>
      <c r="M223" s="80">
        <f>+'Cons spec tot e finalizzati'!U223-'Cons spec tot e finalizzati'!V223</f>
        <v>118810</v>
      </c>
    </row>
    <row r="224" ht="6" customHeight="1">
      <c r="A224" s="25"/>
    </row>
    <row r="225" spans="1:12" ht="12.75">
      <c r="A225" s="19" t="s">
        <v>84</v>
      </c>
      <c r="J225" s="43"/>
      <c r="K225" s="43"/>
      <c r="L225" s="43"/>
    </row>
    <row r="226" ht="12.75">
      <c r="A226" s="19" t="s">
        <v>130</v>
      </c>
    </row>
    <row r="227" ht="3" customHeight="1"/>
    <row r="228" ht="12.75">
      <c r="A228" s="34" t="s">
        <v>115</v>
      </c>
    </row>
    <row r="229" ht="12.75">
      <c r="A229" s="25"/>
    </row>
    <row r="230" spans="1:21" ht="12.75">
      <c r="A230" s="19"/>
      <c r="I230" s="64"/>
      <c r="M230" s="64"/>
      <c r="N230" s="64"/>
      <c r="O230" s="64"/>
      <c r="P230" s="64"/>
      <c r="Q230" s="64"/>
      <c r="R230" s="64"/>
      <c r="S230" s="64"/>
      <c r="T230" s="64"/>
      <c r="U230" s="64"/>
    </row>
    <row r="231" spans="1:13" ht="12.75">
      <c r="A231" s="19"/>
      <c r="I231" s="64"/>
      <c r="M231" s="64"/>
    </row>
    <row r="232" spans="1:13" s="1" customFormat="1" ht="12.75">
      <c r="A232" s="19"/>
      <c r="B232" s="3"/>
      <c r="C232" s="3"/>
      <c r="D232"/>
      <c r="E232" s="64"/>
      <c r="F232" s="64"/>
      <c r="G232" s="64"/>
      <c r="H232" s="64"/>
      <c r="I232" s="81"/>
      <c r="J232" s="64"/>
      <c r="K232" s="64"/>
      <c r="L232" s="64"/>
      <c r="M232" s="81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4" ht="12.75">
      <c r="A254" s="19"/>
    </row>
    <row r="441" ht="12.75">
      <c r="E441" s="64" t="s">
        <v>48</v>
      </c>
    </row>
  </sheetData>
  <hyperlinks>
    <hyperlink ref="A92:C92" location="ISTRUZIONE!D1" display="ISTRUZIONE!D1"/>
    <hyperlink ref="A92" location="ISTRUZIONE!E1" display="ISTRUZIONE!E1"/>
    <hyperlink ref="C92" location="ISTRUZIONE!V1" display="ISTRUZIONE!V1"/>
    <hyperlink ref="A123:C123" location="'SPORT E GIOVANI'!V1" display="'SPORT E GIOVANI'!V1"/>
    <hyperlink ref="A55:C55" location="'Lavori pubblici'!A1" display="'Lavori pubblici'!A1"/>
    <hyperlink ref="A151:C151" location="'Ambiente e verde'!A1" display="'Ambiente e verde'!A1"/>
    <hyperlink ref="A33:C33" location="PERSONALE!R1" display="PERSONALE!R1"/>
    <hyperlink ref="A40:C40" location="'P&amp;C'!S1" display="'P&amp;C'!S1"/>
    <hyperlink ref="A44:C44" location="'SISTEMI INFO'!S1" display="'SISTEMI INFO'!S1"/>
    <hyperlink ref="A117:C117" location="ECONOMIA!T1" display="ECONOMIA!T1"/>
    <hyperlink ref="A100:C100" location="CULTURA!R1" display="CULTURA!R1"/>
    <hyperlink ref="A138:C138" location="MOBILITA!T1" display="MOBILITA!T1"/>
    <hyperlink ref="A131:C131" location="'Programmi urbanistici'!A1" display="'Programmi urbanistici'!A1"/>
    <hyperlink ref="A81:C81" location="'SERVIZI SOCIALI'!T1" display="'SERVIZI SOCIALI'!T1"/>
    <hyperlink ref="A13:C13" location="GABINETTO!S1" display="GABINETTO!S1"/>
    <hyperlink ref="A21:C21" location="SEGR.GEN!t1" display="SEGR.GEN!t1"/>
    <hyperlink ref="A73:C73" location="PM!S1" display="PM!S1"/>
    <hyperlink ref="A19:C19" location="'STAFF CONS'!S1" display="'STAFF CONS'!S1"/>
    <hyperlink ref="A20:C20" location="'PART. SOCIETARIE'!A1" display="'PART. SOCIETARIE'!A1"/>
    <hyperlink ref="A24:C24" location="LEGALE!S1" display="LEGALE!S1"/>
    <hyperlink ref="A50:C50" location="Comunicazione!A1" display="Comunicazione!A1"/>
    <hyperlink ref="A159" location="QUARTIERI!A1" display="QUARTIERI!A1"/>
    <hyperlink ref="A25:C25" location="'AFFARI IST'!S1" display="'AFFARI IST'!S1"/>
    <hyperlink ref="A30:C30" location="ACQUISTI!S1" display="ACQUISTI!S1"/>
    <hyperlink ref="A9:C9" location="'DIREZIONE GEN'!S1" display="'DIREZIONE GEN'!S1"/>
    <hyperlink ref="A223:C223" location="TOTALE!T1" display="TOTALE!T1"/>
    <hyperlink ref="A23:C23" location="'STAFF AMM.'!A1" display="'STAFF AMM.'!A1"/>
    <hyperlink ref="A48:C48" location="RAGIONERIA!A1" display="RAGIONERIA!A1"/>
    <hyperlink ref="A79:C79" location="ENTRATE!A1" display="ENTRATE!A1"/>
    <hyperlink ref="A80:C80" location="PATRIMONIO!A1" display="PATRIMONIO!A1"/>
    <hyperlink ref="A150:C150" location="'Interventi per casa'!A1" display="'Interventi per casa'!A1"/>
    <hyperlink ref="A154:C154" location="DEMOGRAFICI!A1" display="DEMOGRAFICI!A1"/>
    <hyperlink ref="A154" location="'Servizi demografici'!A1" display="'Servizi demografici'!A1"/>
    <hyperlink ref="A9" location="'DIR GEN'!A1" display="'DIR GEN'!A1"/>
    <hyperlink ref="A13" location="Gabinetto!A1" display="Gabinetto!A1"/>
    <hyperlink ref="A19" location="'Staff del Consiglio'!A1" display="'Staff del Consiglio'!A1"/>
    <hyperlink ref="A20" location="'Partecipazione soc'!A1" display="'Partecipazione soc'!A1"/>
    <hyperlink ref="A24" location="Legale!A1" display="Legale!A1"/>
    <hyperlink ref="A21" location="'Segreteria gen'!A1" display="'Segreteria gen'!A1"/>
    <hyperlink ref="A23" location="'Staff Amm Gare'!A1" display="'Staff Amm Gare'!A1"/>
    <hyperlink ref="A25" location="'Affari ist'!A1" display="'Affari ist'!A1"/>
    <hyperlink ref="A48" location="Ragioneria!A1" display="Ragioneria!A1"/>
    <hyperlink ref="A30" location="Acquisti!A1" display="Acquisti!A1"/>
    <hyperlink ref="A33" location="'Personale '!A1" display="'Personale '!A1"/>
    <hyperlink ref="A40" location="'P&amp;C'!A1" display="'P&amp;C'!A1"/>
    <hyperlink ref="A44" location="'Sistemi info'!A1" display="'Sistemi info'!A1"/>
    <hyperlink ref="A55" location="LLPP!A1" display="LLPP!A1"/>
    <hyperlink ref="A81" location="'Servizi sociali'!A1" display="'Servizi sociali'!A1"/>
    <hyperlink ref="A100" location="Cultura!A1" display="Cultura!A1"/>
    <hyperlink ref="A117" location="Economia!A1" display="Economia!A1"/>
    <hyperlink ref="A123" location="Sport!A1" display="Sport!A1"/>
    <hyperlink ref="A131" location="'Programmi urb'!A1" display="'Programmi urb'!A1"/>
    <hyperlink ref="A138" location="Mobilità!A1" display="Mobilità!A1"/>
    <hyperlink ref="A150" location="'Interventi casa'!A1" display="'Interventi casa'!A1"/>
    <hyperlink ref="A151" location="'Ambiente '!A1" display="'Ambiente '!A1"/>
    <hyperlink ref="A50" location="'Comunicazione '!A1" display="'Comunicazione '!A1"/>
    <hyperlink ref="A73" location="PM!A1" display="PM!A1"/>
    <hyperlink ref="A223" location="'TOTALE CS'!A1" display="'TOTALE CS'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2" max="20" man="1"/>
    <brk id="92" max="20" man="1"/>
    <brk id="150" max="20" man="1"/>
    <brk id="219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168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'!E54</f>
        <v>67673</v>
      </c>
      <c r="C3" s="43">
        <f>+'Cons spec netti '!F54</f>
        <v>59509</v>
      </c>
      <c r="D3" s="43">
        <f>+'Cons spec netti '!G54</f>
        <v>66583.5</v>
      </c>
      <c r="E3" s="43">
        <f>+'Cons spec netti '!H54</f>
        <v>67419.05333450397</v>
      </c>
      <c r="F3" s="43">
        <f>+'Cons spec netti '!I54</f>
        <v>71182</v>
      </c>
      <c r="G3" s="43">
        <f>+'Cons spec netti '!J54</f>
        <v>74038</v>
      </c>
      <c r="H3" s="43">
        <f>+'Cons spec netti '!K54</f>
        <v>80647</v>
      </c>
      <c r="I3" s="43">
        <f>+'Cons spec netti '!L54</f>
        <v>79719</v>
      </c>
      <c r="J3" s="43">
        <f>+'Cons spec netti '!M54</f>
        <v>75878</v>
      </c>
    </row>
    <row r="4" spans="1:10" ht="15" customHeight="1">
      <c r="A4" s="51" t="s">
        <v>54</v>
      </c>
      <c r="B4" s="43">
        <f>+'Cons spec tot e finalizzati'!F54</f>
        <v>7483</v>
      </c>
      <c r="C4" s="43">
        <f>+'Cons spec tot e finalizzati'!H54</f>
        <v>12902</v>
      </c>
      <c r="D4" s="45">
        <f>+'Cons spec tot e finalizzati'!J54</f>
        <v>16656</v>
      </c>
      <c r="E4" s="45">
        <f>+'Cons spec tot e finalizzati'!L54</f>
        <v>14020.94666549603</v>
      </c>
      <c r="F4" s="45">
        <f>+'Cons spec tot e finalizzati'!N54</f>
        <v>19302</v>
      </c>
      <c r="G4" s="45">
        <f>+'Cons spec tot e finalizzati'!P54</f>
        <v>21279</v>
      </c>
      <c r="H4" s="45">
        <f>+'Cons spec tot e finalizzati'!R54</f>
        <v>22175</v>
      </c>
      <c r="I4" s="45">
        <f>+'Cons spec tot e finalizzati'!T54</f>
        <v>23355</v>
      </c>
      <c r="J4" s="45">
        <f>+'Cons spec tot e finalizzati'!V54</f>
        <v>16112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>+C3/$B$3*100</f>
        <v>87.93610450253423</v>
      </c>
      <c r="D6" s="157">
        <f aca="true" t="shared" si="0" ref="D6:J6">+D3/$B$3*100</f>
        <v>98.39005216260547</v>
      </c>
      <c r="E6" s="157">
        <f t="shared" si="0"/>
        <v>99.6247444837734</v>
      </c>
      <c r="F6" s="157">
        <f t="shared" si="0"/>
        <v>105.1852289687172</v>
      </c>
      <c r="G6" s="157">
        <f t="shared" si="0"/>
        <v>109.40552362094189</v>
      </c>
      <c r="H6" s="157">
        <f t="shared" si="0"/>
        <v>119.17160462813825</v>
      </c>
      <c r="I6" s="157">
        <f t="shared" si="0"/>
        <v>117.80030440500641</v>
      </c>
      <c r="J6" s="157">
        <f t="shared" si="0"/>
        <v>112.12448095991017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122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'!E55</f>
        <v>21982</v>
      </c>
      <c r="C3" s="43">
        <f>+'Cons spec netti '!F55</f>
        <v>14315</v>
      </c>
      <c r="D3" s="43">
        <f>+'Cons spec netti '!G55</f>
        <v>15831</v>
      </c>
      <c r="E3" s="43">
        <f>+'Cons spec netti '!H55</f>
        <v>15788.754688137502</v>
      </c>
      <c r="F3" s="43">
        <f>+'Cons spec netti '!I55</f>
        <v>14958</v>
      </c>
      <c r="G3" s="43">
        <f>+'Cons spec netti '!J55</f>
        <v>15154</v>
      </c>
      <c r="H3" s="43">
        <f>+'Cons spec netti '!K55</f>
        <v>15324</v>
      </c>
      <c r="I3" s="43">
        <f>+'Cons spec netti '!L55</f>
        <v>16643</v>
      </c>
      <c r="J3" s="43">
        <f>+'Cons spec netti '!M55</f>
        <v>14965</v>
      </c>
    </row>
    <row r="4" spans="1:10" ht="15" customHeight="1">
      <c r="A4" s="51" t="s">
        <v>54</v>
      </c>
      <c r="B4" s="43">
        <f>+'Cons spec tot e finalizzati'!F55</f>
        <v>89</v>
      </c>
      <c r="C4" s="43">
        <f>+'Cons spec tot e finalizzati'!H55</f>
        <v>235</v>
      </c>
      <c r="D4" s="45">
        <f>+'Cons spec tot e finalizzati'!J55</f>
        <v>166</v>
      </c>
      <c r="E4" s="45">
        <f>+'Cons spec tot e finalizzati'!L55</f>
        <v>2063.2453118624985</v>
      </c>
      <c r="F4" s="45">
        <f>+'Cons spec tot e finalizzati'!N55</f>
        <v>3635</v>
      </c>
      <c r="G4" s="45">
        <f>+'Cons spec tot e finalizzati'!P55</f>
        <v>2263</v>
      </c>
      <c r="H4" s="45">
        <f>+'Cons spec tot e finalizzati'!R55</f>
        <v>310</v>
      </c>
      <c r="I4" s="45">
        <f>+'Cons spec tot e finalizzati'!T55</f>
        <v>740</v>
      </c>
      <c r="J4" s="45">
        <f>+'Cons spec tot e finalizzati'!V55</f>
        <v>679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65.12146301519425</v>
      </c>
      <c r="D6" s="157">
        <f t="shared" si="0"/>
        <v>72.01801473933219</v>
      </c>
      <c r="E6" s="157">
        <f t="shared" si="0"/>
        <v>71.82583335518834</v>
      </c>
      <c r="F6" s="157">
        <f t="shared" si="0"/>
        <v>68.04658356837412</v>
      </c>
      <c r="G6" s="157">
        <f t="shared" si="0"/>
        <v>68.9382221817851</v>
      </c>
      <c r="H6" s="157">
        <f t="shared" si="0"/>
        <v>69.71158220362115</v>
      </c>
      <c r="I6" s="157">
        <f t="shared" si="0"/>
        <v>75.71194613774907</v>
      </c>
      <c r="J6" s="157">
        <f t="shared" si="0"/>
        <v>68.07842780456738</v>
      </c>
    </row>
    <row r="7" spans="1:10" ht="12.75">
      <c r="A7" t="s">
        <v>51</v>
      </c>
      <c r="B7" s="44">
        <f>+'Sistemi info'!B7</f>
        <v>100</v>
      </c>
      <c r="C7" s="44">
        <f>+'Sistemi info'!C7</f>
        <v>101.8</v>
      </c>
      <c r="D7" s="44">
        <f>+'Sistemi info'!D7</f>
        <v>104.3</v>
      </c>
      <c r="E7" s="44">
        <f>+'Sistemi info'!E7</f>
        <v>107</v>
      </c>
      <c r="F7" s="44">
        <f>+'Sistemi info'!F7</f>
        <v>109.6</v>
      </c>
      <c r="G7" s="44">
        <f>+'Sistemi info'!G7</f>
        <v>111.7</v>
      </c>
      <c r="H7" s="44">
        <f>+'Sistemi info'!H7</f>
        <v>113.5</v>
      </c>
      <c r="I7" s="44">
        <f>+'Sistemi info'!I7</f>
        <v>115.1</v>
      </c>
      <c r="J7" s="44">
        <f>+'Sistemi info'!J7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33" display="'Cons spec tot e finalizzati'!A3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123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'!E73</f>
        <v>2306</v>
      </c>
      <c r="C3" s="43">
        <f>+'Cons spec netti '!F73</f>
        <v>2535</v>
      </c>
      <c r="D3" s="43">
        <f>+'Cons spec netti '!G73</f>
        <v>3345</v>
      </c>
      <c r="E3" s="43">
        <f>+'Cons spec netti '!H73</f>
        <v>3101</v>
      </c>
      <c r="F3" s="43">
        <f>+'Cons spec netti '!I73</f>
        <v>3006</v>
      </c>
      <c r="G3" s="43">
        <f>+'Cons spec netti '!J73</f>
        <v>4384</v>
      </c>
      <c r="H3" s="43">
        <f>+'Cons spec netti '!K73</f>
        <v>6668</v>
      </c>
      <c r="I3" s="43">
        <f>+'Cons spec netti '!L73</f>
        <v>6523</v>
      </c>
      <c r="J3" s="43">
        <f>+'Cons spec netti '!M73</f>
        <v>10165</v>
      </c>
    </row>
    <row r="4" spans="1:10" ht="15" customHeight="1">
      <c r="A4" s="51" t="s">
        <v>54</v>
      </c>
      <c r="B4" s="43">
        <f>+'Cons spec tot e finalizzati'!F73</f>
        <v>40</v>
      </c>
      <c r="C4" s="43">
        <f>+'Cons spec tot e finalizzati'!H73</f>
        <v>22</v>
      </c>
      <c r="D4" s="45">
        <f>+'Cons spec tot e finalizzati'!J73</f>
        <v>5</v>
      </c>
      <c r="E4" s="45">
        <f>+'Cons spec tot e finalizzati'!L73</f>
        <v>0</v>
      </c>
      <c r="F4" s="45">
        <f>+'Cons spec tot e finalizzati'!N73</f>
        <v>0</v>
      </c>
      <c r="G4" s="45">
        <f>+'Cons spec tot e finalizzati'!P73</f>
        <v>5</v>
      </c>
      <c r="H4" s="45">
        <f>+'Cons spec tot e finalizzati'!R73</f>
        <v>1</v>
      </c>
      <c r="I4" s="45">
        <f>+'Cons spec tot e finalizzati'!T73</f>
        <v>7</v>
      </c>
      <c r="J4" s="45">
        <f>+'Cons spec tot e finalizzati'!V73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109.93061578490892</v>
      </c>
      <c r="D6" s="157">
        <f t="shared" si="0"/>
        <v>145.05637467476149</v>
      </c>
      <c r="E6" s="157">
        <f t="shared" si="0"/>
        <v>134.4752818733738</v>
      </c>
      <c r="F6" s="157">
        <f t="shared" si="0"/>
        <v>130.3555941023417</v>
      </c>
      <c r="G6" s="157">
        <f t="shared" si="0"/>
        <v>190.11274934952297</v>
      </c>
      <c r="H6" s="157">
        <f t="shared" si="0"/>
        <v>289.1587163920208</v>
      </c>
      <c r="I6" s="157">
        <f t="shared" si="0"/>
        <v>282.8707718993929</v>
      </c>
      <c r="J6" s="157">
        <f t="shared" si="0"/>
        <v>440.8065915004337</v>
      </c>
    </row>
    <row r="7" spans="1:10" ht="12.75">
      <c r="A7" t="s">
        <v>51</v>
      </c>
      <c r="B7" s="44">
        <f>+'Servizi demografici'!B7</f>
        <v>100</v>
      </c>
      <c r="C7" s="44">
        <f>+'Servizi demografici'!C7</f>
        <v>101.8</v>
      </c>
      <c r="D7" s="44">
        <f>+'Servizi demografici'!D7</f>
        <v>104.3</v>
      </c>
      <c r="E7" s="44">
        <f>+'Servizi demografici'!E7</f>
        <v>107</v>
      </c>
      <c r="F7" s="44">
        <f>+'Servizi demografici'!F7</f>
        <v>109.6</v>
      </c>
      <c r="G7" s="44">
        <f>+'Servizi demografici'!G7</f>
        <v>111.7</v>
      </c>
      <c r="H7" s="44">
        <f>+'Servizi demografici'!H7</f>
        <v>113.5</v>
      </c>
      <c r="I7" s="44">
        <f>+'Servizi demografici'!I7</f>
        <v>115.1</v>
      </c>
      <c r="J7" s="44">
        <f>+'Servizi demografici'!J7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62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'!E79</f>
        <v>771</v>
      </c>
      <c r="C3" s="43">
        <f>+'Cons spec netti '!F79</f>
        <v>784</v>
      </c>
      <c r="D3" s="43">
        <f>+'Cons spec netti '!G79</f>
        <v>954</v>
      </c>
      <c r="E3" s="43">
        <f>+'Cons spec netti '!H79</f>
        <v>1304</v>
      </c>
      <c r="F3" s="43">
        <f>+'Cons spec netti '!I79</f>
        <v>1852</v>
      </c>
      <c r="G3" s="43">
        <f>+'Cons spec netti '!J79</f>
        <v>3046</v>
      </c>
      <c r="H3" s="43">
        <f>+'Cons spec netti '!K79</f>
        <v>4516</v>
      </c>
      <c r="I3" s="43">
        <f>+'Cons spec netti '!L79</f>
        <v>4841</v>
      </c>
      <c r="J3" s="43">
        <f>+'Cons spec netti '!M79</f>
        <v>2727</v>
      </c>
    </row>
    <row r="4" spans="1:10" ht="15" customHeight="1">
      <c r="A4" s="51" t="s">
        <v>54</v>
      </c>
      <c r="B4" s="43">
        <f>+'Cons spec tot e finalizzati'!F79</f>
        <v>0</v>
      </c>
      <c r="C4" s="43">
        <f>+'Cons spec tot e finalizzati'!H79</f>
        <v>0</v>
      </c>
      <c r="D4" s="45">
        <f>+'Cons spec tot e finalizzati'!J79</f>
        <v>0</v>
      </c>
      <c r="E4" s="45">
        <f>+'Cons spec tot e finalizzati'!L79</f>
        <v>0</v>
      </c>
      <c r="F4" s="45">
        <f>+'Cons spec tot e finalizzati'!N79</f>
        <v>0</v>
      </c>
      <c r="G4" s="45">
        <f>+'Cons spec tot e finalizzati'!P79</f>
        <v>0</v>
      </c>
      <c r="H4" s="45">
        <f>+'Cons spec tot e finalizzati'!R79</f>
        <v>0</v>
      </c>
      <c r="I4" s="45">
        <f>+'Cons spec tot e finalizzati'!T79</f>
        <v>0</v>
      </c>
      <c r="J4" s="45">
        <f>+'Cons spec tot e finalizzati'!V79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>+C3/$B$3*100</f>
        <v>101.68612191958495</v>
      </c>
      <c r="D6" s="157">
        <f aca="true" t="shared" si="0" ref="D6:J6">+D3/$B$3*100</f>
        <v>123.73540856031128</v>
      </c>
      <c r="E6" s="157">
        <f t="shared" si="0"/>
        <v>169.13099870298313</v>
      </c>
      <c r="F6" s="157">
        <f t="shared" si="0"/>
        <v>240.20752269779507</v>
      </c>
      <c r="G6" s="157">
        <f t="shared" si="0"/>
        <v>395.07133592736704</v>
      </c>
      <c r="H6" s="157">
        <f t="shared" si="0"/>
        <v>585.7328145265888</v>
      </c>
      <c r="I6" s="157">
        <f t="shared" si="0"/>
        <v>627.8858625162127</v>
      </c>
      <c r="J6" s="157">
        <f t="shared" si="0"/>
        <v>353.6964980544747</v>
      </c>
    </row>
    <row r="7" spans="1:10" ht="12.75">
      <c r="A7" t="s">
        <v>51</v>
      </c>
      <c r="B7" s="44">
        <f>+Ragioneria!B7</f>
        <v>100</v>
      </c>
      <c r="C7" s="44">
        <f>+Ragioneria!C7</f>
        <v>101.8</v>
      </c>
      <c r="D7" s="44">
        <f>+Ragioneria!D7</f>
        <v>104.3</v>
      </c>
      <c r="E7" s="44">
        <f>+Ragioneria!E7</f>
        <v>107</v>
      </c>
      <c r="F7" s="44">
        <f>+Ragioneria!F7</f>
        <v>109.6</v>
      </c>
      <c r="G7" s="44">
        <f>+Ragioneria!G7</f>
        <v>111.7</v>
      </c>
      <c r="H7" s="44">
        <f>+Ragioneria!H7</f>
        <v>113.5</v>
      </c>
      <c r="I7" s="44">
        <f>+Ragioneria!I7</f>
        <v>115.1</v>
      </c>
      <c r="J7" s="44">
        <f>+Ragioneria!J7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4" width="5.57421875" style="0" bestFit="1" customWidth="1"/>
    <col min="5" max="5" width="6.7109375" style="0" bestFit="1" customWidth="1"/>
    <col min="6" max="10" width="7.140625" style="0" bestFit="1" customWidth="1"/>
  </cols>
  <sheetData>
    <row r="1" ht="12.75">
      <c r="A1" t="s">
        <v>121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'!E80</f>
        <v>173</v>
      </c>
      <c r="C3" s="43">
        <f>+'Cons spec netti '!F80</f>
        <v>172</v>
      </c>
      <c r="D3" s="43">
        <f>+'Cons spec netti '!G80</f>
        <v>172</v>
      </c>
      <c r="E3" s="43">
        <f>+'Cons spec netti '!H80</f>
        <v>131</v>
      </c>
      <c r="F3" s="43">
        <f>+'Cons spec netti '!I80</f>
        <v>189</v>
      </c>
      <c r="G3" s="43">
        <f>+'Cons spec netti '!J80</f>
        <v>240</v>
      </c>
      <c r="H3" s="43">
        <f>+'Cons spec netti '!K80</f>
        <v>264</v>
      </c>
      <c r="I3" s="43">
        <f>+'Cons spec netti '!L80</f>
        <v>185</v>
      </c>
      <c r="J3" s="43">
        <f>+'Cons spec netti '!M80</f>
        <v>126</v>
      </c>
    </row>
    <row r="4" spans="1:10" ht="15" customHeight="1">
      <c r="A4" s="51" t="s">
        <v>54</v>
      </c>
      <c r="B4" s="43">
        <f>+'Cons spec tot e finalizzati'!F80</f>
        <v>0</v>
      </c>
      <c r="C4" s="43">
        <f>+'Cons spec tot e finalizzati'!H80</f>
        <v>0</v>
      </c>
      <c r="D4" s="45">
        <f>+'Cons spec tot e finalizzati'!J80</f>
        <v>0</v>
      </c>
      <c r="E4" s="45">
        <f>+'Cons spec tot e finalizzati'!L80</f>
        <v>0</v>
      </c>
      <c r="F4" s="45">
        <f>+'Cons spec tot e finalizzati'!N80</f>
        <v>0</v>
      </c>
      <c r="G4" s="45">
        <f>+'Cons spec tot e finalizzati'!P80</f>
        <v>0</v>
      </c>
      <c r="H4" s="45">
        <f>+'Cons spec tot e finalizzati'!R80</f>
        <v>0</v>
      </c>
      <c r="I4" s="45">
        <f>+'Cons spec tot e finalizzati'!T80</f>
        <v>0</v>
      </c>
      <c r="J4" s="45">
        <f>+'Cons spec tot e finalizzati'!V80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99.42196531791907</v>
      </c>
      <c r="D6" s="157">
        <f t="shared" si="0"/>
        <v>99.42196531791907</v>
      </c>
      <c r="E6" s="157">
        <f t="shared" si="0"/>
        <v>75.72254335260115</v>
      </c>
      <c r="F6" s="157">
        <f t="shared" si="0"/>
        <v>109.2485549132948</v>
      </c>
      <c r="G6" s="157">
        <f t="shared" si="0"/>
        <v>138.72832369942196</v>
      </c>
      <c r="H6" s="157">
        <f t="shared" si="0"/>
        <v>152.60115606936415</v>
      </c>
      <c r="I6" s="157">
        <f t="shared" si="0"/>
        <v>106.9364161849711</v>
      </c>
      <c r="J6" s="157">
        <f t="shared" si="0"/>
        <v>72.83236994219652</v>
      </c>
    </row>
    <row r="7" spans="1:10" ht="12.75">
      <c r="A7" t="s">
        <v>51</v>
      </c>
      <c r="B7" s="44">
        <f>+Entrate!B7</f>
        <v>100</v>
      </c>
      <c r="C7" s="44">
        <f>+Entrate!C7</f>
        <v>101.8</v>
      </c>
      <c r="D7" s="44">
        <f>+Entrate!D7</f>
        <v>104.3</v>
      </c>
      <c r="E7" s="44">
        <f>+Entrate!E7</f>
        <v>107</v>
      </c>
      <c r="F7" s="44">
        <f>+Entrate!F7</f>
        <v>109.6</v>
      </c>
      <c r="G7" s="44">
        <f>+Entrate!G7</f>
        <v>111.7</v>
      </c>
      <c r="H7" s="44">
        <f>+Entrate!H7</f>
        <v>113.5</v>
      </c>
      <c r="I7" s="44">
        <f>+Entrate!I7</f>
        <v>115.1</v>
      </c>
      <c r="J7" s="44">
        <f>+Entrate!J7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169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'!E81</f>
        <v>13880</v>
      </c>
      <c r="C3" s="43">
        <f>+'Cons spec netti '!F81</f>
        <v>16112</v>
      </c>
      <c r="D3" s="43">
        <f>+'Cons spec netti '!G81</f>
        <v>17732</v>
      </c>
      <c r="E3" s="43">
        <f>+'Cons spec netti '!H81</f>
        <v>19729.298646366467</v>
      </c>
      <c r="F3" s="43">
        <f>+'Cons spec netti '!I81</f>
        <v>18652</v>
      </c>
      <c r="G3" s="43">
        <f>+'Cons spec netti '!J81</f>
        <v>19042</v>
      </c>
      <c r="H3" s="43">
        <f>+'Cons spec netti '!K81</f>
        <v>23386</v>
      </c>
      <c r="I3" s="43">
        <f>+'Cons spec netti '!L81</f>
        <v>19899</v>
      </c>
      <c r="J3" s="43">
        <f>+'Cons spec netti '!M81</f>
        <v>22710</v>
      </c>
    </row>
    <row r="4" spans="1:10" ht="15" customHeight="1">
      <c r="A4" s="51" t="s">
        <v>54</v>
      </c>
      <c r="B4" s="43">
        <f>+'Cons spec tot e finalizzati'!F81</f>
        <v>4093</v>
      </c>
      <c r="C4" s="43">
        <f>+'Cons spec tot e finalizzati'!H81</f>
        <v>1523</v>
      </c>
      <c r="D4" s="45">
        <f>+'Cons spec tot e finalizzati'!J81</f>
        <v>2163</v>
      </c>
      <c r="E4" s="45">
        <f>+'Cons spec tot e finalizzati'!L81</f>
        <v>1850.7013536335326</v>
      </c>
      <c r="F4" s="45">
        <f>+'Cons spec tot e finalizzati'!N81</f>
        <v>4472</v>
      </c>
      <c r="G4" s="45">
        <f>+'Cons spec tot e finalizzati'!P81</f>
        <v>6306</v>
      </c>
      <c r="H4" s="45">
        <f>+'Cons spec tot e finalizzati'!R81</f>
        <v>9636</v>
      </c>
      <c r="I4" s="45">
        <f>+'Cons spec tot e finalizzati'!T81</f>
        <v>8587</v>
      </c>
      <c r="J4" s="45">
        <f>+'Cons spec tot e finalizzati'!V81</f>
        <v>5517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116.08069164265129</v>
      </c>
      <c r="D6" s="157">
        <f t="shared" si="0"/>
        <v>127.75216138328531</v>
      </c>
      <c r="E6" s="157">
        <f t="shared" si="0"/>
        <v>142.1419210833319</v>
      </c>
      <c r="F6" s="157">
        <f t="shared" si="0"/>
        <v>134.38040345821324</v>
      </c>
      <c r="G6" s="157">
        <f t="shared" si="0"/>
        <v>137.19020172910663</v>
      </c>
      <c r="H6" s="157">
        <f t="shared" si="0"/>
        <v>168.48703170028818</v>
      </c>
      <c r="I6" s="157">
        <f t="shared" si="0"/>
        <v>143.36455331412103</v>
      </c>
      <c r="J6" s="157">
        <f t="shared" si="0"/>
        <v>163.61671469740634</v>
      </c>
    </row>
    <row r="7" spans="1:10" ht="12.75">
      <c r="A7" t="s">
        <v>51</v>
      </c>
      <c r="B7" s="44">
        <f>+Entrate!B7</f>
        <v>100</v>
      </c>
      <c r="C7" s="44">
        <f>+Entrate!C7</f>
        <v>101.8</v>
      </c>
      <c r="D7" s="44">
        <f>+Entrate!D7</f>
        <v>104.3</v>
      </c>
      <c r="E7" s="44">
        <f>+Entrate!E7</f>
        <v>107</v>
      </c>
      <c r="F7" s="44">
        <f>+Entrate!F7</f>
        <v>109.6</v>
      </c>
      <c r="G7" s="44">
        <f>+Entrate!G7</f>
        <v>111.7</v>
      </c>
      <c r="H7" s="44">
        <f>+Entrate!H7</f>
        <v>113.5</v>
      </c>
      <c r="I7" s="44">
        <f>+Entrate!I7</f>
        <v>115.1</v>
      </c>
      <c r="J7" s="44">
        <f>+Entrate!J7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170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'!E92</f>
        <v>1230</v>
      </c>
      <c r="C3" s="43">
        <f>+'Cons spec netti '!F92</f>
        <v>1937</v>
      </c>
      <c r="D3" s="43">
        <f>+'Cons spec netti '!G92</f>
        <v>2164</v>
      </c>
      <c r="E3" s="43">
        <f>+'Cons spec netti '!H92</f>
        <v>2975</v>
      </c>
      <c r="F3" s="43">
        <f>+'Cons spec netti '!I92</f>
        <v>4392</v>
      </c>
      <c r="G3" s="43">
        <f>+'Cons spec netti '!J92</f>
        <v>4520</v>
      </c>
      <c r="H3" s="43">
        <f>+'Cons spec netti '!K92</f>
        <v>3514</v>
      </c>
      <c r="I3" s="43">
        <f>+'Cons spec netti '!L92</f>
        <v>3917</v>
      </c>
      <c r="J3" s="43">
        <f>+'Cons spec netti '!M92</f>
        <v>3935</v>
      </c>
    </row>
    <row r="4" spans="1:10" ht="15" customHeight="1">
      <c r="A4" s="51" t="s">
        <v>54</v>
      </c>
      <c r="B4" s="43">
        <f>+'Cons spec tot e finalizzati'!F92</f>
        <v>1592</v>
      </c>
      <c r="C4" s="43">
        <f>+'Cons spec tot e finalizzati'!H92</f>
        <v>795</v>
      </c>
      <c r="D4" s="45">
        <f>+'Cons spec tot e finalizzati'!J92</f>
        <v>1192</v>
      </c>
      <c r="E4" s="45">
        <f>+'Cons spec tot e finalizzati'!L92</f>
        <v>1235</v>
      </c>
      <c r="F4" s="45">
        <f>+'Cons spec tot e finalizzati'!N92</f>
        <v>1571</v>
      </c>
      <c r="G4" s="45">
        <f>+'Cons spec tot e finalizzati'!P92</f>
        <v>1301</v>
      </c>
      <c r="H4" s="45">
        <f>+'Cons spec tot e finalizzati'!R92</f>
        <v>1596</v>
      </c>
      <c r="I4" s="45">
        <f>+'Cons spec tot e finalizzati'!T92</f>
        <v>1536</v>
      </c>
      <c r="J4" s="45">
        <f>+'Cons spec tot e finalizzati'!V92</f>
        <v>1529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157.47967479674796</v>
      </c>
      <c r="D6" s="157">
        <f t="shared" si="0"/>
        <v>175.9349593495935</v>
      </c>
      <c r="E6" s="157">
        <f t="shared" si="0"/>
        <v>241.86991869918697</v>
      </c>
      <c r="F6" s="157">
        <f t="shared" si="0"/>
        <v>357.0731707317073</v>
      </c>
      <c r="G6" s="157">
        <f t="shared" si="0"/>
        <v>367.479674796748</v>
      </c>
      <c r="H6" s="157">
        <f t="shared" si="0"/>
        <v>285.6910569105691</v>
      </c>
      <c r="I6" s="157">
        <f t="shared" si="0"/>
        <v>318.4552845528455</v>
      </c>
      <c r="J6" s="157">
        <f t="shared" si="0"/>
        <v>319.9186991869919</v>
      </c>
    </row>
    <row r="7" spans="1:10" ht="12.75">
      <c r="A7" t="s">
        <v>51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129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'!E100</f>
        <v>12740</v>
      </c>
      <c r="C3" s="43">
        <f>+'Cons spec netti '!F100</f>
        <v>8824</v>
      </c>
      <c r="D3" s="43">
        <f>+'Cons spec netti '!G100</f>
        <v>10784</v>
      </c>
      <c r="E3" s="43">
        <f>+'Cons spec netti '!H100</f>
        <v>9942</v>
      </c>
      <c r="F3" s="43">
        <f>+'Cons spec netti '!I100</f>
        <v>10372</v>
      </c>
      <c r="G3" s="43">
        <f>+'Cons spec netti '!J100</f>
        <v>12735</v>
      </c>
      <c r="H3" s="43">
        <f>+'Cons spec netti '!K100</f>
        <v>12660</v>
      </c>
      <c r="I3" s="43">
        <f>+'Cons spec netti '!L100</f>
        <v>11681</v>
      </c>
      <c r="J3" s="43">
        <f>+'Cons spec netti '!M100</f>
        <v>8181</v>
      </c>
    </row>
    <row r="4" spans="1:10" ht="15" customHeight="1">
      <c r="A4" s="51" t="s">
        <v>54</v>
      </c>
      <c r="B4" s="43">
        <f>+'Cons spec tot e finalizzati'!F100</f>
        <v>303</v>
      </c>
      <c r="C4" s="43">
        <f>+'Cons spec tot e finalizzati'!H100</f>
        <v>7319</v>
      </c>
      <c r="D4" s="45">
        <f>+'Cons spec tot e finalizzati'!J100</f>
        <v>3888</v>
      </c>
      <c r="E4" s="45">
        <f>+'Cons spec tot e finalizzati'!L100</f>
        <v>1616</v>
      </c>
      <c r="F4" s="45">
        <f>+'Cons spec tot e finalizzati'!N100</f>
        <v>542</v>
      </c>
      <c r="G4" s="45">
        <f>+'Cons spec tot e finalizzati'!P100</f>
        <v>2059</v>
      </c>
      <c r="H4" s="45">
        <f>+'Cons spec tot e finalizzati'!R100</f>
        <v>1630</v>
      </c>
      <c r="I4" s="45">
        <f>+'Cons spec tot e finalizzati'!T100</f>
        <v>1910</v>
      </c>
      <c r="J4" s="45">
        <f>+'Cons spec tot e finalizzati'!V100</f>
        <v>1058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69.26216640502355</v>
      </c>
      <c r="D6" s="157">
        <f t="shared" si="0"/>
        <v>84.64678178963894</v>
      </c>
      <c r="E6" s="157">
        <f t="shared" si="0"/>
        <v>78.03767660910518</v>
      </c>
      <c r="F6" s="157">
        <f t="shared" si="0"/>
        <v>81.41287284144427</v>
      </c>
      <c r="G6" s="157">
        <f t="shared" si="0"/>
        <v>99.9607535321821</v>
      </c>
      <c r="H6" s="157">
        <f t="shared" si="0"/>
        <v>99.37205651491365</v>
      </c>
      <c r="I6" s="157">
        <f t="shared" si="0"/>
        <v>91.68759811616954</v>
      </c>
      <c r="J6" s="157">
        <f t="shared" si="0"/>
        <v>64.21507064364206</v>
      </c>
    </row>
    <row r="7" spans="1:10" ht="12.75">
      <c r="A7" t="s">
        <v>51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182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'!E117</f>
        <v>638</v>
      </c>
      <c r="C3" s="43">
        <f>+'Cons spec netti '!F117</f>
        <v>774</v>
      </c>
      <c r="D3" s="43">
        <f>+'Cons spec netti '!G117</f>
        <v>1239</v>
      </c>
      <c r="E3" s="43">
        <f>+'Cons spec netti '!H117</f>
        <v>648</v>
      </c>
      <c r="F3" s="43">
        <f>+'Cons spec netti '!I117</f>
        <v>931</v>
      </c>
      <c r="G3" s="43">
        <f>+'Cons spec netti '!J117</f>
        <v>631</v>
      </c>
      <c r="H3" s="43">
        <f>+'Cons spec netti '!K117</f>
        <v>783</v>
      </c>
      <c r="I3" s="43">
        <f>+'Cons spec netti '!L117</f>
        <v>591</v>
      </c>
      <c r="J3" s="43">
        <f>+'Cons spec netti '!M117</f>
        <v>416</v>
      </c>
    </row>
    <row r="4" spans="1:10" ht="15" customHeight="1">
      <c r="A4" s="51" t="s">
        <v>54</v>
      </c>
      <c r="B4" s="43">
        <f>+'Cons spec tot e finalizzati'!F117</f>
        <v>1057</v>
      </c>
      <c r="C4" s="43">
        <f>+'Cons spec tot e finalizzati'!H117</f>
        <v>2561</v>
      </c>
      <c r="D4" s="45">
        <f>+'Cons spec tot e finalizzati'!J117</f>
        <v>1425</v>
      </c>
      <c r="E4" s="45">
        <f>+'Cons spec tot e finalizzati'!L117</f>
        <v>2772</v>
      </c>
      <c r="F4" s="45">
        <f>+'Cons spec tot e finalizzati'!N117</f>
        <v>2088</v>
      </c>
      <c r="G4" s="45">
        <f>+'Cons spec tot e finalizzati'!P117</f>
        <v>2461</v>
      </c>
      <c r="H4" s="45">
        <f>+'Cons spec tot e finalizzati'!R117</f>
        <v>87</v>
      </c>
      <c r="I4" s="45">
        <f>+'Cons spec tot e finalizzati'!T117</f>
        <v>2541</v>
      </c>
      <c r="J4" s="45">
        <f>+'Cons spec tot e finalizzati'!V117</f>
        <v>159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121.31661442006269</v>
      </c>
      <c r="D6" s="157">
        <f t="shared" si="0"/>
        <v>194.20062695924764</v>
      </c>
      <c r="E6" s="157">
        <f t="shared" si="0"/>
        <v>101.56739811912226</v>
      </c>
      <c r="F6" s="157">
        <f t="shared" si="0"/>
        <v>145.92476489028212</v>
      </c>
      <c r="G6" s="157">
        <f t="shared" si="0"/>
        <v>98.90282131661442</v>
      </c>
      <c r="H6" s="157">
        <f t="shared" si="0"/>
        <v>122.72727272727273</v>
      </c>
      <c r="I6" s="157">
        <f t="shared" si="0"/>
        <v>92.6332288401254</v>
      </c>
      <c r="J6" s="157">
        <f t="shared" si="0"/>
        <v>65.20376175548589</v>
      </c>
    </row>
    <row r="7" spans="1:10" ht="12.75">
      <c r="A7" t="s">
        <v>51</v>
      </c>
      <c r="B7" s="44">
        <f>+'Sociale e salute'!B7</f>
        <v>100</v>
      </c>
      <c r="C7" s="44">
        <f>+'Sociale e salute'!C7</f>
        <v>101.8</v>
      </c>
      <c r="D7" s="44">
        <f>+'Sociale e salute'!D7</f>
        <v>104.3</v>
      </c>
      <c r="E7" s="44">
        <f>+'Sociale e salute'!E7</f>
        <v>107</v>
      </c>
      <c r="F7" s="44">
        <f>+'Sociale e salute'!F7</f>
        <v>109.6</v>
      </c>
      <c r="G7" s="44">
        <f>+'Sociale e salute'!G7</f>
        <v>111.7</v>
      </c>
      <c r="H7" s="44">
        <f>+'Sociale e salute'!H7</f>
        <v>113.5</v>
      </c>
      <c r="I7" s="44">
        <f>+'Sociale e salute'!I7</f>
        <v>115.1</v>
      </c>
      <c r="J7" s="44">
        <f>+'Sociale e salute'!J7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173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'!E123</f>
        <v>4146</v>
      </c>
      <c r="C3" s="43">
        <f>+'Cons spec netti '!F123</f>
        <v>4324</v>
      </c>
      <c r="D3" s="43">
        <f>+'Cons spec netti '!G123</f>
        <v>4083</v>
      </c>
      <c r="E3" s="43">
        <f>+'Cons spec netti '!H123</f>
        <v>4717</v>
      </c>
      <c r="F3" s="43">
        <f>+'Cons spec netti '!I123</f>
        <v>4930</v>
      </c>
      <c r="G3" s="43">
        <f>+'Cons spec netti '!J123</f>
        <v>5066</v>
      </c>
      <c r="H3" s="43">
        <f>+'Cons spec netti '!K123</f>
        <v>4867</v>
      </c>
      <c r="I3" s="43">
        <f>+'Cons spec netti '!L123</f>
        <v>4796</v>
      </c>
      <c r="J3" s="43">
        <f>+'Cons spec netti '!M123</f>
        <v>3539</v>
      </c>
    </row>
    <row r="4" spans="1:10" ht="15" customHeight="1">
      <c r="A4" s="51" t="s">
        <v>54</v>
      </c>
      <c r="B4" s="43">
        <f>+'Cons spec tot e finalizzati'!F123</f>
        <v>13</v>
      </c>
      <c r="C4" s="43">
        <f>+'Cons spec tot e finalizzati'!H123</f>
        <v>3</v>
      </c>
      <c r="D4" s="45">
        <f>+'Cons spec tot e finalizzati'!J123</f>
        <v>5</v>
      </c>
      <c r="E4" s="45">
        <f>+'Cons spec tot e finalizzati'!L123</f>
        <v>168</v>
      </c>
      <c r="F4" s="45">
        <f>+'Cons spec tot e finalizzati'!N123</f>
        <v>496</v>
      </c>
      <c r="G4" s="45">
        <f>+'Cons spec tot e finalizzati'!P123</f>
        <v>509</v>
      </c>
      <c r="H4" s="45">
        <f>+'Cons spec tot e finalizzati'!R123</f>
        <v>491</v>
      </c>
      <c r="I4" s="45">
        <f>+'Cons spec tot e finalizzati'!T123</f>
        <v>520</v>
      </c>
      <c r="J4" s="45">
        <f>+'Cons spec tot e finalizzati'!V123</f>
        <v>223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104.29329474191992</v>
      </c>
      <c r="D6" s="157">
        <f t="shared" si="0"/>
        <v>98.48046309696092</v>
      </c>
      <c r="E6" s="157">
        <f t="shared" si="0"/>
        <v>113.77231066087796</v>
      </c>
      <c r="F6" s="157">
        <f t="shared" si="0"/>
        <v>118.90979257115293</v>
      </c>
      <c r="G6" s="157">
        <f t="shared" si="0"/>
        <v>122.19006271104679</v>
      </c>
      <c r="H6" s="157">
        <f t="shared" si="0"/>
        <v>117.39025566811385</v>
      </c>
      <c r="I6" s="157">
        <f t="shared" si="0"/>
        <v>115.6777616980222</v>
      </c>
      <c r="J6" s="157">
        <f t="shared" si="0"/>
        <v>85.35938253738543</v>
      </c>
    </row>
    <row r="7" spans="1:10" ht="12.75">
      <c r="A7" t="s">
        <v>51</v>
      </c>
      <c r="B7" s="44">
        <f>+'Attività produttive'!B7</f>
        <v>100</v>
      </c>
      <c r="C7" s="44">
        <f>+'Attività produttive'!C7</f>
        <v>101.8</v>
      </c>
      <c r="D7" s="44">
        <f>+'Attività produttive'!D7</f>
        <v>104.3</v>
      </c>
      <c r="E7" s="44">
        <f>+'Attività produttive'!E7</f>
        <v>107</v>
      </c>
      <c r="F7" s="44">
        <f>+'Attività produttive'!F7</f>
        <v>109.6</v>
      </c>
      <c r="G7" s="44">
        <f>+'Attività produttive'!G7</f>
        <v>111.7</v>
      </c>
      <c r="H7" s="44">
        <f>+'Attività produttive'!H7</f>
        <v>113.5</v>
      </c>
      <c r="I7" s="44">
        <f>+'Attività produttive'!I7</f>
        <v>115.1</v>
      </c>
      <c r="J7" s="44">
        <f>+'Attività produttive'!J7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4" width="5.57421875" style="0" bestFit="1" customWidth="1"/>
    <col min="5" max="10" width="7.140625" style="0" bestFit="1" customWidth="1"/>
  </cols>
  <sheetData>
    <row r="1" ht="12.75">
      <c r="A1" t="s">
        <v>0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'!E9</f>
        <v>5</v>
      </c>
      <c r="C3" s="43">
        <f>+'Cons spec netti '!F9</f>
        <v>2</v>
      </c>
      <c r="D3" s="43">
        <f>+'Cons spec netti '!G9</f>
        <v>5</v>
      </c>
      <c r="E3" s="43">
        <f>+'Cons spec netti '!H9</f>
        <v>56</v>
      </c>
      <c r="F3" s="43">
        <f>+'Cons spec netti '!I9</f>
        <v>168</v>
      </c>
      <c r="G3" s="43">
        <f>+'Cons spec netti '!J9</f>
        <v>199</v>
      </c>
      <c r="H3" s="43">
        <f>+'Cons spec netti '!K9</f>
        <v>86</v>
      </c>
      <c r="I3" s="43">
        <f>+'Cons spec netti '!L9</f>
        <v>57</v>
      </c>
      <c r="J3" s="43">
        <f>+'Cons spec netti '!M9</f>
        <v>8</v>
      </c>
    </row>
    <row r="4" spans="1:10" ht="15" customHeight="1">
      <c r="A4" s="51" t="s">
        <v>54</v>
      </c>
      <c r="B4" s="43">
        <f>+'Cons spec tot e finalizzati'!F9</f>
        <v>0</v>
      </c>
      <c r="C4" s="32">
        <f>+'Cons spec tot e finalizzati'!H9</f>
        <v>0</v>
      </c>
      <c r="D4" s="45">
        <f>+'Cons spec tot e finalizzati'!J9</f>
        <v>0</v>
      </c>
      <c r="E4" s="45">
        <f>+'Cons spec tot e finalizzati'!L9</f>
        <v>0</v>
      </c>
      <c r="F4" s="45">
        <f>+'Cons spec tot e finalizzati'!N9</f>
        <v>0</v>
      </c>
      <c r="G4" s="45">
        <f>+'Cons spec tot e finalizzati'!P9</f>
        <v>0</v>
      </c>
      <c r="H4" s="45">
        <f>+'Cons spec tot e finalizzati'!R9</f>
        <v>0</v>
      </c>
      <c r="I4" s="45">
        <f>+'Cons spec tot e finalizzati'!T9</f>
        <v>0</v>
      </c>
      <c r="J4" s="45">
        <f>+'Cons spec tot e finalizzati'!V9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>+C3/$B$3*100</f>
        <v>40</v>
      </c>
      <c r="D6" s="157">
        <f aca="true" t="shared" si="0" ref="D6:J6">+D3/$B$3*100</f>
        <v>100</v>
      </c>
      <c r="E6" s="157">
        <f t="shared" si="0"/>
        <v>1120</v>
      </c>
      <c r="F6" s="157">
        <f t="shared" si="0"/>
        <v>3360</v>
      </c>
      <c r="G6" s="157">
        <f t="shared" si="0"/>
        <v>3979.9999999999995</v>
      </c>
      <c r="H6" s="157">
        <f t="shared" si="0"/>
        <v>1720</v>
      </c>
      <c r="I6" s="157">
        <f t="shared" si="0"/>
        <v>1140</v>
      </c>
      <c r="J6" s="157">
        <f t="shared" si="0"/>
        <v>160</v>
      </c>
    </row>
    <row r="7" spans="1:10" ht="12.75">
      <c r="A7" t="s">
        <v>51</v>
      </c>
      <c r="B7" s="44">
        <v>100</v>
      </c>
      <c r="C7" s="44">
        <v>101.8</v>
      </c>
      <c r="D7" s="44">
        <v>104.3</v>
      </c>
      <c r="E7" s="44">
        <v>107</v>
      </c>
      <c r="F7">
        <v>109.6</v>
      </c>
      <c r="G7" s="44">
        <v>111.7</v>
      </c>
      <c r="H7">
        <v>113.5</v>
      </c>
      <c r="I7">
        <v>115.1</v>
      </c>
      <c r="J7"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174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'!E131</f>
        <v>2279</v>
      </c>
      <c r="C3" s="43">
        <f>+'Cons spec netti '!F131</f>
        <v>2046</v>
      </c>
      <c r="D3" s="43">
        <f>+'Cons spec netti '!G131</f>
        <v>1648</v>
      </c>
      <c r="E3" s="43">
        <f>+'Cons spec netti '!H131</f>
        <v>1349</v>
      </c>
      <c r="F3" s="43">
        <f>+'Cons spec netti '!I131</f>
        <v>1787</v>
      </c>
      <c r="G3" s="43">
        <f>+'Cons spec netti '!J131</f>
        <v>1254</v>
      </c>
      <c r="H3" s="43">
        <f>+'Cons spec netti '!K131</f>
        <v>839</v>
      </c>
      <c r="I3" s="43">
        <f>+'Cons spec netti '!L131</f>
        <v>1279</v>
      </c>
      <c r="J3" s="43">
        <f>+'Cons spec netti '!M131</f>
        <v>394</v>
      </c>
    </row>
    <row r="4" spans="1:10" ht="15" customHeight="1">
      <c r="A4" s="51" t="s">
        <v>54</v>
      </c>
      <c r="B4" s="43">
        <f>+'Cons spec tot e finalizzati'!F131</f>
        <v>0</v>
      </c>
      <c r="C4" s="43">
        <f>+'Cons spec tot e finalizzati'!H131</f>
        <v>0</v>
      </c>
      <c r="D4" s="45">
        <f>+'Cons spec tot e finalizzati'!J131</f>
        <v>52</v>
      </c>
      <c r="E4" s="45">
        <f>+'Cons spec tot e finalizzati'!L131</f>
        <v>0</v>
      </c>
      <c r="F4" s="45">
        <f>+'Cons spec tot e finalizzati'!N131</f>
        <v>0</v>
      </c>
      <c r="G4" s="45">
        <f>+'Cons spec tot e finalizzati'!P131</f>
        <v>136</v>
      </c>
      <c r="H4" s="45">
        <f>+'Cons spec tot e finalizzati'!R131</f>
        <v>393</v>
      </c>
      <c r="I4" s="45">
        <f>+'Cons spec tot e finalizzati'!T131</f>
        <v>500</v>
      </c>
      <c r="J4" s="45">
        <f>+'Cons spec tot e finalizzati'!V131</f>
        <v>1587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89.77621763931549</v>
      </c>
      <c r="D6" s="157">
        <f t="shared" si="0"/>
        <v>72.31241772707328</v>
      </c>
      <c r="E6" s="157">
        <f t="shared" si="0"/>
        <v>59.192628345765684</v>
      </c>
      <c r="F6" s="157">
        <f t="shared" si="0"/>
        <v>78.41158402808249</v>
      </c>
      <c r="G6" s="157">
        <f t="shared" si="0"/>
        <v>55.024133391838525</v>
      </c>
      <c r="H6" s="157">
        <f t="shared" si="0"/>
        <v>36.81439227731461</v>
      </c>
      <c r="I6" s="157">
        <f t="shared" si="0"/>
        <v>56.12110574813515</v>
      </c>
      <c r="J6" s="157">
        <f t="shared" si="0"/>
        <v>17.288284335234753</v>
      </c>
    </row>
    <row r="7" spans="1:10" ht="12.75">
      <c r="A7" t="s">
        <v>51</v>
      </c>
      <c r="B7" s="44">
        <f>+'Attività produttive'!B7</f>
        <v>100</v>
      </c>
      <c r="C7" s="44">
        <f>+'Attività produttive'!C7</f>
        <v>101.8</v>
      </c>
      <c r="D7" s="44">
        <f>+'Attività produttive'!D7</f>
        <v>104.3</v>
      </c>
      <c r="E7" s="44">
        <f>+'Attività produttive'!E7</f>
        <v>107</v>
      </c>
      <c r="F7" s="44">
        <f>+'Attività produttive'!F7</f>
        <v>109.6</v>
      </c>
      <c r="G7" s="44">
        <f>+'Attività produttive'!G7</f>
        <v>111.7</v>
      </c>
      <c r="H7" s="44">
        <f>+'Attività produttive'!H7</f>
        <v>113.5</v>
      </c>
      <c r="I7" s="44">
        <f>+'Attività produttive'!I7</f>
        <v>115.1</v>
      </c>
      <c r="J7" s="44">
        <f>+'Attività produttive'!J7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152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'!E138</f>
        <v>1155</v>
      </c>
      <c r="C3" s="43">
        <f>+'Cons spec netti '!F138</f>
        <v>1559</v>
      </c>
      <c r="D3" s="43">
        <f>+'Cons spec netti '!G138</f>
        <v>2720.5</v>
      </c>
      <c r="E3" s="43">
        <f>+'Cons spec netti '!H138</f>
        <v>2095</v>
      </c>
      <c r="F3" s="43">
        <f>+'Cons spec netti '!I138</f>
        <v>3629</v>
      </c>
      <c r="G3" s="43">
        <f>+'Cons spec netti '!J138</f>
        <v>2231</v>
      </c>
      <c r="H3" s="43">
        <f>+'Cons spec netti '!K138</f>
        <v>1745</v>
      </c>
      <c r="I3" s="43">
        <f>+'Cons spec netti '!L138</f>
        <v>2805</v>
      </c>
      <c r="J3" s="43">
        <f>+'Cons spec netti '!M138</f>
        <v>2584</v>
      </c>
    </row>
    <row r="4" spans="1:10" ht="15" customHeight="1">
      <c r="A4" s="51" t="s">
        <v>54</v>
      </c>
      <c r="B4" s="43">
        <f>+'Cons spec tot e finalizzati'!F138</f>
        <v>0</v>
      </c>
      <c r="C4" s="43">
        <f>+'Cons spec tot e finalizzati'!H138</f>
        <v>0</v>
      </c>
      <c r="D4" s="45">
        <f>+'Cons spec tot e finalizzati'!J138</f>
        <v>580</v>
      </c>
      <c r="E4" s="45">
        <f>+'Cons spec tot e finalizzati'!L138</f>
        <v>0</v>
      </c>
      <c r="F4" s="45">
        <f>+'Cons spec tot e finalizzati'!N138</f>
        <v>137</v>
      </c>
      <c r="G4" s="45">
        <f>+'Cons spec tot e finalizzati'!P138</f>
        <v>1285</v>
      </c>
      <c r="H4" s="45">
        <f>+'Cons spec tot e finalizzati'!R138</f>
        <v>951</v>
      </c>
      <c r="I4" s="45">
        <f>+'Cons spec tot e finalizzati'!T138</f>
        <v>40</v>
      </c>
      <c r="J4" s="45">
        <f>+'Cons spec tot e finalizzati'!V138</f>
        <v>139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134.978354978355</v>
      </c>
      <c r="D6" s="157">
        <f t="shared" si="0"/>
        <v>235.54112554112555</v>
      </c>
      <c r="E6" s="157">
        <f t="shared" si="0"/>
        <v>181.3852813852814</v>
      </c>
      <c r="F6" s="157">
        <f t="shared" si="0"/>
        <v>314.19913419913416</v>
      </c>
      <c r="G6" s="157">
        <f t="shared" si="0"/>
        <v>193.16017316017314</v>
      </c>
      <c r="H6" s="157">
        <f t="shared" si="0"/>
        <v>151.08225108225108</v>
      </c>
      <c r="I6" s="157">
        <f t="shared" si="0"/>
        <v>242.85714285714283</v>
      </c>
      <c r="J6" s="157">
        <f t="shared" si="0"/>
        <v>223.7229437229437</v>
      </c>
    </row>
    <row r="7" spans="1:10" ht="12.75">
      <c r="A7" t="s">
        <v>51</v>
      </c>
      <c r="B7" s="44">
        <f>+Territorio!B7</f>
        <v>100</v>
      </c>
      <c r="C7" s="44">
        <f>+Territorio!C7</f>
        <v>101.8</v>
      </c>
      <c r="D7" s="44">
        <f>+Territorio!D7</f>
        <v>104.3</v>
      </c>
      <c r="E7" s="44">
        <f>+Territorio!E7</f>
        <v>107</v>
      </c>
      <c r="F7" s="44">
        <f>+Territorio!F7</f>
        <v>109.6</v>
      </c>
      <c r="G7" s="44">
        <f>+Territorio!G7</f>
        <v>111.7</v>
      </c>
      <c r="H7" s="44">
        <f>+Territorio!H7</f>
        <v>113.5</v>
      </c>
      <c r="I7" s="44">
        <f>+Territorio!I7</f>
        <v>115.1</v>
      </c>
      <c r="J7" s="44">
        <f>+Territorio!J7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23" display="'Cons spec tot e finalizzati'!A12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175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'!E150</f>
        <v>568</v>
      </c>
      <c r="C3" s="43">
        <f>+'Cons spec netti '!F150</f>
        <v>553</v>
      </c>
      <c r="D3" s="43">
        <f>+'Cons spec netti '!G150</f>
        <v>963</v>
      </c>
      <c r="E3" s="43">
        <f>+'Cons spec netti '!H150</f>
        <v>974</v>
      </c>
      <c r="F3" s="43">
        <f>+'Cons spec netti '!I150</f>
        <v>64</v>
      </c>
      <c r="G3" s="43">
        <f>+'Cons spec netti '!J150</f>
        <v>34</v>
      </c>
      <c r="H3" s="43">
        <f>+'Cons spec netti '!K150</f>
        <v>168</v>
      </c>
      <c r="I3" s="43">
        <f>+'Cons spec netti '!L150</f>
        <v>99</v>
      </c>
      <c r="J3" s="43">
        <f>+'Cons spec netti '!M150</f>
        <v>85</v>
      </c>
    </row>
    <row r="4" spans="1:10" ht="15" customHeight="1">
      <c r="A4" s="51" t="s">
        <v>54</v>
      </c>
      <c r="B4" s="43">
        <f>+'Cons spec tot e finalizzati'!F150</f>
        <v>0</v>
      </c>
      <c r="C4" s="43">
        <f>+'Cons spec tot e finalizzati'!H150</f>
        <v>0</v>
      </c>
      <c r="D4" s="45">
        <f>+'Cons spec tot e finalizzati'!J150</f>
        <v>5268</v>
      </c>
      <c r="E4" s="45">
        <f>+'Cons spec tot e finalizzati'!L150</f>
        <v>4015</v>
      </c>
      <c r="F4" s="45">
        <f>+'Cons spec tot e finalizzati'!N150</f>
        <v>6210</v>
      </c>
      <c r="G4" s="45">
        <f>+'Cons spec tot e finalizzati'!P150</f>
        <v>4474</v>
      </c>
      <c r="H4" s="45">
        <f>+'Cons spec tot e finalizzati'!R150</f>
        <v>6772</v>
      </c>
      <c r="I4" s="45">
        <f>+'Cons spec tot e finalizzati'!T150</f>
        <v>6342</v>
      </c>
      <c r="J4" s="45">
        <f>+'Cons spec tot e finalizzati'!V150</f>
        <v>4523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97.35915492957746</v>
      </c>
      <c r="D6" s="157">
        <f t="shared" si="0"/>
        <v>169.54225352112675</v>
      </c>
      <c r="E6" s="157">
        <f t="shared" si="0"/>
        <v>171.47887323943664</v>
      </c>
      <c r="F6" s="157">
        <f t="shared" si="0"/>
        <v>11.267605633802818</v>
      </c>
      <c r="G6" s="157">
        <f t="shared" si="0"/>
        <v>5.985915492957746</v>
      </c>
      <c r="H6" s="157">
        <f t="shared" si="0"/>
        <v>29.577464788732392</v>
      </c>
      <c r="I6" s="157">
        <f t="shared" si="0"/>
        <v>17.429577464788732</v>
      </c>
      <c r="J6" s="157">
        <f t="shared" si="0"/>
        <v>14.964788732394366</v>
      </c>
    </row>
    <row r="7" spans="1:10" ht="12.75">
      <c r="A7" t="s">
        <v>51</v>
      </c>
      <c r="B7" s="44">
        <f>+Territorio!B7</f>
        <v>100</v>
      </c>
      <c r="C7" s="44">
        <f>+Territorio!C7</f>
        <v>101.8</v>
      </c>
      <c r="D7" s="44">
        <f>+Territorio!D7</f>
        <v>104.3</v>
      </c>
      <c r="E7" s="44">
        <f>+Territorio!E7</f>
        <v>107</v>
      </c>
      <c r="F7" s="44">
        <f>+Territorio!F7</f>
        <v>109.6</v>
      </c>
      <c r="G7" s="44">
        <f>+Territorio!G7</f>
        <v>111.7</v>
      </c>
      <c r="H7" s="44">
        <f>+Territorio!H7</f>
        <v>113.5</v>
      </c>
      <c r="I7" s="44">
        <f>+Territorio!I7</f>
        <v>115.1</v>
      </c>
      <c r="J7" s="44">
        <f>+Territorio!J7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125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'!E151</f>
        <v>5590</v>
      </c>
      <c r="C3" s="43">
        <f>+'Cons spec netti '!F151</f>
        <v>5299</v>
      </c>
      <c r="D3" s="43">
        <f>+'Cons spec netti '!G151</f>
        <v>4663</v>
      </c>
      <c r="E3" s="43">
        <f>+'Cons spec netti '!H151</f>
        <v>4467</v>
      </c>
      <c r="F3" s="43">
        <f>+'Cons spec netti '!I151</f>
        <v>5963</v>
      </c>
      <c r="G3" s="43">
        <f>+'Cons spec netti '!J151</f>
        <v>5183</v>
      </c>
      <c r="H3" s="43">
        <f>+'Cons spec netti '!K151</f>
        <v>5466</v>
      </c>
      <c r="I3" s="43">
        <f>+'Cons spec netti '!L151</f>
        <v>6132</v>
      </c>
      <c r="J3" s="43">
        <f>+'Cons spec netti '!M151</f>
        <v>5868</v>
      </c>
    </row>
    <row r="4" spans="1:10" ht="15" customHeight="1">
      <c r="A4" s="51" t="s">
        <v>54</v>
      </c>
      <c r="B4" s="43">
        <f>+'Cons spec tot e finalizzati'!F151</f>
        <v>296</v>
      </c>
      <c r="C4" s="43">
        <f>+'Cons spec tot e finalizzati'!H151</f>
        <v>444</v>
      </c>
      <c r="D4" s="45">
        <f>+'Cons spec tot e finalizzati'!J151</f>
        <v>1912</v>
      </c>
      <c r="E4" s="45">
        <f>+'Cons spec tot e finalizzati'!L151</f>
        <v>301</v>
      </c>
      <c r="F4" s="45">
        <f>+'Cons spec tot e finalizzati'!N151</f>
        <v>151</v>
      </c>
      <c r="G4" s="45">
        <f>+'Cons spec tot e finalizzati'!P151</f>
        <v>480</v>
      </c>
      <c r="H4" s="45">
        <f>+'Cons spec tot e finalizzati'!R151</f>
        <v>308</v>
      </c>
      <c r="I4" s="45">
        <f>+'Cons spec tot e finalizzati'!T151</f>
        <v>632</v>
      </c>
      <c r="J4" s="45">
        <f>+'Cons spec tot e finalizzati'!V151</f>
        <v>698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94.7942754919499</v>
      </c>
      <c r="D6" s="157">
        <f t="shared" si="0"/>
        <v>83.41681574239713</v>
      </c>
      <c r="E6" s="157">
        <f t="shared" si="0"/>
        <v>79.91055456171735</v>
      </c>
      <c r="F6" s="157">
        <f t="shared" si="0"/>
        <v>106.67262969588552</v>
      </c>
      <c r="G6" s="157">
        <f t="shared" si="0"/>
        <v>92.71914132379248</v>
      </c>
      <c r="H6" s="157">
        <f t="shared" si="0"/>
        <v>97.78175313059035</v>
      </c>
      <c r="I6" s="157">
        <f t="shared" si="0"/>
        <v>109.695885509839</v>
      </c>
      <c r="J6" s="157">
        <f t="shared" si="0"/>
        <v>104.97316636851521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126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'!E154</f>
        <v>215</v>
      </c>
      <c r="C3" s="43">
        <f>+'Cons spec netti '!F154</f>
        <v>275</v>
      </c>
      <c r="D3" s="43">
        <f>+'Cons spec netti '!G154</f>
        <v>285</v>
      </c>
      <c r="E3" s="43">
        <f>+'Cons spec netti '!H154</f>
        <v>198</v>
      </c>
      <c r="F3" s="43">
        <f>+'Cons spec netti '!I154</f>
        <v>457</v>
      </c>
      <c r="G3" s="43">
        <f>+'Cons spec netti '!J154</f>
        <v>518</v>
      </c>
      <c r="H3" s="43">
        <f>+'Cons spec netti '!K154</f>
        <v>447</v>
      </c>
      <c r="I3" s="43">
        <f>+'Cons spec netti '!L154</f>
        <v>328</v>
      </c>
      <c r="J3" s="43">
        <f>+'Cons spec netti '!M154</f>
        <v>183</v>
      </c>
    </row>
    <row r="4" spans="1:10" ht="15" customHeight="1">
      <c r="A4" s="51" t="s">
        <v>54</v>
      </c>
      <c r="B4" s="43">
        <f>+'Cons spec tot e finalizzati'!F154</f>
        <v>0</v>
      </c>
      <c r="C4" s="43">
        <f>+'Cons spec tot e finalizzati'!H154</f>
        <v>0</v>
      </c>
      <c r="D4" s="45">
        <f>+'Cons spec tot e finalizzati'!J154</f>
        <v>0</v>
      </c>
      <c r="E4" s="45">
        <f>+'Cons spec tot e finalizzati'!L154</f>
        <v>0</v>
      </c>
      <c r="F4" s="45">
        <f>+'Cons spec tot e finalizzati'!N154</f>
        <v>0</v>
      </c>
      <c r="G4" s="45">
        <f>+'Cons spec tot e finalizzati'!P154</f>
        <v>0</v>
      </c>
      <c r="H4" s="45">
        <f>+'Cons spec tot e finalizzati'!R154</f>
        <v>0</v>
      </c>
      <c r="I4" s="45">
        <f>+'Cons spec tot e finalizzati'!T154</f>
        <v>0</v>
      </c>
      <c r="J4" s="45">
        <f>+'Cons spec tot e finalizzati'!V154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127.90697674418605</v>
      </c>
      <c r="D6" s="157">
        <f t="shared" si="0"/>
        <v>132.5581395348837</v>
      </c>
      <c r="E6" s="157">
        <f t="shared" si="0"/>
        <v>92.09302325581396</v>
      </c>
      <c r="F6" s="157">
        <f t="shared" si="0"/>
        <v>212.5581395348837</v>
      </c>
      <c r="G6" s="157">
        <f t="shared" si="0"/>
        <v>240.93023255813955</v>
      </c>
      <c r="H6" s="157">
        <f t="shared" si="0"/>
        <v>207.90697674418604</v>
      </c>
      <c r="I6" s="157">
        <f t="shared" si="0"/>
        <v>152.55813953488374</v>
      </c>
      <c r="J6" s="157">
        <f t="shared" si="0"/>
        <v>85.11627906976744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68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'!E159</f>
        <v>23377</v>
      </c>
      <c r="C3" s="43">
        <f>+'Cons spec netti '!F159</f>
        <v>25259</v>
      </c>
      <c r="D3" s="43">
        <f>+'Cons spec netti '!G159</f>
        <v>26872.5</v>
      </c>
      <c r="E3" s="43">
        <f>+'Cons spec netti '!H159</f>
        <v>28607.891094733688</v>
      </c>
      <c r="F3" s="43">
        <f>+'Cons spec netti '!I159</f>
        <v>30082</v>
      </c>
      <c r="G3" s="43">
        <f>+'Cons spec netti '!J159</f>
        <v>31730</v>
      </c>
      <c r="H3" s="43">
        <f>+'Cons spec netti '!K159</f>
        <v>31966</v>
      </c>
      <c r="I3" s="43">
        <f>+'Cons spec netti '!L159</f>
        <v>33222</v>
      </c>
      <c r="J3" s="43">
        <f>+'Cons spec netti '!M159</f>
        <v>33055</v>
      </c>
    </row>
    <row r="4" spans="1:10" ht="15" customHeight="1">
      <c r="A4" s="51" t="s">
        <v>54</v>
      </c>
      <c r="B4" s="43">
        <f>+'Cons spec tot e finalizzati'!F159</f>
        <v>0</v>
      </c>
      <c r="C4" s="43">
        <f>+'Cons spec tot e finalizzati'!H159</f>
        <v>21</v>
      </c>
      <c r="D4" s="45">
        <f>+'Cons spec tot e finalizzati'!J159</f>
        <v>605</v>
      </c>
      <c r="E4" s="45">
        <f>+'Cons spec tot e finalizzati'!L159</f>
        <v>19.108905266311</v>
      </c>
      <c r="F4" s="45">
        <f>+'Cons spec tot e finalizzati'!N159</f>
        <v>31</v>
      </c>
      <c r="G4" s="45">
        <f>+'Cons spec tot e finalizzati'!P159</f>
        <v>18</v>
      </c>
      <c r="H4" s="45">
        <f>+'Cons spec tot e finalizzati'!R159</f>
        <v>22</v>
      </c>
      <c r="I4" s="45">
        <f>+'Cons spec tot e finalizzati'!T159</f>
        <v>98</v>
      </c>
      <c r="J4" s="45">
        <f>+'Cons spec tot e finalizzati'!V159</f>
        <v>285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108.05064807289216</v>
      </c>
      <c r="D6" s="157">
        <f t="shared" si="0"/>
        <v>114.95273131710655</v>
      </c>
      <c r="E6" s="157">
        <f t="shared" si="0"/>
        <v>122.37622917711293</v>
      </c>
      <c r="F6" s="157">
        <f t="shared" si="0"/>
        <v>128.6820379005005</v>
      </c>
      <c r="G6" s="157">
        <f t="shared" si="0"/>
        <v>135.73170210035505</v>
      </c>
      <c r="H6" s="157">
        <f t="shared" si="0"/>
        <v>136.74124139111092</v>
      </c>
      <c r="I6" s="157">
        <f t="shared" si="0"/>
        <v>142.11404371818455</v>
      </c>
      <c r="J6" s="157">
        <f t="shared" si="0"/>
        <v>141.39966633870898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34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'!E160</f>
        <v>1477</v>
      </c>
      <c r="C3" s="43">
        <f>+'Cons spec netti '!F160</f>
        <v>1496</v>
      </c>
      <c r="D3" s="43">
        <f>+'Cons spec netti '!G160</f>
        <v>1577</v>
      </c>
      <c r="E3" s="43">
        <f>+'Cons spec netti '!H160</f>
        <v>1657</v>
      </c>
      <c r="F3" s="43">
        <f>+'Cons spec netti '!I160</f>
        <v>1762</v>
      </c>
      <c r="G3" s="43">
        <f>+'Cons spec netti '!J160</f>
        <v>1864</v>
      </c>
      <c r="H3" s="43">
        <f>+'Cons spec netti '!K160</f>
        <v>1893</v>
      </c>
      <c r="I3" s="43">
        <f>+'Cons spec netti '!L160</f>
        <v>2163</v>
      </c>
      <c r="J3" s="43">
        <f>+'Cons spec netti '!M160</f>
        <v>2154</v>
      </c>
    </row>
    <row r="4" spans="1:10" ht="15" customHeight="1">
      <c r="A4" s="51" t="s">
        <v>54</v>
      </c>
      <c r="B4" s="43">
        <f>+'Cons spec tot e finalizzati'!F160</f>
        <v>0</v>
      </c>
      <c r="C4" s="43">
        <f>+'Cons spec tot e finalizzati'!H160</f>
        <v>0</v>
      </c>
      <c r="D4" s="45">
        <f>+'Cons spec tot e finalizzati'!J160</f>
        <v>0</v>
      </c>
      <c r="E4" s="45">
        <f>+'Cons spec tot e finalizzati'!L160</f>
        <v>0</v>
      </c>
      <c r="F4" s="45">
        <f>+'Cons spec tot e finalizzati'!N160</f>
        <v>0</v>
      </c>
      <c r="G4" s="45">
        <f>+'Cons spec tot e finalizzati'!P160</f>
        <v>0</v>
      </c>
      <c r="H4" s="45">
        <f>+'Cons spec tot e finalizzati'!R160</f>
        <v>0</v>
      </c>
      <c r="I4" s="45">
        <f>+'Cons spec tot e finalizzati'!T160</f>
        <v>0</v>
      </c>
      <c r="J4" s="45">
        <f>+'Cons spec tot e finalizzati'!V160</f>
        <v>30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101.28639133378469</v>
      </c>
      <c r="D6" s="157">
        <f t="shared" si="0"/>
        <v>106.77048070413</v>
      </c>
      <c r="E6" s="157">
        <f t="shared" si="0"/>
        <v>112.18686526743397</v>
      </c>
      <c r="F6" s="157">
        <f t="shared" si="0"/>
        <v>119.29587000677049</v>
      </c>
      <c r="G6" s="157">
        <f t="shared" si="0"/>
        <v>126.20176032498307</v>
      </c>
      <c r="H6" s="157">
        <f t="shared" si="0"/>
        <v>128.16519972918076</v>
      </c>
      <c r="I6" s="157">
        <f t="shared" si="0"/>
        <v>146.44549763033174</v>
      </c>
      <c r="J6" s="157">
        <f t="shared" si="0"/>
        <v>145.83615436696005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39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'!E167</f>
        <v>3704</v>
      </c>
      <c r="C3" s="43">
        <f>+'Cons spec netti '!F167</f>
        <v>4133</v>
      </c>
      <c r="D3" s="43">
        <f>+'Cons spec netti '!G167</f>
        <v>4395</v>
      </c>
      <c r="E3" s="43">
        <f>+'Cons spec netti '!H167</f>
        <v>4774.384801706374</v>
      </c>
      <c r="F3" s="43">
        <f>+'Cons spec netti '!I167</f>
        <v>5164</v>
      </c>
      <c r="G3" s="43">
        <f>+'Cons spec netti '!J167</f>
        <v>5396</v>
      </c>
      <c r="H3" s="43">
        <f>+'Cons spec netti '!K167</f>
        <v>5352</v>
      </c>
      <c r="I3" s="43">
        <f>+'Cons spec netti '!L167</f>
        <v>5560</v>
      </c>
      <c r="J3" s="43">
        <f>+'Cons spec netti '!M167</f>
        <v>5514</v>
      </c>
    </row>
    <row r="4" spans="1:10" ht="15" customHeight="1">
      <c r="A4" s="51" t="s">
        <v>54</v>
      </c>
      <c r="B4" s="43">
        <f>+'Cons spec tot e finalizzati'!F167</f>
        <v>0</v>
      </c>
      <c r="C4" s="43">
        <f>+'Cons spec tot e finalizzati'!H167</f>
        <v>0</v>
      </c>
      <c r="D4" s="45">
        <f>+'Cons spec tot e finalizzati'!J167</f>
        <v>53</v>
      </c>
      <c r="E4" s="45">
        <f>+'Cons spec tot e finalizzati'!L167</f>
        <v>3.6151982936264053</v>
      </c>
      <c r="F4" s="45">
        <f>+'Cons spec tot e finalizzati'!N167</f>
        <v>0</v>
      </c>
      <c r="G4" s="45">
        <f>+'Cons spec tot e finalizzati'!P167</f>
        <v>4</v>
      </c>
      <c r="H4" s="45">
        <f>+'Cons spec tot e finalizzati'!R167</f>
        <v>2</v>
      </c>
      <c r="I4" s="45">
        <f>+'Cons spec tot e finalizzati'!T167</f>
        <v>4</v>
      </c>
      <c r="J4" s="45">
        <f>+'Cons spec tot e finalizzati'!V167</f>
        <v>100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111.58207343412528</v>
      </c>
      <c r="D6" s="157">
        <f t="shared" si="0"/>
        <v>118.65550755939525</v>
      </c>
      <c r="E6" s="157">
        <f t="shared" si="0"/>
        <v>128.8980777998481</v>
      </c>
      <c r="F6" s="157">
        <f t="shared" si="0"/>
        <v>139.41684665226782</v>
      </c>
      <c r="G6" s="157">
        <f t="shared" si="0"/>
        <v>145.6803455723542</v>
      </c>
      <c r="H6" s="157">
        <f t="shared" si="0"/>
        <v>144.4924406047516</v>
      </c>
      <c r="I6" s="157">
        <f t="shared" si="0"/>
        <v>150.10799136069116</v>
      </c>
      <c r="J6" s="157">
        <f t="shared" si="0"/>
        <v>148.86609071274296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40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'!E174</f>
        <v>2417</v>
      </c>
      <c r="C3" s="43">
        <f>+'Cons spec netti '!F174</f>
        <v>2523</v>
      </c>
      <c r="D3" s="43">
        <f>+'Cons spec netti '!G174</f>
        <v>2656</v>
      </c>
      <c r="E3" s="43">
        <f>+'Cons spec netti '!H174</f>
        <v>2762</v>
      </c>
      <c r="F3" s="43">
        <f>+'Cons spec netti '!I174</f>
        <v>2844</v>
      </c>
      <c r="G3" s="43">
        <f>+'Cons spec netti '!J174</f>
        <v>2847</v>
      </c>
      <c r="H3" s="43">
        <f>+'Cons spec netti '!K174</f>
        <v>2921</v>
      </c>
      <c r="I3" s="43">
        <f>+'Cons spec netti '!L174</f>
        <v>2943</v>
      </c>
      <c r="J3" s="43">
        <f>+'Cons spec netti '!M174</f>
        <v>2973</v>
      </c>
    </row>
    <row r="4" spans="1:10" ht="15" customHeight="1">
      <c r="A4" s="51" t="s">
        <v>54</v>
      </c>
      <c r="B4" s="43">
        <f>+'Cons spec tot e finalizzati'!F174</f>
        <v>0</v>
      </c>
      <c r="C4" s="43">
        <f>+'Cons spec tot e finalizzati'!H174</f>
        <v>0</v>
      </c>
      <c r="D4" s="45">
        <f>+'Cons spec tot e finalizzati'!J174</f>
        <v>0</v>
      </c>
      <c r="E4" s="45">
        <f>+'Cons spec tot e finalizzati'!L174</f>
        <v>0</v>
      </c>
      <c r="F4" s="45">
        <f>+'Cons spec tot e finalizzati'!N174</f>
        <v>0</v>
      </c>
      <c r="G4" s="45">
        <f>+'Cons spec tot e finalizzati'!P174</f>
        <v>0</v>
      </c>
      <c r="H4" s="45">
        <f>+'Cons spec tot e finalizzati'!R174</f>
        <v>0</v>
      </c>
      <c r="I4" s="45">
        <f>+'Cons spec tot e finalizzati'!T174</f>
        <v>0</v>
      </c>
      <c r="J4" s="45">
        <f>+'Cons spec tot e finalizzati'!V174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104.38560198593298</v>
      </c>
      <c r="D6" s="157">
        <f t="shared" si="0"/>
        <v>109.88829127016963</v>
      </c>
      <c r="E6" s="157">
        <f t="shared" si="0"/>
        <v>114.2738932561026</v>
      </c>
      <c r="F6" s="157">
        <f t="shared" si="0"/>
        <v>117.66652875465454</v>
      </c>
      <c r="G6" s="157">
        <f t="shared" si="0"/>
        <v>117.79064956557717</v>
      </c>
      <c r="H6" s="157">
        <f t="shared" si="0"/>
        <v>120.85229623500207</v>
      </c>
      <c r="I6" s="157">
        <f t="shared" si="0"/>
        <v>121.76251551510136</v>
      </c>
      <c r="J6" s="157">
        <f t="shared" si="0"/>
        <v>123.00372362432768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41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'!E181</f>
        <v>1937</v>
      </c>
      <c r="C3" s="43">
        <f>+'Cons spec netti '!F181</f>
        <v>2061</v>
      </c>
      <c r="D3" s="43">
        <f>+'Cons spec netti '!G181</f>
        <v>2175</v>
      </c>
      <c r="E3" s="43">
        <f>+'Cons spec netti '!H181</f>
        <v>2364</v>
      </c>
      <c r="F3" s="43">
        <f>+'Cons spec netti '!I181</f>
        <v>2542</v>
      </c>
      <c r="G3" s="43">
        <f>+'Cons spec netti '!J181</f>
        <v>2821</v>
      </c>
      <c r="H3" s="43">
        <f>+'Cons spec netti '!K181</f>
        <v>2964</v>
      </c>
      <c r="I3" s="43">
        <f>+'Cons spec netti '!L181</f>
        <v>3120</v>
      </c>
      <c r="J3" s="43">
        <f>+'Cons spec netti '!M181</f>
        <v>3147</v>
      </c>
    </row>
    <row r="4" spans="1:10" ht="15" customHeight="1">
      <c r="A4" s="51" t="s">
        <v>54</v>
      </c>
      <c r="B4" s="43">
        <f>+'Cons spec tot e finalizzati'!F181</f>
        <v>0</v>
      </c>
      <c r="C4" s="43">
        <f>+'Cons spec tot e finalizzati'!H181</f>
        <v>0</v>
      </c>
      <c r="D4" s="45">
        <f>+'Cons spec tot e finalizzati'!J181</f>
        <v>15</v>
      </c>
      <c r="E4" s="45">
        <f>+'Cons spec tot e finalizzati'!L181</f>
        <v>0</v>
      </c>
      <c r="F4" s="45">
        <f>+'Cons spec tot e finalizzati'!N181</f>
        <v>26</v>
      </c>
      <c r="G4" s="45">
        <f>+'Cons spec tot e finalizzati'!P181</f>
        <v>10</v>
      </c>
      <c r="H4" s="45">
        <f>+'Cons spec tot e finalizzati'!R181</f>
        <v>0</v>
      </c>
      <c r="I4" s="45">
        <f>+'Cons spec tot e finalizzati'!T181</f>
        <v>90</v>
      </c>
      <c r="J4" s="45">
        <f>+'Cons spec tot e finalizzati'!V181</f>
        <v>80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106.40165203923593</v>
      </c>
      <c r="D6" s="157">
        <f t="shared" si="0"/>
        <v>112.28704181724316</v>
      </c>
      <c r="E6" s="157">
        <f t="shared" si="0"/>
        <v>122.04439855446567</v>
      </c>
      <c r="F6" s="157">
        <f t="shared" si="0"/>
        <v>131.2338668043366</v>
      </c>
      <c r="G6" s="157">
        <f t="shared" si="0"/>
        <v>145.63758389261744</v>
      </c>
      <c r="H6" s="157">
        <f t="shared" si="0"/>
        <v>153.0201342281879</v>
      </c>
      <c r="I6" s="157">
        <f t="shared" si="0"/>
        <v>161.0738255033557</v>
      </c>
      <c r="J6" s="157">
        <f t="shared" si="0"/>
        <v>162.46773360867323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177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'!E12</f>
        <v>1942</v>
      </c>
      <c r="C3" s="43">
        <f>+'Cons spec netti '!F12</f>
        <v>2308</v>
      </c>
      <c r="D3" s="43">
        <f>+'Cons spec netti '!G12</f>
        <v>2278</v>
      </c>
      <c r="E3" s="43">
        <f>+'Cons spec netti '!H12</f>
        <v>3690</v>
      </c>
      <c r="F3" s="43">
        <f>+'Cons spec netti '!I12</f>
        <v>3790</v>
      </c>
      <c r="G3" s="43">
        <f>+'Cons spec netti '!J12</f>
        <v>3849</v>
      </c>
      <c r="H3" s="43">
        <f>+'Cons spec netti '!K12</f>
        <v>3669</v>
      </c>
      <c r="I3" s="43">
        <f>+'Cons spec netti '!L12</f>
        <v>3251</v>
      </c>
      <c r="J3" s="43">
        <f>+'Cons spec netti '!M12</f>
        <v>1931</v>
      </c>
    </row>
    <row r="4" spans="1:10" ht="15" customHeight="1">
      <c r="A4" s="51" t="s">
        <v>54</v>
      </c>
      <c r="B4" s="43">
        <f>+'Cons spec tot e finalizzati'!F12</f>
        <v>849</v>
      </c>
      <c r="C4" s="32">
        <f>+'Cons spec tot e finalizzati'!H12</f>
        <v>1708</v>
      </c>
      <c r="D4" s="45">
        <f>+'Cons spec tot e finalizzati'!J12</f>
        <v>2047</v>
      </c>
      <c r="E4" s="45">
        <f>+'Cons spec tot e finalizzati'!L12</f>
        <v>1561</v>
      </c>
      <c r="F4" s="45">
        <f>+'Cons spec tot e finalizzati'!N12</f>
        <v>1581</v>
      </c>
      <c r="G4" s="45">
        <f>+'Cons spec tot e finalizzati'!P12</f>
        <v>1488</v>
      </c>
      <c r="H4" s="45">
        <f>+'Cons spec tot e finalizzati'!R12</f>
        <v>1976</v>
      </c>
      <c r="I4" s="45">
        <f>+'Cons spec tot e finalizzati'!T12</f>
        <v>4012</v>
      </c>
      <c r="J4" s="45">
        <f>+'Cons spec tot e finalizzati'!V12</f>
        <v>509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>+C3/$B$3*100</f>
        <v>118.84654994850669</v>
      </c>
      <c r="D6" s="157">
        <f>+D3/$B$3*100</f>
        <v>117.3017507723996</v>
      </c>
      <c r="E6" s="157">
        <f aca="true" t="shared" si="0" ref="E6:J6">+E3/$B$3*100</f>
        <v>190.01029866117406</v>
      </c>
      <c r="F6" s="157">
        <f t="shared" si="0"/>
        <v>195.15962924819775</v>
      </c>
      <c r="G6" s="157">
        <f t="shared" si="0"/>
        <v>198.1977342945417</v>
      </c>
      <c r="H6" s="157">
        <f t="shared" si="0"/>
        <v>188.92893923789907</v>
      </c>
      <c r="I6" s="157">
        <f t="shared" si="0"/>
        <v>167.40473738414005</v>
      </c>
      <c r="J6" s="157">
        <f t="shared" si="0"/>
        <v>99.4335736354274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183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'!E188</f>
        <v>1924</v>
      </c>
      <c r="C3" s="43">
        <f>+'Cons spec netti '!F188</f>
        <v>2143</v>
      </c>
      <c r="D3" s="43">
        <f>+'Cons spec netti '!G188</f>
        <v>2288</v>
      </c>
      <c r="E3" s="43">
        <f>+'Cons spec netti '!H188</f>
        <v>2609</v>
      </c>
      <c r="F3" s="43">
        <f>+'Cons spec netti '!I188</f>
        <v>2694</v>
      </c>
      <c r="G3" s="43">
        <f>+'Cons spec netti '!J188</f>
        <v>2995</v>
      </c>
      <c r="H3" s="43">
        <f>+'Cons spec netti '!K188</f>
        <v>2996</v>
      </c>
      <c r="I3" s="43">
        <f>+'Cons spec netti '!L188</f>
        <v>3188</v>
      </c>
      <c r="J3" s="43">
        <f>+'Cons spec netti '!M188</f>
        <v>3168</v>
      </c>
    </row>
    <row r="4" spans="1:10" ht="15" customHeight="1">
      <c r="A4" s="51" t="s">
        <v>54</v>
      </c>
      <c r="B4" s="43">
        <f>+'Cons spec tot e finalizzati'!F188</f>
        <v>0</v>
      </c>
      <c r="C4" s="43">
        <f>+'Cons spec tot e finalizzati'!H188</f>
        <v>21</v>
      </c>
      <c r="D4" s="45">
        <f>+'Cons spec tot e finalizzati'!J188</f>
        <v>480</v>
      </c>
      <c r="E4" s="45">
        <f>+'Cons spec tot e finalizzati'!L188</f>
        <v>0</v>
      </c>
      <c r="F4" s="45">
        <f>+'Cons spec tot e finalizzati'!N188</f>
        <v>0</v>
      </c>
      <c r="G4" s="45">
        <f>+'Cons spec tot e finalizzati'!P188</f>
        <v>4</v>
      </c>
      <c r="H4" s="45">
        <f>+'Cons spec tot e finalizzati'!R188</f>
        <v>5</v>
      </c>
      <c r="I4" s="45">
        <f>+'Cons spec tot e finalizzati'!T188</f>
        <v>2</v>
      </c>
      <c r="J4" s="45">
        <f>+'Cons spec tot e finalizzati'!V188</f>
        <v>4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111.38253638253639</v>
      </c>
      <c r="D6" s="157">
        <f t="shared" si="0"/>
        <v>118.91891891891892</v>
      </c>
      <c r="E6" s="157">
        <f t="shared" si="0"/>
        <v>135.6029106029106</v>
      </c>
      <c r="F6" s="157">
        <f t="shared" si="0"/>
        <v>140.02079002079003</v>
      </c>
      <c r="G6" s="157">
        <f t="shared" si="0"/>
        <v>155.66528066528068</v>
      </c>
      <c r="H6" s="157">
        <f t="shared" si="0"/>
        <v>155.7172557172557</v>
      </c>
      <c r="I6" s="157">
        <f t="shared" si="0"/>
        <v>165.6964656964657</v>
      </c>
      <c r="J6" s="157">
        <f t="shared" si="0"/>
        <v>164.65696465696467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184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'!E195</f>
        <v>2819</v>
      </c>
      <c r="C3" s="43">
        <f>+'Cons spec netti '!F195</f>
        <v>3149</v>
      </c>
      <c r="D3" s="43">
        <f>+'Cons spec netti '!G195</f>
        <v>3287</v>
      </c>
      <c r="E3" s="43">
        <f>+'Cons spec netti '!H195</f>
        <v>3312</v>
      </c>
      <c r="F3" s="43">
        <f>+'Cons spec netti '!I195</f>
        <v>3424</v>
      </c>
      <c r="G3" s="43">
        <f>+'Cons spec netti '!J195</f>
        <v>3530</v>
      </c>
      <c r="H3" s="43">
        <f>+'Cons spec netti '!K195</f>
        <v>3386</v>
      </c>
      <c r="I3" s="43">
        <f>+'Cons spec netti '!L195</f>
        <v>3492</v>
      </c>
      <c r="J3" s="43">
        <f>+'Cons spec netti '!M195</f>
        <v>3382</v>
      </c>
    </row>
    <row r="4" spans="1:10" ht="15" customHeight="1">
      <c r="A4" s="51" t="s">
        <v>54</v>
      </c>
      <c r="B4" s="43">
        <f>+'Cons spec tot e finalizzati'!F195</f>
        <v>0</v>
      </c>
      <c r="C4" s="43">
        <f>+'Cons spec tot e finalizzati'!H195</f>
        <v>0</v>
      </c>
      <c r="D4" s="45">
        <f>+'Cons spec tot e finalizzati'!J195</f>
        <v>0</v>
      </c>
      <c r="E4" s="45">
        <f>+'Cons spec tot e finalizzati'!L195</f>
        <v>0</v>
      </c>
      <c r="F4" s="45">
        <f>+'Cons spec tot e finalizzati'!N195</f>
        <v>0</v>
      </c>
      <c r="G4" s="45">
        <f>+'Cons spec tot e finalizzati'!P195</f>
        <v>0</v>
      </c>
      <c r="H4" s="45">
        <f>+'Cons spec tot e finalizzati'!R195</f>
        <v>0</v>
      </c>
      <c r="I4" s="45">
        <f>+'Cons spec tot e finalizzati'!T195</f>
        <v>0</v>
      </c>
      <c r="J4" s="45">
        <f>+'Cons spec tot e finalizzati'!V195</f>
        <v>12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111.7062788222774</v>
      </c>
      <c r="D6" s="157">
        <f t="shared" si="0"/>
        <v>116.60163178432069</v>
      </c>
      <c r="E6" s="157">
        <f t="shared" si="0"/>
        <v>117.48847108903865</v>
      </c>
      <c r="F6" s="157">
        <f t="shared" si="0"/>
        <v>121.46151117417523</v>
      </c>
      <c r="G6" s="157">
        <f t="shared" si="0"/>
        <v>125.2217098261795</v>
      </c>
      <c r="H6" s="157">
        <f t="shared" si="0"/>
        <v>120.1135154310039</v>
      </c>
      <c r="I6" s="157">
        <f t="shared" si="0"/>
        <v>123.87371408300815</v>
      </c>
      <c r="J6" s="157">
        <f t="shared" si="0"/>
        <v>119.97162114224902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185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'!E202</f>
        <v>2725</v>
      </c>
      <c r="C3" s="43">
        <f>+'Cons spec netti '!F202</f>
        <v>2991</v>
      </c>
      <c r="D3" s="43">
        <f>+'Cons spec netti '!G202</f>
        <v>3170</v>
      </c>
      <c r="E3" s="43">
        <f>+'Cons spec netti '!H202</f>
        <v>3484</v>
      </c>
      <c r="F3" s="43">
        <f>+'Cons spec netti '!I202</f>
        <v>3564</v>
      </c>
      <c r="G3" s="43">
        <f>+'Cons spec netti '!J202</f>
        <v>3958</v>
      </c>
      <c r="H3" s="43">
        <f>+'Cons spec netti '!K202</f>
        <v>4002</v>
      </c>
      <c r="I3" s="43">
        <f>+'Cons spec netti '!L202</f>
        <v>4279</v>
      </c>
      <c r="J3" s="43">
        <f>+'Cons spec netti '!M202</f>
        <v>4198</v>
      </c>
    </row>
    <row r="4" spans="1:10" ht="15" customHeight="1">
      <c r="A4" s="51" t="s">
        <v>54</v>
      </c>
      <c r="B4" s="43">
        <f>+'Cons spec tot e finalizzati'!F202</f>
        <v>0</v>
      </c>
      <c r="C4" s="43">
        <f>+'Cons spec tot e finalizzati'!H202</f>
        <v>0</v>
      </c>
      <c r="D4" s="45">
        <f>+'Cons spec tot e finalizzati'!J202</f>
        <v>42</v>
      </c>
      <c r="E4" s="45">
        <f>+'Cons spec tot e finalizzati'!L202</f>
        <v>0</v>
      </c>
      <c r="F4" s="45">
        <f>+'Cons spec tot e finalizzati'!N202</f>
        <v>0</v>
      </c>
      <c r="G4" s="45">
        <f>+'Cons spec tot e finalizzati'!P202</f>
        <v>0</v>
      </c>
      <c r="H4" s="45">
        <f>+'Cons spec tot e finalizzati'!R202</f>
        <v>0</v>
      </c>
      <c r="I4" s="45">
        <f>+'Cons spec tot e finalizzati'!T202</f>
        <v>2</v>
      </c>
      <c r="J4" s="45">
        <f>+'Cons spec tot e finalizzati'!V202</f>
        <v>35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109.76146788990826</v>
      </c>
      <c r="D6" s="157">
        <f t="shared" si="0"/>
        <v>116.3302752293578</v>
      </c>
      <c r="E6" s="157">
        <f t="shared" si="0"/>
        <v>127.8532110091743</v>
      </c>
      <c r="F6" s="157">
        <f t="shared" si="0"/>
        <v>130.78899082568807</v>
      </c>
      <c r="G6" s="157">
        <f t="shared" si="0"/>
        <v>145.24770642201835</v>
      </c>
      <c r="H6" s="157">
        <f t="shared" si="0"/>
        <v>146.86238532110093</v>
      </c>
      <c r="I6" s="157">
        <f t="shared" si="0"/>
        <v>157.0275229357798</v>
      </c>
      <c r="J6" s="157">
        <f t="shared" si="0"/>
        <v>154.05504587155963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45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'!E209</f>
        <v>3059</v>
      </c>
      <c r="C3" s="43">
        <f>+'Cons spec netti '!F209</f>
        <v>3122</v>
      </c>
      <c r="D3" s="43">
        <f>+'Cons spec netti '!G209</f>
        <v>3371.5</v>
      </c>
      <c r="E3" s="43">
        <f>+'Cons spec netti '!H209</f>
        <v>3499</v>
      </c>
      <c r="F3" s="43">
        <f>+'Cons spec netti '!I209</f>
        <v>3534</v>
      </c>
      <c r="G3" s="43">
        <f>+'Cons spec netti '!J209</f>
        <v>3814</v>
      </c>
      <c r="H3" s="43">
        <f>+'Cons spec netti '!K209</f>
        <v>3838</v>
      </c>
      <c r="I3" s="43">
        <f>+'Cons spec netti '!L209</f>
        <v>3823</v>
      </c>
      <c r="J3" s="43">
        <f>+'Cons spec netti '!M209</f>
        <v>3908</v>
      </c>
    </row>
    <row r="4" spans="1:10" ht="15" customHeight="1">
      <c r="A4" s="51" t="s">
        <v>54</v>
      </c>
      <c r="B4" s="43">
        <f>+'Cons spec tot e finalizzati'!F209</f>
        <v>0</v>
      </c>
      <c r="C4" s="43">
        <f>+'Cons spec tot e finalizzati'!H209</f>
        <v>0</v>
      </c>
      <c r="D4" s="45">
        <f>+'Cons spec tot e finalizzati'!J209</f>
        <v>0</v>
      </c>
      <c r="E4" s="45">
        <f>+'Cons spec tot e finalizzati'!L209</f>
        <v>0</v>
      </c>
      <c r="F4" s="45">
        <f>+'Cons spec tot e finalizzati'!N209</f>
        <v>0</v>
      </c>
      <c r="G4" s="45">
        <f>+'Cons spec tot e finalizzati'!P209</f>
        <v>0</v>
      </c>
      <c r="H4" s="45">
        <f>+'Cons spec tot e finalizzati'!R209</f>
        <v>0</v>
      </c>
      <c r="I4" s="45">
        <f>+'Cons spec tot e finalizzati'!T209</f>
        <v>0</v>
      </c>
      <c r="J4" s="45">
        <f>+'Cons spec tot e finalizzati'!V209</f>
        <v>18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102.05949656750573</v>
      </c>
      <c r="D6" s="157">
        <f t="shared" si="0"/>
        <v>110.21575678326249</v>
      </c>
      <c r="E6" s="157">
        <f t="shared" si="0"/>
        <v>114.38378555083362</v>
      </c>
      <c r="F6" s="157">
        <f t="shared" si="0"/>
        <v>115.527950310559</v>
      </c>
      <c r="G6" s="157">
        <f t="shared" si="0"/>
        <v>124.68126838836223</v>
      </c>
      <c r="H6" s="157">
        <f t="shared" si="0"/>
        <v>125.46583850931677</v>
      </c>
      <c r="I6" s="157">
        <f t="shared" si="0"/>
        <v>124.97548218372016</v>
      </c>
      <c r="J6" s="157">
        <f t="shared" si="0"/>
        <v>127.75416802876758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46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'!E216</f>
        <v>3315</v>
      </c>
      <c r="C3" s="43">
        <f>+'Cons spec netti '!F216</f>
        <v>3641</v>
      </c>
      <c r="D3" s="43">
        <f>+'Cons spec netti '!G216</f>
        <v>3953</v>
      </c>
      <c r="E3" s="43">
        <f>+'Cons spec netti '!H216</f>
        <v>4146.506293027315</v>
      </c>
      <c r="F3" s="43">
        <f>+'Cons spec netti '!I216</f>
        <v>4554</v>
      </c>
      <c r="G3" s="43">
        <f>+'Cons spec netti '!J216</f>
        <v>4505</v>
      </c>
      <c r="H3" s="43">
        <f>+'Cons spec netti '!K216</f>
        <v>4614</v>
      </c>
      <c r="I3" s="43">
        <f>+'Cons spec netti '!L216</f>
        <v>4654</v>
      </c>
      <c r="J3" s="43">
        <f>+'Cons spec netti '!M216</f>
        <v>4611</v>
      </c>
    </row>
    <row r="4" spans="1:10" ht="15" customHeight="1">
      <c r="A4" s="51" t="s">
        <v>54</v>
      </c>
      <c r="B4" s="43">
        <f>+'Cons spec tot e finalizzati'!F216</f>
        <v>0</v>
      </c>
      <c r="C4" s="43">
        <f>+'Cons spec tot e finalizzati'!H216</f>
        <v>0</v>
      </c>
      <c r="D4" s="45">
        <f>+'Cons spec tot e finalizzati'!J216</f>
        <v>15</v>
      </c>
      <c r="E4" s="45">
        <f>+'Cons spec tot e finalizzati'!L216</f>
        <v>15.493706972684596</v>
      </c>
      <c r="F4" s="45">
        <f>+'Cons spec tot e finalizzati'!N216</f>
        <v>5</v>
      </c>
      <c r="G4" s="45">
        <f>+'Cons spec tot e finalizzati'!P216</f>
        <v>0</v>
      </c>
      <c r="H4" s="45">
        <f>+'Cons spec tot e finalizzati'!R216</f>
        <v>15</v>
      </c>
      <c r="I4" s="45">
        <f>+'Cons spec tot e finalizzati'!T216</f>
        <v>0</v>
      </c>
      <c r="J4" s="45">
        <f>+'Cons spec tot e finalizzati'!V216</f>
        <v>6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109.83408748114631</v>
      </c>
      <c r="D6" s="157">
        <f t="shared" si="0"/>
        <v>119.24585218702866</v>
      </c>
      <c r="E6" s="157">
        <f t="shared" si="0"/>
        <v>125.08314609433833</v>
      </c>
      <c r="F6" s="157">
        <f t="shared" si="0"/>
        <v>137.37556561085972</v>
      </c>
      <c r="G6" s="157">
        <f t="shared" si="0"/>
        <v>135.8974358974359</v>
      </c>
      <c r="H6" s="157">
        <f t="shared" si="0"/>
        <v>139.18552036199094</v>
      </c>
      <c r="I6" s="157">
        <f t="shared" si="0"/>
        <v>140.39215686274508</v>
      </c>
      <c r="J6" s="157">
        <f t="shared" si="0"/>
        <v>139.0950226244344</v>
      </c>
    </row>
    <row r="7" spans="1:10" ht="12.75">
      <c r="A7" t="s">
        <v>51</v>
      </c>
      <c r="B7" s="44">
        <f>+Casa!B7</f>
        <v>100</v>
      </c>
      <c r="C7" s="44">
        <f>+Casa!C7</f>
        <v>101.8</v>
      </c>
      <c r="D7" s="44">
        <f>+Casa!D7</f>
        <v>104.3</v>
      </c>
      <c r="E7" s="44">
        <f>+Casa!E7</f>
        <v>107</v>
      </c>
      <c r="F7" s="44">
        <f>+Casa!F7</f>
        <v>109.6</v>
      </c>
      <c r="G7" s="44">
        <f>+Casa!G7</f>
        <v>111.7</v>
      </c>
      <c r="H7" s="44">
        <f>+Casa!H7</f>
        <v>113.5</v>
      </c>
      <c r="I7" s="44">
        <f>+Casa!I7</f>
        <v>115.1</v>
      </c>
      <c r="J7" s="44">
        <f>+Casa!J7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</cols>
  <sheetData>
    <row r="1" ht="12.75">
      <c r="A1" t="s">
        <v>153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'!E223</f>
        <v>105532</v>
      </c>
      <c r="C3" s="43">
        <f>+'Cons spec netti '!F223</f>
        <v>99213</v>
      </c>
      <c r="D3" s="43">
        <f>+'Cons spec netti '!G223</f>
        <v>108868</v>
      </c>
      <c r="E3" s="43">
        <f>+'Cons spec netti '!H223</f>
        <v>111909.1264286489</v>
      </c>
      <c r="F3" s="43">
        <f>+'Cons spec netti '!I223</f>
        <v>116842</v>
      </c>
      <c r="G3" s="43">
        <f>+'Cons spec netti '!J223</f>
        <v>120908</v>
      </c>
      <c r="H3" s="43">
        <f>+'Cons spec netti '!K223</f>
        <v>127534</v>
      </c>
      <c r="I3" s="43">
        <f>+'Cons spec netti '!L223</f>
        <v>126551</v>
      </c>
      <c r="J3" s="43">
        <f>+'Cons spec netti '!M223</f>
        <v>118810</v>
      </c>
    </row>
    <row r="4" spans="1:10" ht="15" customHeight="1">
      <c r="A4" s="51" t="s">
        <v>54</v>
      </c>
      <c r="B4" s="43">
        <f>+'Cons spec tot e finalizzati'!F223</f>
        <v>8376</v>
      </c>
      <c r="C4" s="43">
        <f>+'Cons spec tot e finalizzati'!H223</f>
        <v>14721</v>
      </c>
      <c r="D4" s="45">
        <f>+'Cons spec tot e finalizzati'!J223</f>
        <v>19397</v>
      </c>
      <c r="E4" s="45">
        <f>+'Cons spec tot e finalizzati'!L223</f>
        <v>15915.873571351101</v>
      </c>
      <c r="F4" s="45">
        <f>+'Cons spec tot e finalizzati'!N223</f>
        <v>21562</v>
      </c>
      <c r="G4" s="45">
        <f>+'Cons spec tot e finalizzati'!P223</f>
        <v>23216</v>
      </c>
      <c r="H4" s="45">
        <f>+'Cons spec tot e finalizzati'!R223</f>
        <v>24283</v>
      </c>
      <c r="I4" s="45">
        <f>+'Cons spec tot e finalizzati'!T223</f>
        <v>27537</v>
      </c>
      <c r="J4" s="45">
        <f>+'Cons spec tot e finalizzati'!V223</f>
        <v>16907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94.01224273206232</v>
      </c>
      <c r="D6" s="157">
        <f t="shared" si="0"/>
        <v>103.16112648296252</v>
      </c>
      <c r="E6" s="157">
        <f t="shared" si="0"/>
        <v>106.04283670227883</v>
      </c>
      <c r="F6" s="157">
        <f t="shared" si="0"/>
        <v>110.71712845392867</v>
      </c>
      <c r="G6" s="157">
        <f t="shared" si="0"/>
        <v>114.56998825000949</v>
      </c>
      <c r="H6" s="157">
        <f t="shared" si="0"/>
        <v>120.84865254140924</v>
      </c>
      <c r="I6" s="157">
        <f t="shared" si="0"/>
        <v>119.917181518402</v>
      </c>
      <c r="J6" s="157">
        <f t="shared" si="0"/>
        <v>112.5819656597051</v>
      </c>
    </row>
    <row r="7" spans="1:10" ht="12.75">
      <c r="A7" t="s">
        <v>51</v>
      </c>
      <c r="B7" s="44">
        <f>+Quartieri!B7</f>
        <v>100</v>
      </c>
      <c r="C7" s="44">
        <f>+Quartieri!C7</f>
        <v>101.8</v>
      </c>
      <c r="D7" s="44">
        <f>+Quartieri!D7</f>
        <v>104.3</v>
      </c>
      <c r="E7" s="44">
        <f>+Quartieri!E7</f>
        <v>107</v>
      </c>
      <c r="F7" s="44">
        <f>+Quartieri!F7</f>
        <v>109.6</v>
      </c>
      <c r="G7" s="44">
        <f>+Quartieri!G7</f>
        <v>111.7</v>
      </c>
      <c r="H7" s="44">
        <f>+Quartieri!H7</f>
        <v>113.5</v>
      </c>
      <c r="I7" s="44">
        <f>+Quartieri!I7</f>
        <v>115.1</v>
      </c>
      <c r="J7" s="44">
        <f>+Quartieri!J7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</cols>
  <sheetData>
    <row r="1" ht="12.75">
      <c r="A1" t="s">
        <v>1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'!E13</f>
        <v>1449</v>
      </c>
      <c r="C3" s="43">
        <f>+'Cons spec netti '!F13</f>
        <v>1735</v>
      </c>
      <c r="D3" s="43">
        <f>+'Cons spec netti '!G13</f>
        <v>1517</v>
      </c>
      <c r="E3" s="43">
        <f>+'Cons spec netti '!H13</f>
        <v>2350</v>
      </c>
      <c r="F3" s="43">
        <f>+'Cons spec netti '!I13</f>
        <v>2642</v>
      </c>
      <c r="G3" s="43">
        <f>+'Cons spec netti '!J13</f>
        <v>2612</v>
      </c>
      <c r="H3" s="43">
        <f>+'Cons spec netti '!K13</f>
        <v>2312</v>
      </c>
      <c r="I3" s="43">
        <f>+'Cons spec netti '!L13</f>
        <v>1859</v>
      </c>
      <c r="J3" s="43">
        <f>+'Cons spec netti '!M13</f>
        <v>834</v>
      </c>
    </row>
    <row r="4" spans="1:10" ht="15" customHeight="1">
      <c r="A4" s="51" t="s">
        <v>54</v>
      </c>
      <c r="B4" s="43">
        <f>+'Cons spec tot e finalizzati'!F13</f>
        <v>849</v>
      </c>
      <c r="C4" s="32">
        <f>+'Cons spec tot e finalizzati'!H13</f>
        <v>1708</v>
      </c>
      <c r="D4" s="45">
        <f>+'Cons spec tot e finalizzati'!J13</f>
        <v>2047</v>
      </c>
      <c r="E4" s="45">
        <f>+'Cons spec tot e finalizzati'!L13</f>
        <v>1561</v>
      </c>
      <c r="F4" s="45">
        <f>+'Cons spec tot e finalizzati'!N13</f>
        <v>1581</v>
      </c>
      <c r="G4" s="45">
        <f>+'Cons spec tot e finalizzati'!P13</f>
        <v>1488</v>
      </c>
      <c r="H4" s="45">
        <f>+'Cons spec tot e finalizzati'!R13</f>
        <v>1976</v>
      </c>
      <c r="I4" s="45">
        <f>+'Cons spec tot e finalizzati'!T13</f>
        <v>4012</v>
      </c>
      <c r="J4" s="45">
        <f>+'Cons spec tot e finalizzati'!V13</f>
        <v>479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119.73775017253278</v>
      </c>
      <c r="D6" s="157">
        <f t="shared" si="0"/>
        <v>104.69289164941338</v>
      </c>
      <c r="E6" s="157">
        <f t="shared" si="0"/>
        <v>162.1808143547274</v>
      </c>
      <c r="F6" s="157">
        <f t="shared" si="0"/>
        <v>182.3326432022084</v>
      </c>
      <c r="G6" s="157">
        <f t="shared" si="0"/>
        <v>180.2622498274672</v>
      </c>
      <c r="H6" s="157">
        <f t="shared" si="0"/>
        <v>159.55831608005522</v>
      </c>
      <c r="I6" s="157">
        <f t="shared" si="0"/>
        <v>128.29537612146308</v>
      </c>
      <c r="J6" s="157">
        <f t="shared" si="0"/>
        <v>57.55693581780539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146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'!E19</f>
        <v>334</v>
      </c>
      <c r="C3" s="43">
        <f>+'Cons spec netti '!F19</f>
        <v>315</v>
      </c>
      <c r="D3" s="43">
        <f>+'Cons spec netti '!G19</f>
        <v>361</v>
      </c>
      <c r="E3" s="43">
        <f>+'Cons spec netti '!H19</f>
        <v>339</v>
      </c>
      <c r="F3" s="43">
        <f>+'Cons spec netti '!I19</f>
        <v>265</v>
      </c>
      <c r="G3" s="43">
        <f>+'Cons spec netti '!J19</f>
        <v>250</v>
      </c>
      <c r="H3" s="43">
        <f>+'Cons spec netti '!K19</f>
        <v>359</v>
      </c>
      <c r="I3" s="43">
        <f>+'Cons spec netti '!L19</f>
        <v>378</v>
      </c>
      <c r="J3" s="43">
        <f>+'Cons spec netti '!M19</f>
        <v>310</v>
      </c>
    </row>
    <row r="4" spans="1:10" ht="15" customHeight="1">
      <c r="A4" s="51" t="s">
        <v>54</v>
      </c>
      <c r="B4" s="43">
        <f>+'Cons spec tot e finalizzati'!F19</f>
        <v>0</v>
      </c>
      <c r="C4" s="32">
        <f>+'Cons spec tot e finalizzati'!H19</f>
        <v>0</v>
      </c>
      <c r="D4" s="45">
        <f>+'Cons spec tot e finalizzati'!J19</f>
        <v>0</v>
      </c>
      <c r="E4" s="45">
        <f>+'Cons spec tot e finalizzati'!L19</f>
        <v>0</v>
      </c>
      <c r="F4" s="45">
        <f>+'Cons spec tot e finalizzati'!N19</f>
        <v>0</v>
      </c>
      <c r="G4" s="45">
        <f>+'Cons spec tot e finalizzati'!P19</f>
        <v>0</v>
      </c>
      <c r="H4" s="45">
        <f>+'Cons spec tot e finalizzati'!R19</f>
        <v>0</v>
      </c>
      <c r="I4" s="45">
        <f>+'Cons spec tot e finalizzati'!T19</f>
        <v>0</v>
      </c>
      <c r="J4" s="45">
        <f>+'Cons spec tot e finalizzati'!V19</f>
        <v>0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 aca="true" t="shared" si="0" ref="C6:J6">+C3/$B$3*100</f>
        <v>94.311377245509</v>
      </c>
      <c r="D6" s="157">
        <f t="shared" si="0"/>
        <v>108.08383233532935</v>
      </c>
      <c r="E6" s="157">
        <f t="shared" si="0"/>
        <v>101.49700598802396</v>
      </c>
      <c r="F6" s="157">
        <f t="shared" si="0"/>
        <v>79.34131736526946</v>
      </c>
      <c r="G6" s="157">
        <f t="shared" si="0"/>
        <v>74.8502994011976</v>
      </c>
      <c r="H6" s="157">
        <f t="shared" si="0"/>
        <v>107.48502994011977</v>
      </c>
      <c r="I6" s="157">
        <f t="shared" si="0"/>
        <v>113.17365269461077</v>
      </c>
      <c r="J6" s="157">
        <f t="shared" si="0"/>
        <v>92.81437125748504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118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1" ht="12.75">
      <c r="A3" s="51" t="s">
        <v>59</v>
      </c>
      <c r="B3" s="43">
        <f>+'Cons spec netti '!E20</f>
        <v>159</v>
      </c>
      <c r="C3" s="43">
        <f>+'Cons spec netti '!F20</f>
        <v>258</v>
      </c>
      <c r="D3" s="43">
        <f>+'Cons spec netti '!G20</f>
        <v>150</v>
      </c>
      <c r="E3" s="43">
        <f>+'Cons spec netti '!H20</f>
        <v>127</v>
      </c>
      <c r="F3" s="43">
        <f>+'Cons spec netti '!I20</f>
        <v>73</v>
      </c>
      <c r="G3" s="43">
        <f>+'Cons spec netti '!J20</f>
        <v>71</v>
      </c>
      <c r="H3" s="43">
        <f>+'Cons spec netti '!K20</f>
        <v>124</v>
      </c>
      <c r="I3" s="43">
        <f>+'Cons spec netti '!L20</f>
        <v>63</v>
      </c>
      <c r="J3" s="43">
        <f>+'Cons spec netti '!M20</f>
        <v>90</v>
      </c>
      <c r="K3" s="43"/>
    </row>
    <row r="4" spans="1:10" ht="15" customHeight="1">
      <c r="A4" s="51" t="s">
        <v>54</v>
      </c>
      <c r="B4" s="43">
        <f>+'Cons spec tot e finalizzati'!F20</f>
        <v>0</v>
      </c>
      <c r="C4" s="32">
        <f>+'Cons spec tot e finalizzati'!H20</f>
        <v>0</v>
      </c>
      <c r="D4" s="45">
        <f>+'Cons spec tot e finalizzati'!J20</f>
        <v>0</v>
      </c>
      <c r="E4" s="45">
        <f>+'Cons spec tot e finalizzati'!L20</f>
        <v>0</v>
      </c>
      <c r="F4" s="45">
        <f>+'Cons spec tot e finalizzati'!N20</f>
        <v>0</v>
      </c>
      <c r="G4" s="45">
        <f>+'Cons spec tot e finalizzati'!P20</f>
        <v>0</v>
      </c>
      <c r="H4" s="45">
        <f>+'Cons spec tot e finalizzati'!R20</f>
        <v>0</v>
      </c>
      <c r="I4" s="45">
        <f>+'Cons spec tot e finalizzati'!T20</f>
        <v>0</v>
      </c>
      <c r="J4" s="45">
        <f>+'Cons spec tot e finalizzati'!V20</f>
        <v>0</v>
      </c>
    </row>
    <row r="5" spans="2:3" ht="12.75">
      <c r="B5" s="43"/>
      <c r="C5" s="4"/>
    </row>
    <row r="6" spans="1:10" ht="12.75">
      <c r="A6" t="s">
        <v>55</v>
      </c>
      <c r="B6" s="156">
        <f>+B7</f>
        <v>100</v>
      </c>
      <c r="C6" s="157">
        <f aca="true" t="shared" si="0" ref="C6:J6">+C3/$B$3*100</f>
        <v>162.26415094339623</v>
      </c>
      <c r="D6" s="157">
        <f t="shared" si="0"/>
        <v>94.33962264150944</v>
      </c>
      <c r="E6" s="157">
        <f t="shared" si="0"/>
        <v>79.87421383647799</v>
      </c>
      <c r="F6" s="157">
        <f t="shared" si="0"/>
        <v>45.911949685534594</v>
      </c>
      <c r="G6" s="157">
        <f t="shared" si="0"/>
        <v>44.65408805031446</v>
      </c>
      <c r="H6" s="157">
        <f t="shared" si="0"/>
        <v>77.9874213836478</v>
      </c>
      <c r="I6" s="157">
        <f t="shared" si="0"/>
        <v>39.62264150943396</v>
      </c>
      <c r="J6" s="157">
        <f t="shared" si="0"/>
        <v>56.60377358490566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27" sqref="A27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</cols>
  <sheetData>
    <row r="1" ht="12.75">
      <c r="A1" t="s">
        <v>148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1" ht="12.75">
      <c r="A3" s="51" t="s">
        <v>59</v>
      </c>
      <c r="B3" s="43">
        <f>+'Cons spec netti '!E21</f>
        <v>0</v>
      </c>
      <c r="C3" s="43">
        <f>+'Cons spec netti '!F21</f>
        <v>0</v>
      </c>
      <c r="D3" s="43">
        <f>+'Cons spec netti '!G21</f>
        <v>250</v>
      </c>
      <c r="E3" s="43">
        <f>+'Cons spec netti '!H21</f>
        <v>874</v>
      </c>
      <c r="F3" s="43">
        <f>+'Cons spec netti '!I21</f>
        <v>810</v>
      </c>
      <c r="G3" s="43">
        <f>+'Cons spec netti '!J21</f>
        <v>916</v>
      </c>
      <c r="H3" s="43">
        <f>+'Cons spec netti '!K21</f>
        <v>874</v>
      </c>
      <c r="I3" s="43">
        <f>+'Cons spec netti '!L21</f>
        <v>951</v>
      </c>
      <c r="J3" s="43">
        <f>+'Cons spec netti '!M21</f>
        <v>697</v>
      </c>
      <c r="K3" s="43"/>
    </row>
    <row r="4" spans="1:10" ht="15" customHeight="1">
      <c r="A4" s="51" t="s">
        <v>54</v>
      </c>
      <c r="B4" s="43">
        <f>+'Cons spec tot e finalizzati'!F21</f>
        <v>0</v>
      </c>
      <c r="C4" s="32">
        <f>+'Cons spec tot e finalizzati'!H21</f>
        <v>0</v>
      </c>
      <c r="D4" s="45">
        <f>+'Cons spec tot e finalizzati'!J21</f>
        <v>0</v>
      </c>
      <c r="E4" s="45">
        <f>+'Cons spec tot e finalizzati'!L21</f>
        <v>0</v>
      </c>
      <c r="F4" s="45">
        <f>+'Cons spec tot e finalizzati'!N21</f>
        <v>0</v>
      </c>
      <c r="G4" s="45">
        <f>+'Cons spec tot e finalizzati'!P21</f>
        <v>0</v>
      </c>
      <c r="H4" s="45">
        <f>+'Cons spec tot e finalizzati'!R21</f>
        <v>0</v>
      </c>
      <c r="I4" s="45">
        <f>+'Cons spec tot e finalizzati'!T21</f>
        <v>0</v>
      </c>
      <c r="J4" s="45">
        <f>+'Cons spec tot e finalizzati'!V21</f>
        <v>30</v>
      </c>
    </row>
    <row r="5" spans="2:3" ht="12.75">
      <c r="B5" s="43"/>
      <c r="C5" s="4"/>
    </row>
    <row r="6" spans="2:10" ht="12.75">
      <c r="B6" s="156"/>
      <c r="C6" s="157"/>
      <c r="D6" s="157"/>
      <c r="E6" s="157"/>
      <c r="F6" s="157"/>
      <c r="G6" s="157"/>
      <c r="H6" s="157"/>
      <c r="I6" s="157"/>
      <c r="J6" s="157"/>
    </row>
    <row r="7" spans="2:10" ht="12.75">
      <c r="B7" s="44"/>
      <c r="C7" s="44"/>
      <c r="D7" s="44"/>
      <c r="E7" s="44"/>
      <c r="F7" s="44"/>
      <c r="G7" s="44"/>
      <c r="H7" s="44"/>
      <c r="I7" s="44"/>
      <c r="J7" s="44"/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7" ht="12.75">
      <c r="A27" s="174" t="s">
        <v>186</v>
      </c>
    </row>
  </sheetData>
  <hyperlinks>
    <hyperlink ref="A27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</cols>
  <sheetData>
    <row r="1" ht="12.75">
      <c r="A1" t="s">
        <v>178</v>
      </c>
    </row>
    <row r="2" spans="2:10" ht="12.75">
      <c r="B2" s="158">
        <f>+'Cons spec netti '!E6</f>
        <v>1998</v>
      </c>
      <c r="C2" s="158">
        <f>+'Cons spec netti '!F6</f>
        <v>1999</v>
      </c>
      <c r="D2" s="158">
        <f>+'Cons spec netti '!G6</f>
        <v>2000</v>
      </c>
      <c r="E2" s="158">
        <f>+'Cons spec netti '!H6</f>
        <v>2001</v>
      </c>
      <c r="F2" s="158">
        <f>+'Cons spec netti '!I6</f>
        <v>2002</v>
      </c>
      <c r="G2" s="158">
        <f>+'Cons spec netti '!J6</f>
        <v>2003</v>
      </c>
      <c r="H2" s="158">
        <f>+'Cons spec netti '!K6</f>
        <v>2004</v>
      </c>
      <c r="I2" s="158">
        <f>+'Cons spec netti '!L6</f>
        <v>2005</v>
      </c>
      <c r="J2" s="158">
        <f>+'Cons spec netti '!M6</f>
        <v>2006</v>
      </c>
    </row>
    <row r="3" spans="1:10" ht="12.75">
      <c r="A3" s="51" t="s">
        <v>59</v>
      </c>
      <c r="B3" s="43">
        <f>+'Cons spec netti '!E22</f>
        <v>12535</v>
      </c>
      <c r="C3" s="43">
        <f>+'Cons spec netti '!F22</f>
        <v>12135</v>
      </c>
      <c r="D3" s="43">
        <f>+'Cons spec netti '!G22</f>
        <v>13129</v>
      </c>
      <c r="E3" s="43">
        <f>+'Cons spec netti '!H22</f>
        <v>12136.18199941124</v>
      </c>
      <c r="F3" s="43">
        <f>+'Cons spec netti '!I22</f>
        <v>11620</v>
      </c>
      <c r="G3" s="43">
        <f>+'Cons spec netti '!J22</f>
        <v>11092</v>
      </c>
      <c r="H3" s="43">
        <f>+'Cons spec netti '!K22</f>
        <v>11166</v>
      </c>
      <c r="I3" s="43">
        <f>+'Cons spec netti '!L22</f>
        <v>10302</v>
      </c>
      <c r="J3" s="43">
        <f>+'Cons spec netti '!M22</f>
        <v>7938</v>
      </c>
    </row>
    <row r="4" spans="1:10" ht="15" customHeight="1">
      <c r="A4" s="51" t="s">
        <v>54</v>
      </c>
      <c r="B4" s="43">
        <f>+'Cons spec tot e finalizzati'!F22</f>
        <v>44</v>
      </c>
      <c r="C4" s="32">
        <f>+'Cons spec tot e finalizzati'!H22</f>
        <v>90</v>
      </c>
      <c r="D4" s="45">
        <f>+'Cons spec tot e finalizzati'!J22</f>
        <v>89</v>
      </c>
      <c r="E4" s="45">
        <f>+'Cons spec tot e finalizzati'!L22</f>
        <v>314.81800058876087</v>
      </c>
      <c r="F4" s="45">
        <f>+'Cons spec tot e finalizzati'!N22</f>
        <v>648</v>
      </c>
      <c r="G4" s="45">
        <f>+'Cons spec tot e finalizzati'!P22</f>
        <v>431</v>
      </c>
      <c r="H4" s="45">
        <f>+'Cons spec tot e finalizzati'!R22</f>
        <v>110</v>
      </c>
      <c r="I4" s="45">
        <f>+'Cons spec tot e finalizzati'!T22</f>
        <v>72</v>
      </c>
      <c r="J4" s="45">
        <f>+'Cons spec tot e finalizzati'!V22</f>
        <v>1</v>
      </c>
    </row>
    <row r="5" spans="2:3" ht="12.75">
      <c r="B5" s="43"/>
      <c r="C5" s="4"/>
    </row>
    <row r="6" spans="1:10" ht="12.75">
      <c r="A6" t="s">
        <v>55</v>
      </c>
      <c r="B6" s="156">
        <v>100</v>
      </c>
      <c r="C6" s="157">
        <f aca="true" t="shared" si="0" ref="C6:J6">+C3/$B$3*100</f>
        <v>96.80893498205026</v>
      </c>
      <c r="D6" s="157">
        <f t="shared" si="0"/>
        <v>104.73873155165536</v>
      </c>
      <c r="E6" s="157">
        <f t="shared" si="0"/>
        <v>96.81836457448136</v>
      </c>
      <c r="F6" s="157">
        <f t="shared" si="0"/>
        <v>92.70043877143996</v>
      </c>
      <c r="G6" s="157">
        <f t="shared" si="0"/>
        <v>88.48823294774631</v>
      </c>
      <c r="H6" s="157">
        <f t="shared" si="0"/>
        <v>89.078579976067</v>
      </c>
      <c r="I6" s="157">
        <f t="shared" si="0"/>
        <v>82.18587953729556</v>
      </c>
      <c r="J6" s="157">
        <f t="shared" si="0"/>
        <v>63.326685281212605</v>
      </c>
    </row>
    <row r="7" spans="1:10" ht="12.75">
      <c r="A7" t="s">
        <v>51</v>
      </c>
      <c r="B7" s="44">
        <f>+'DIR GEN'!B7</f>
        <v>100</v>
      </c>
      <c r="C7" s="44">
        <f>+'DIR GEN'!C7</f>
        <v>101.8</v>
      </c>
      <c r="D7" s="44">
        <f>+'DIR GEN'!D7</f>
        <v>104.3</v>
      </c>
      <c r="E7" s="44">
        <f>+'DIR GEN'!E7</f>
        <v>107</v>
      </c>
      <c r="F7" s="44">
        <f>+'DIR GEN'!F7</f>
        <v>109.6</v>
      </c>
      <c r="G7" s="44">
        <f>+'DIR GEN'!G7</f>
        <v>111.7</v>
      </c>
      <c r="H7" s="44">
        <f>+'DIR GEN'!H7</f>
        <v>113.5</v>
      </c>
      <c r="I7" s="44">
        <f>+'DIR GEN'!I7</f>
        <v>115.1</v>
      </c>
      <c r="J7" s="44">
        <f>+'DIR GEN'!J7</f>
        <v>117.5</v>
      </c>
    </row>
    <row r="8" spans="2:3" ht="12.75">
      <c r="B8" s="43"/>
      <c r="C8" s="4"/>
    </row>
    <row r="9" spans="2:3" ht="12.75">
      <c r="B9" s="43"/>
      <c r="C9" s="4"/>
    </row>
    <row r="10" spans="2:3" ht="12.75">
      <c r="B10" s="45"/>
      <c r="C10" s="45"/>
    </row>
    <row r="13" spans="2:3" ht="12.75">
      <c r="B13" s="44"/>
      <c r="C13" s="44"/>
    </row>
    <row r="14" spans="2:3" ht="12.75">
      <c r="B14" s="44"/>
      <c r="C14" s="44"/>
    </row>
    <row r="15" spans="2:3" ht="12.75">
      <c r="B15" s="44"/>
      <c r="C15" s="44"/>
    </row>
    <row r="16" spans="2:3" ht="12.75">
      <c r="B16" s="44"/>
      <c r="C16" s="44"/>
    </row>
    <row r="17" ht="12.75">
      <c r="B17" s="44"/>
    </row>
    <row r="18" spans="2:3" ht="12.75">
      <c r="B18" s="44"/>
      <c r="C18" s="44"/>
    </row>
    <row r="19" ht="12.75">
      <c r="B19" s="44"/>
    </row>
    <row r="20" ht="12.75">
      <c r="B20" s="44"/>
    </row>
    <row r="21" ht="12.75">
      <c r="B21" s="44"/>
    </row>
    <row r="29" ht="12.75">
      <c r="A29" s="174" t="s">
        <v>186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