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1400" windowHeight="5220" tabRatio="601" activeTab="0"/>
  </bookViews>
  <sheets>
    <sheet name="Entrate tot e finalizzati" sheetId="1" r:id="rId1"/>
    <sheet name="Entrate nette" sheetId="2" r:id="rId2"/>
  </sheets>
  <externalReferences>
    <externalReference r:id="rId5"/>
  </externalReferences>
  <definedNames>
    <definedName name="_xlnm.Print_Area" localSheetId="1">'Entrate nette'!$A$1:$N$264</definedName>
    <definedName name="_xlnm.Print_Area" localSheetId="0">'Entrate tot e finalizzati'!$A$1:$W$264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<sst xmlns="http://schemas.openxmlformats.org/spreadsheetml/2006/main" count="565" uniqueCount="143">
  <si>
    <t>DIREZIONE GENERALE</t>
  </si>
  <si>
    <t xml:space="preserve"> ACQUISTI</t>
  </si>
  <si>
    <t>PERSONALE E ORGANIZZAZIONE</t>
  </si>
  <si>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</si>
  <si>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</si>
  <si>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</si>
  <si>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</si>
  <si>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</si>
  <si>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</si>
  <si>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</si>
  <si>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</si>
  <si>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</si>
  <si>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</si>
  <si>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</si>
  <si>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GESTIONE PATRIMONIO</t>
  </si>
  <si>
    <t>ISTRUZIONE</t>
  </si>
  <si>
    <t>CULTURA</t>
  </si>
  <si>
    <t>SPORT E GIOVANI</t>
  </si>
  <si>
    <t>AREA COMUNICAZIONE E RAPPORTO CON LA CITTADINANZA</t>
  </si>
  <si>
    <t>QUARTIERI</t>
  </si>
  <si>
    <t>ALTRE ENTRATE CORRENTI</t>
  </si>
  <si>
    <t>UTILI DI AZIENDE E SOCIETA'</t>
  </si>
  <si>
    <t>GABINETTO DEL SINDACO</t>
  </si>
  <si>
    <t>TRASFERIMENTI DA ALTRI ENTI DEL SETTORE PUBBLICO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</si>
  <si>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</si>
  <si>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</si>
  <si>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</si>
  <si>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</si>
  <si>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</si>
  <si>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</si>
  <si>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</si>
  <si>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</si>
  <si>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RAGIONERIA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</si>
  <si>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</si>
  <si>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</si>
  <si>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</si>
  <si>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</si>
  <si>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</si>
  <si>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</si>
  <si>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</si>
  <si>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</si>
  <si>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</si>
  <si>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</si>
  <si>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</si>
  <si>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</si>
  <si>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</si>
  <si>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</si>
  <si>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</si>
  <si>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</si>
  <si>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</si>
  <si>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</si>
  <si>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TASSA SULLE CONCESSIONI COMUNALI</t>
  </si>
  <si>
    <t>DIRITTI PER PUBBLICHE AFFISSIONI</t>
  </si>
  <si>
    <t>CANONE ACQUE REFLUE (11)</t>
  </si>
  <si>
    <t>ALTRI PROVENTI E SANZIONI FINALIZZATI</t>
  </si>
  <si>
    <t>PROVENTI CONCESSIONI PUBBLICITARIE</t>
  </si>
  <si>
    <t>IRAP</t>
  </si>
  <si>
    <t>ADDIZIONALE COMUNALE IRPEF</t>
  </si>
  <si>
    <t>CANONE OCCUPAZIONE SPAZI E AREE PUBBLICHE (ex TOSAP)</t>
  </si>
  <si>
    <t>PROVENTI SERVIZI FOGNATURA</t>
  </si>
  <si>
    <t xml:space="preserve">PROVENTI DI SERVIZI </t>
  </si>
  <si>
    <t xml:space="preserve">PROVENTI DI BENI </t>
  </si>
  <si>
    <t>FITTI IMMOBILI COMMERCIALI COMUNALI</t>
  </si>
  <si>
    <t>FITTI IMMOBILI COMMERCIALI AREE MERCATALI</t>
  </si>
  <si>
    <t>FITTI IMMOBILI COMMERCIALI IPPODROMO ARCOVEGGIO</t>
  </si>
  <si>
    <t>FITTI IMMOBILI USO ABITATIVO (12)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</si>
  <si>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</si>
  <si>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</si>
  <si>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</si>
  <si>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</si>
  <si>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</si>
  <si>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</si>
  <si>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</si>
  <si>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</si>
  <si>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</si>
  <si>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</si>
  <si>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</si>
  <si>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</si>
  <si>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</si>
  <si>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</si>
  <si>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</si>
  <si>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</si>
  <si>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</si>
  <si>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</si>
  <si>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</si>
  <si>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</si>
  <si>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</si>
  <si>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</t>
  </si>
  <si>
    <t>AMMENDE PER CONTRAVVENZIONI: ORDINARIE</t>
  </si>
  <si>
    <t>AMMENDE PER CONTRAVVENZIONI: PREGRESSE</t>
  </si>
  <si>
    <t>PROVENTI PER RIMOZIONE</t>
  </si>
  <si>
    <t>AMMENDE PER CONTRAVVENZIONI: RECUPERO CREDITI</t>
  </si>
  <si>
    <t>(**) Il 2001 è al netto di contributi (€ 34.206 mgl da Regione e € 3.434 mgl da Stato) per trasporto pubblico locale trasferiti ad ATC</t>
  </si>
  <si>
    <t>MOBILITA' URBANA (**)</t>
  </si>
  <si>
    <t xml:space="preserve">LEGALE </t>
  </si>
  <si>
    <t xml:space="preserve">SEGRETERIA GENERALE </t>
  </si>
  <si>
    <t>SISTEMI INFORMATIVI E TELEMATICI</t>
  </si>
  <si>
    <t xml:space="preserve">PROG.NUOVE ISTIT.PER COMUNICARE CON LA CITTA' </t>
  </si>
  <si>
    <t>COMPARTECIPAZIONE GETTITO IRPEF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</si>
  <si>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</si>
  <si>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</si>
  <si>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</si>
  <si>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</si>
  <si>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</si>
  <si>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</si>
  <si>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</si>
  <si>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</si>
  <si>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>PARTECIPAZIONI SOCIETARIE</t>
  </si>
  <si>
    <t>POLIZIA MUNICIPALE E PROTEZIONE CIVILE</t>
  </si>
  <si>
    <t>AFFARI ISTITUZIONALI E QUARTIERI</t>
  </si>
  <si>
    <t>AREA FINANZA</t>
  </si>
  <si>
    <t>LAVORI PUBBLICI</t>
  </si>
  <si>
    <t>POLITICHE PER LA SICUREZZA</t>
  </si>
  <si>
    <t>AREA SERVIZI ALLE PERSONE, FAMIGLIE, COMUNITA', …</t>
  </si>
  <si>
    <t>DIREZIONE AREA SERVIZI ALLE PERSONE, ….</t>
  </si>
  <si>
    <t xml:space="preserve">SALUTE </t>
  </si>
  <si>
    <t>SERVIZI SOCIALI</t>
  </si>
  <si>
    <t>AREA SAPERI ED ECONOMIA</t>
  </si>
  <si>
    <t>ECONOMIA ED ATTIVITA' TURISTICHE</t>
  </si>
  <si>
    <t>AREA URBANISTICA, AMOBIENTE E MOBILITA'</t>
  </si>
  <si>
    <t>PROGRAMMI URBANISTICI ED EDILIZI</t>
  </si>
  <si>
    <t>INTERVENTI E SERVIZI PER LA CASA</t>
  </si>
  <si>
    <t>AMBIENTE E VERDE URBANO</t>
  </si>
  <si>
    <t>COMUNICAZIONE</t>
  </si>
  <si>
    <t>SERVIZI DEMOGRAFICI</t>
  </si>
  <si>
    <t>SPORTELLO PER LE IMPRESE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</si>
  <si>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</si>
  <si>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</si>
  <si>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</si>
  <si>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</si>
  <si>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</si>
  <si>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</si>
  <si>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>DIREZIONE AREA URBANISTICA</t>
  </si>
  <si>
    <t xml:space="preserve">DIRITTI DIVERSI </t>
  </si>
  <si>
    <t>QUARTIERE S.VITALE</t>
  </si>
  <si>
    <t xml:space="preserve">TRASFERIMENTI DA REGIONE </t>
  </si>
  <si>
    <t xml:space="preserve">ALTRI PROVENTI DI BENI </t>
  </si>
  <si>
    <t xml:space="preserve">ALTRE ENTRATE CORRENTI </t>
  </si>
  <si>
    <t>TRASFERIMENTI DA STATO (**)</t>
  </si>
  <si>
    <t>TRASFERIMENTI DA REGIONE  (**)</t>
  </si>
  <si>
    <t xml:space="preserve">FITTI ERP </t>
  </si>
  <si>
    <t xml:space="preserve">TRASFERIMENTI DA ALTRI ENTI DEL SETTORE PUBBLICO  </t>
  </si>
  <si>
    <t xml:space="preserve">ENTRATE: SERIE STORICA (1997 - 2005) 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</si>
</sst>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1" xfId="0" applyFont="1" applyBorder="1" applyAlignment="1" quotePrefix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3" fontId="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0" fillId="0" borderId="6" xfId="0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6" xfId="0" applyFont="1" applyBorder="1" applyAlignment="1">
      <alignment/>
    </xf>
    <xf numFmtId="3" fontId="2" fillId="2" borderId="11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4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3" fontId="1" fillId="0" borderId="2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3" fontId="1" fillId="0" borderId="6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3" fontId="1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1" fillId="0" borderId="6" xfId="16" applyFont="1" applyFill="1" applyBorder="1" applyAlignment="1">
      <alignment horizontal="right"/>
    </xf>
    <xf numFmtId="41" fontId="1" fillId="0" borderId="2" xfId="16" applyFont="1" applyFill="1" applyBorder="1" applyAlignment="1">
      <alignment horizontal="right"/>
    </xf>
    <xf numFmtId="41" fontId="1" fillId="0" borderId="2" xfId="16" applyFont="1" applyFill="1" applyBorder="1" applyAlignment="1">
      <alignment/>
    </xf>
    <xf numFmtId="0" fontId="5" fillId="0" borderId="0" xfId="0" applyFont="1" applyAlignment="1">
      <alignment/>
    </xf>
    <xf numFmtId="3" fontId="2" fillId="0" borderId="6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3" fontId="8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6" xfId="16" applyFont="1" applyFill="1" applyBorder="1" applyAlignment="1">
      <alignment/>
    </xf>
    <xf numFmtId="41" fontId="1" fillId="0" borderId="2" xfId="16" applyFont="1" applyBorder="1" applyAlignment="1">
      <alignment/>
    </xf>
    <xf numFmtId="41" fontId="1" fillId="0" borderId="5" xfId="16" applyFont="1" applyFill="1" applyBorder="1" applyAlignment="1">
      <alignment/>
    </xf>
    <xf numFmtId="0" fontId="2" fillId="0" borderId="2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4" borderId="0" xfId="0" applyFill="1" applyAlignment="1">
      <alignment/>
    </xf>
    <xf numFmtId="0" fontId="3" fillId="0" borderId="3" xfId="0" applyFont="1" applyFill="1" applyBorder="1" applyAlignment="1">
      <alignment/>
    </xf>
    <xf numFmtId="3" fontId="3" fillId="4" borderId="6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3" fontId="7" fillId="5" borderId="12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2" fillId="0" borderId="1" xfId="0" applyFont="1" applyFill="1" applyBorder="1" applyAlignment="1">
      <alignment/>
    </xf>
    <xf numFmtId="41" fontId="1" fillId="0" borderId="6" xfId="16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6" fillId="3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41" fontId="1" fillId="0" borderId="7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41" fontId="1" fillId="0" borderId="5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3" fontId="1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2" fillId="0" borderId="4" xfId="0" applyFont="1" applyFill="1" applyBorder="1" applyAlignment="1">
      <alignment/>
    </xf>
    <xf numFmtId="0" fontId="4" fillId="0" borderId="3" xfId="0" applyFont="1" applyBorder="1" applyAlignment="1">
      <alignment horizontal="centerContinuous"/>
    </xf>
    <xf numFmtId="0" fontId="2" fillId="3" borderId="15" xfId="0" applyFont="1" applyFill="1" applyBorder="1" applyAlignment="1">
      <alignment horizontal="centerContinuous"/>
    </xf>
    <xf numFmtId="0" fontId="3" fillId="0" borderId="3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3" fillId="0" borderId="4" xfId="0" applyFont="1" applyFill="1" applyBorder="1" applyAlignment="1">
      <alignment/>
    </xf>
    <xf numFmtId="41" fontId="1" fillId="0" borderId="7" xfId="16" applyFont="1" applyFill="1" applyBorder="1" applyAlignment="1">
      <alignment/>
    </xf>
    <xf numFmtId="0" fontId="6" fillId="3" borderId="11" xfId="0" applyFont="1" applyFill="1" applyBorder="1" applyAlignment="1">
      <alignment horizontal="centerContinuous"/>
    </xf>
    <xf numFmtId="3" fontId="0" fillId="0" borderId="0" xfId="0" applyNumberFormat="1" applyAlignment="1">
      <alignment/>
    </xf>
    <xf numFmtId="0" fontId="3" fillId="0" borderId="5" xfId="0" applyFont="1" applyBorder="1" applyAlignment="1">
      <alignment/>
    </xf>
    <xf numFmtId="41" fontId="1" fillId="0" borderId="7" xfId="16" applyFont="1" applyFill="1" applyBorder="1" applyAlignment="1">
      <alignment horizontal="right"/>
    </xf>
    <xf numFmtId="41" fontId="1" fillId="0" borderId="5" xfId="16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.7109375" style="3" customWidth="1"/>
    <col min="2" max="2" width="4.140625" style="3" customWidth="1"/>
    <col min="3" max="3" width="4.7109375" style="3" customWidth="1"/>
    <col min="4" max="4" width="44.57421875" style="4" customWidth="1"/>
    <col min="5" max="5" width="0.5625" style="0" customWidth="1"/>
    <col min="6" max="6" width="9.57421875" style="5" customWidth="1"/>
    <col min="7" max="7" width="8.57421875" style="5" customWidth="1"/>
    <col min="8" max="8" width="10.7109375" style="5" customWidth="1"/>
    <col min="9" max="9" width="8.57421875" style="5" customWidth="1"/>
    <col min="10" max="10" width="9.57421875" style="5" customWidth="1"/>
    <col min="11" max="11" width="8.57421875" style="5" customWidth="1"/>
    <col min="12" max="12" width="9.57421875" style="5" customWidth="1"/>
    <col min="13" max="13" width="8.57421875" style="5" customWidth="1"/>
    <col min="14" max="14" width="9.57421875" style="1" customWidth="1"/>
    <col min="15" max="15" width="8.57421875" style="0" customWidth="1"/>
    <col min="16" max="16" width="9.57421875" style="5" customWidth="1"/>
    <col min="17" max="17" width="8.57421875" style="1" customWidth="1"/>
    <col min="18" max="18" width="9.57421875" style="5" customWidth="1"/>
    <col min="19" max="19" width="8.57421875" style="1" customWidth="1"/>
    <col min="20" max="20" width="9.57421875" style="5" customWidth="1"/>
    <col min="21" max="21" width="8.57421875" style="1" customWidth="1"/>
    <col min="22" max="22" width="9.57421875" style="5" customWidth="1"/>
    <col min="23" max="23" width="8.57421875" style="1" customWidth="1"/>
  </cols>
  <sheetData>
    <row r="1" spans="1:23" s="2" customFormat="1" ht="24" customHeight="1">
      <c r="A1" s="110" t="s">
        <v>142</v>
      </c>
      <c r="B1" s="3"/>
      <c r="C1" s="3"/>
      <c r="D1" s="4"/>
      <c r="E1"/>
      <c r="F1" s="5"/>
      <c r="H1" s="160" t="s">
        <v>7</v>
      </c>
      <c r="I1" s="5"/>
      <c r="J1" s="5"/>
      <c r="K1" s="5"/>
      <c r="L1" s="5"/>
      <c r="M1" s="5"/>
      <c r="N1" s="1"/>
      <c r="O1"/>
      <c r="P1" s="5"/>
      <c r="Q1" s="1"/>
      <c r="R1" s="5"/>
      <c r="S1" s="1"/>
      <c r="T1" s="5"/>
      <c r="U1" s="1"/>
      <c r="V1" s="5"/>
      <c r="W1" s="1"/>
    </row>
    <row r="2" spans="1:23" s="2" customFormat="1" ht="9.75" customHeight="1">
      <c r="A2" s="6"/>
      <c r="B2" s="6"/>
      <c r="C2" s="6"/>
      <c r="E2"/>
      <c r="F2" s="5"/>
      <c r="G2" s="5"/>
      <c r="H2" s="86"/>
      <c r="I2" s="113"/>
      <c r="J2" s="114"/>
      <c r="K2" s="114"/>
      <c r="L2" s="114"/>
      <c r="M2" s="112"/>
      <c r="N2" s="15"/>
      <c r="O2" s="149"/>
      <c r="P2" s="149"/>
      <c r="Q2" s="1"/>
      <c r="R2" s="149"/>
      <c r="S2" s="1"/>
      <c r="T2" s="149"/>
      <c r="U2" s="1"/>
      <c r="V2" s="149"/>
      <c r="W2" s="1"/>
    </row>
    <row r="3" spans="1:23" s="2" customFormat="1" ht="12.75">
      <c r="A3" s="115" t="s">
        <v>12</v>
      </c>
      <c r="B3" s="6"/>
      <c r="C3" s="6"/>
      <c r="D3" s="8"/>
      <c r="E3"/>
      <c r="F3" s="5"/>
      <c r="G3" s="5"/>
      <c r="H3" s="5"/>
      <c r="I3" s="5"/>
      <c r="J3" s="5"/>
      <c r="K3" s="5"/>
      <c r="L3" s="5"/>
      <c r="M3" s="5"/>
      <c r="N3" s="1"/>
      <c r="O3" s="149"/>
      <c r="P3" s="149"/>
      <c r="Q3" s="1"/>
      <c r="R3" s="149"/>
      <c r="S3" s="1"/>
      <c r="T3" s="149"/>
      <c r="U3" s="1"/>
      <c r="V3" s="149"/>
      <c r="W3" s="1"/>
    </row>
    <row r="4" spans="1:23" s="2" customFormat="1" ht="12.75">
      <c r="A4" s="9"/>
      <c r="B4" s="9"/>
      <c r="C4" s="9"/>
      <c r="D4" s="10"/>
      <c r="E4"/>
      <c r="F4" s="5"/>
      <c r="G4" s="5"/>
      <c r="H4" s="5"/>
      <c r="I4" s="5"/>
      <c r="J4" s="5"/>
      <c r="K4" s="5"/>
      <c r="L4" s="5"/>
      <c r="M4" s="5"/>
      <c r="N4" s="1"/>
      <c r="O4"/>
      <c r="P4" s="5"/>
      <c r="Q4" s="1"/>
      <c r="R4" s="5"/>
      <c r="S4" s="1"/>
      <c r="T4" s="5"/>
      <c r="U4" s="1"/>
      <c r="V4" s="5"/>
      <c r="W4" s="1"/>
    </row>
    <row r="5" spans="1:23" s="2" customFormat="1" ht="12.75">
      <c r="A5" s="11"/>
      <c r="B5" s="16"/>
      <c r="C5" s="16"/>
      <c r="D5" s="11"/>
      <c r="E5"/>
      <c r="F5" s="56">
        <v>1997</v>
      </c>
      <c r="G5" s="57"/>
      <c r="H5" s="56">
        <v>1998</v>
      </c>
      <c r="I5" s="57"/>
      <c r="J5" s="56">
        <v>1999</v>
      </c>
      <c r="K5" s="57"/>
      <c r="L5" s="56">
        <v>2000</v>
      </c>
      <c r="M5" s="57"/>
      <c r="N5" s="56">
        <v>2001</v>
      </c>
      <c r="O5" s="60"/>
      <c r="P5" s="56">
        <v>2002</v>
      </c>
      <c r="Q5" s="60"/>
      <c r="R5" s="56">
        <v>2003</v>
      </c>
      <c r="S5" s="60"/>
      <c r="T5" s="56">
        <v>2004</v>
      </c>
      <c r="U5" s="60"/>
      <c r="V5" s="56">
        <v>205</v>
      </c>
      <c r="W5" s="60"/>
    </row>
    <row r="6" spans="1:23" s="2" customFormat="1" ht="12.75">
      <c r="A6" s="11"/>
      <c r="B6" s="11"/>
      <c r="C6" s="11"/>
      <c r="D6" s="11"/>
      <c r="E6"/>
      <c r="F6" s="58" t="s">
        <v>11</v>
      </c>
      <c r="G6" s="59"/>
      <c r="H6" s="58" t="s">
        <v>11</v>
      </c>
      <c r="I6" s="59"/>
      <c r="J6" s="58" t="s">
        <v>11</v>
      </c>
      <c r="K6" s="59"/>
      <c r="L6" s="58" t="s">
        <v>11</v>
      </c>
      <c r="M6" s="59"/>
      <c r="N6" s="180" t="s">
        <v>11</v>
      </c>
      <c r="O6" s="181"/>
      <c r="P6" s="180" t="s">
        <v>11</v>
      </c>
      <c r="Q6" s="181"/>
      <c r="R6" s="180" t="s">
        <v>11</v>
      </c>
      <c r="S6" s="181"/>
      <c r="T6" s="180" t="s">
        <v>11</v>
      </c>
      <c r="U6" s="181"/>
      <c r="V6" s="180" t="s">
        <v>11</v>
      </c>
      <c r="W6" s="181"/>
    </row>
    <row r="7" spans="1:23" s="2" customFormat="1" ht="12.75">
      <c r="A7" s="163"/>
      <c r="B7" s="163"/>
      <c r="C7" s="163"/>
      <c r="D7" s="163"/>
      <c r="E7" s="31"/>
      <c r="F7" s="68" t="s">
        <v>10</v>
      </c>
      <c r="G7" s="164" t="s">
        <v>105</v>
      </c>
      <c r="H7" s="68" t="s">
        <v>10</v>
      </c>
      <c r="I7" s="164" t="s">
        <v>105</v>
      </c>
      <c r="J7" s="68" t="s">
        <v>10</v>
      </c>
      <c r="K7" s="164" t="s">
        <v>105</v>
      </c>
      <c r="L7" s="68" t="s">
        <v>10</v>
      </c>
      <c r="M7" s="164" t="s">
        <v>105</v>
      </c>
      <c r="N7" s="68" t="s">
        <v>10</v>
      </c>
      <c r="O7" s="164" t="s">
        <v>105</v>
      </c>
      <c r="P7" s="68" t="s">
        <v>10</v>
      </c>
      <c r="Q7" s="164" t="s">
        <v>105</v>
      </c>
      <c r="R7" s="68" t="s">
        <v>10</v>
      </c>
      <c r="S7" s="164" t="s">
        <v>105</v>
      </c>
      <c r="T7" s="68" t="s">
        <v>10</v>
      </c>
      <c r="U7" s="164" t="s">
        <v>105</v>
      </c>
      <c r="V7" s="68" t="s">
        <v>10</v>
      </c>
      <c r="W7" s="164" t="s">
        <v>105</v>
      </c>
    </row>
    <row r="8" spans="1:23" s="2" customFormat="1" ht="12.75">
      <c r="A8" s="120" t="s">
        <v>0</v>
      </c>
      <c r="B8" s="121"/>
      <c r="C8" s="121"/>
      <c r="D8" s="122"/>
      <c r="E8" s="44"/>
      <c r="F8" s="49">
        <f>+F9</f>
        <v>0</v>
      </c>
      <c r="G8" s="49">
        <f aca="true" t="shared" si="0" ref="G8:W8">+G9</f>
        <v>0</v>
      </c>
      <c r="H8" s="49">
        <f t="shared" si="0"/>
        <v>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552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</row>
    <row r="9" spans="1:23" s="2" customFormat="1" ht="12.75">
      <c r="A9" s="24"/>
      <c r="B9" s="133" t="s">
        <v>20</v>
      </c>
      <c r="C9" s="133"/>
      <c r="D9" s="170"/>
      <c r="E9" s="169"/>
      <c r="F9" s="34"/>
      <c r="G9" s="140"/>
      <c r="H9" s="34"/>
      <c r="I9" s="140"/>
      <c r="J9" s="34"/>
      <c r="K9" s="140"/>
      <c r="L9" s="34"/>
      <c r="M9" s="30"/>
      <c r="N9" s="34">
        <v>552</v>
      </c>
      <c r="O9" s="30"/>
      <c r="P9" s="34"/>
      <c r="Q9" s="30"/>
      <c r="R9" s="34"/>
      <c r="S9" s="30"/>
      <c r="T9" s="34"/>
      <c r="U9" s="30"/>
      <c r="V9" s="34"/>
      <c r="W9" s="30"/>
    </row>
    <row r="10" spans="1:23" s="2" customFormat="1" ht="12.75">
      <c r="A10" s="120" t="s">
        <v>107</v>
      </c>
      <c r="B10" s="121"/>
      <c r="C10" s="121"/>
      <c r="D10" s="122"/>
      <c r="E10" s="44"/>
      <c r="F10" s="49">
        <f>+F11</f>
        <v>1819</v>
      </c>
      <c r="G10" s="49">
        <f aca="true" t="shared" si="1" ref="G10:W10">+G11</f>
        <v>0</v>
      </c>
      <c r="H10" s="49">
        <f t="shared" si="1"/>
        <v>2182</v>
      </c>
      <c r="I10" s="49">
        <f t="shared" si="1"/>
        <v>0</v>
      </c>
      <c r="J10" s="49">
        <f t="shared" si="1"/>
        <v>6012</v>
      </c>
      <c r="K10" s="49">
        <f t="shared" si="1"/>
        <v>0</v>
      </c>
      <c r="L10" s="49">
        <f t="shared" si="1"/>
        <v>6026</v>
      </c>
      <c r="M10" s="49">
        <f t="shared" si="1"/>
        <v>0</v>
      </c>
      <c r="N10" s="49">
        <f t="shared" si="1"/>
        <v>20021</v>
      </c>
      <c r="O10" s="49">
        <f t="shared" si="1"/>
        <v>0</v>
      </c>
      <c r="P10" s="49">
        <f t="shared" si="1"/>
        <v>15225</v>
      </c>
      <c r="Q10" s="49">
        <f t="shared" si="1"/>
        <v>0</v>
      </c>
      <c r="R10" s="49">
        <f t="shared" si="1"/>
        <v>10875</v>
      </c>
      <c r="S10" s="49">
        <f t="shared" si="1"/>
        <v>0</v>
      </c>
      <c r="T10" s="49">
        <f t="shared" si="1"/>
        <v>8689</v>
      </c>
      <c r="U10" s="49">
        <f t="shared" si="1"/>
        <v>0</v>
      </c>
      <c r="V10" s="49">
        <f t="shared" si="1"/>
        <v>9776</v>
      </c>
      <c r="W10" s="49">
        <f t="shared" si="1"/>
        <v>0</v>
      </c>
    </row>
    <row r="11" spans="1:23" s="2" customFormat="1" ht="12.75">
      <c r="A11" s="73"/>
      <c r="B11" s="51" t="s">
        <v>21</v>
      </c>
      <c r="C11" s="51"/>
      <c r="D11" s="74"/>
      <c r="F11" s="33">
        <v>1819</v>
      </c>
      <c r="G11" s="26"/>
      <c r="H11" s="33">
        <v>2182</v>
      </c>
      <c r="I11" s="26"/>
      <c r="J11" s="33">
        <v>6012</v>
      </c>
      <c r="K11" s="26"/>
      <c r="L11" s="33">
        <v>6026</v>
      </c>
      <c r="M11" s="29"/>
      <c r="N11" s="33">
        <v>20021</v>
      </c>
      <c r="O11" s="29"/>
      <c r="P11" s="33">
        <v>15225</v>
      </c>
      <c r="Q11" s="29"/>
      <c r="R11" s="33">
        <v>10875</v>
      </c>
      <c r="S11" s="29"/>
      <c r="T11" s="33">
        <v>8689</v>
      </c>
      <c r="U11" s="29"/>
      <c r="V11" s="33">
        <v>9776</v>
      </c>
      <c r="W11" s="29"/>
    </row>
    <row r="12" spans="1:23" s="2" customFormat="1" ht="12.75">
      <c r="A12" s="40" t="s">
        <v>22</v>
      </c>
      <c r="B12" s="41"/>
      <c r="C12" s="41"/>
      <c r="D12" s="42"/>
      <c r="E12" s="45"/>
      <c r="F12" s="43">
        <f aca="true" t="shared" si="2" ref="F12:U12">SUM(F13:F17)</f>
        <v>106</v>
      </c>
      <c r="G12" s="43">
        <f t="shared" si="2"/>
        <v>106</v>
      </c>
      <c r="H12" s="43">
        <f t="shared" si="2"/>
        <v>73</v>
      </c>
      <c r="I12" s="43">
        <f t="shared" si="2"/>
        <v>0</v>
      </c>
      <c r="J12" s="43">
        <f t="shared" si="2"/>
        <v>165</v>
      </c>
      <c r="K12" s="43">
        <f t="shared" si="2"/>
        <v>100</v>
      </c>
      <c r="L12" s="43">
        <f t="shared" si="2"/>
        <v>1033</v>
      </c>
      <c r="M12" s="43">
        <f t="shared" si="2"/>
        <v>0</v>
      </c>
      <c r="N12" s="43">
        <f t="shared" si="2"/>
        <v>1169</v>
      </c>
      <c r="O12" s="43">
        <f t="shared" si="2"/>
        <v>0</v>
      </c>
      <c r="P12" s="43">
        <f t="shared" si="2"/>
        <v>1353</v>
      </c>
      <c r="Q12" s="43">
        <f t="shared" si="2"/>
        <v>1287</v>
      </c>
      <c r="R12" s="43">
        <f t="shared" si="2"/>
        <v>1180</v>
      </c>
      <c r="S12" s="43">
        <f t="shared" si="2"/>
        <v>1142</v>
      </c>
      <c r="T12" s="43">
        <f t="shared" si="2"/>
        <v>1832</v>
      </c>
      <c r="U12" s="43">
        <f t="shared" si="2"/>
        <v>1819</v>
      </c>
      <c r="V12" s="43">
        <f>SUM(V13:V17)</f>
        <v>3777</v>
      </c>
      <c r="W12" s="43">
        <f>SUM(W13:W17)</f>
        <v>3771</v>
      </c>
    </row>
    <row r="13" spans="1:23" s="2" customFormat="1" ht="12.75">
      <c r="A13" s="75"/>
      <c r="B13" s="51" t="s">
        <v>23</v>
      </c>
      <c r="C13" s="51"/>
      <c r="D13" s="74"/>
      <c r="F13" s="52"/>
      <c r="G13" s="71"/>
      <c r="H13" s="53"/>
      <c r="I13" s="65"/>
      <c r="J13" s="52"/>
      <c r="K13" s="71"/>
      <c r="L13" s="33">
        <v>1033</v>
      </c>
      <c r="M13" s="72"/>
      <c r="N13" s="53">
        <v>1085</v>
      </c>
      <c r="O13" s="72"/>
      <c r="P13" s="53"/>
      <c r="Q13" s="72"/>
      <c r="R13" s="53"/>
      <c r="S13" s="72"/>
      <c r="T13" s="53"/>
      <c r="U13" s="72"/>
      <c r="V13" s="53"/>
      <c r="W13" s="72"/>
    </row>
    <row r="14" spans="1:23" s="77" customFormat="1" ht="12.75">
      <c r="A14" s="137"/>
      <c r="B14" s="50" t="s">
        <v>106</v>
      </c>
      <c r="C14" s="50"/>
      <c r="D14" s="72"/>
      <c r="F14" s="52">
        <v>106</v>
      </c>
      <c r="G14" s="71">
        <v>106</v>
      </c>
      <c r="H14" s="52"/>
      <c r="I14" s="71"/>
      <c r="J14" s="52">
        <v>100</v>
      </c>
      <c r="K14" s="71">
        <v>100</v>
      </c>
      <c r="L14" s="33"/>
      <c r="M14" s="72"/>
      <c r="N14" s="53"/>
      <c r="O14" s="72"/>
      <c r="P14" s="53">
        <v>1287</v>
      </c>
      <c r="Q14" s="72">
        <v>1287</v>
      </c>
      <c r="R14" s="53">
        <v>1142</v>
      </c>
      <c r="S14" s="72">
        <v>1142</v>
      </c>
      <c r="T14" s="53">
        <v>1819</v>
      </c>
      <c r="U14" s="109">
        <v>1819</v>
      </c>
      <c r="V14" s="53">
        <v>3671</v>
      </c>
      <c r="W14" s="109">
        <v>3671</v>
      </c>
    </row>
    <row r="15" spans="1:23" s="77" customFormat="1" ht="12.75">
      <c r="A15" s="137"/>
      <c r="B15" s="7" t="s">
        <v>75</v>
      </c>
      <c r="C15" s="50"/>
      <c r="D15" s="72"/>
      <c r="F15" s="52"/>
      <c r="G15" s="71"/>
      <c r="H15" s="52"/>
      <c r="I15" s="71"/>
      <c r="J15" s="52"/>
      <c r="K15" s="71"/>
      <c r="L15" s="33"/>
      <c r="M15" s="72"/>
      <c r="N15" s="53"/>
      <c r="O15" s="72"/>
      <c r="P15" s="53"/>
      <c r="Q15" s="72"/>
      <c r="R15" s="53"/>
      <c r="S15" s="72"/>
      <c r="T15" s="53"/>
      <c r="U15" s="109"/>
      <c r="V15" s="53">
        <v>100</v>
      </c>
      <c r="W15" s="109">
        <v>100</v>
      </c>
    </row>
    <row r="16" spans="1:23" s="2" customFormat="1" ht="12.75">
      <c r="A16" s="75"/>
      <c r="B16" s="51" t="s">
        <v>25</v>
      </c>
      <c r="C16" s="51"/>
      <c r="D16" s="74"/>
      <c r="F16" s="52"/>
      <c r="G16" s="71"/>
      <c r="H16" s="52">
        <v>73</v>
      </c>
      <c r="I16" s="71"/>
      <c r="J16" s="52">
        <v>65</v>
      </c>
      <c r="K16" s="71"/>
      <c r="L16" s="33"/>
      <c r="M16" s="72"/>
      <c r="N16" s="53"/>
      <c r="O16" s="72"/>
      <c r="P16" s="53"/>
      <c r="Q16" s="72"/>
      <c r="R16" s="53"/>
      <c r="S16" s="72"/>
      <c r="T16" s="53"/>
      <c r="U16" s="72"/>
      <c r="V16" s="53"/>
      <c r="W16" s="72"/>
    </row>
    <row r="17" spans="1:23" s="55" customFormat="1" ht="12.75">
      <c r="A17" s="19"/>
      <c r="B17" s="13" t="s">
        <v>26</v>
      </c>
      <c r="C17" s="13"/>
      <c r="D17" s="20"/>
      <c r="E17"/>
      <c r="F17" s="35"/>
      <c r="G17" s="61"/>
      <c r="H17" s="35"/>
      <c r="I17" s="61"/>
      <c r="J17" s="35"/>
      <c r="K17" s="61"/>
      <c r="L17" s="33"/>
      <c r="M17" s="29"/>
      <c r="N17" s="33">
        <v>84</v>
      </c>
      <c r="O17" s="29"/>
      <c r="P17" s="33">
        <v>66</v>
      </c>
      <c r="Q17" s="29"/>
      <c r="R17" s="33">
        <v>38</v>
      </c>
      <c r="S17" s="29"/>
      <c r="T17" s="33">
        <v>13</v>
      </c>
      <c r="U17" s="29"/>
      <c r="V17" s="33">
        <v>6</v>
      </c>
      <c r="W17" s="29"/>
    </row>
    <row r="18" spans="1:23" s="2" customFormat="1" ht="12.75">
      <c r="A18" s="40" t="s">
        <v>112</v>
      </c>
      <c r="B18" s="41"/>
      <c r="C18" s="41"/>
      <c r="D18" s="42"/>
      <c r="E18" s="45"/>
      <c r="F18" s="43">
        <f aca="true" t="shared" si="3" ref="F18:U18">SUM(F19:F23)</f>
        <v>0</v>
      </c>
      <c r="G18" s="43">
        <f t="shared" si="3"/>
        <v>0</v>
      </c>
      <c r="H18" s="43">
        <f t="shared" si="3"/>
        <v>1309</v>
      </c>
      <c r="I18" s="43">
        <f t="shared" si="3"/>
        <v>1309</v>
      </c>
      <c r="J18" s="43">
        <f t="shared" si="3"/>
        <v>329</v>
      </c>
      <c r="K18" s="43">
        <f t="shared" si="3"/>
        <v>329</v>
      </c>
      <c r="L18" s="43">
        <f t="shared" si="3"/>
        <v>350</v>
      </c>
      <c r="M18" s="43">
        <f t="shared" si="3"/>
        <v>350</v>
      </c>
      <c r="N18" s="43">
        <f t="shared" si="3"/>
        <v>150</v>
      </c>
      <c r="O18" s="43">
        <f t="shared" si="3"/>
        <v>150</v>
      </c>
      <c r="P18" s="43">
        <f t="shared" si="3"/>
        <v>295</v>
      </c>
      <c r="Q18" s="43">
        <f t="shared" si="3"/>
        <v>295</v>
      </c>
      <c r="R18" s="43">
        <f t="shared" si="3"/>
        <v>344</v>
      </c>
      <c r="S18" s="43">
        <f t="shared" si="3"/>
        <v>344</v>
      </c>
      <c r="T18" s="43">
        <f t="shared" si="3"/>
        <v>157</v>
      </c>
      <c r="U18" s="43">
        <f t="shared" si="3"/>
        <v>157</v>
      </c>
      <c r="V18" s="43">
        <f>SUM(V19:V23)</f>
        <v>251</v>
      </c>
      <c r="W18" s="43">
        <f>SUM(W19:W23)</f>
        <v>251</v>
      </c>
    </row>
    <row r="19" spans="1:23" s="55" customFormat="1" ht="12.75">
      <c r="A19" s="12"/>
      <c r="B19" s="51" t="s">
        <v>74</v>
      </c>
      <c r="C19" s="7"/>
      <c r="D19" s="25"/>
      <c r="E19"/>
      <c r="F19" s="39"/>
      <c r="G19" s="63"/>
      <c r="H19" s="35">
        <v>1309</v>
      </c>
      <c r="I19" s="61">
        <v>1309</v>
      </c>
      <c r="J19" s="35">
        <v>198</v>
      </c>
      <c r="K19" s="61">
        <v>198</v>
      </c>
      <c r="L19" s="33"/>
      <c r="M19" s="29"/>
      <c r="N19" s="35"/>
      <c r="O19" s="33"/>
      <c r="P19" s="35"/>
      <c r="Q19" s="33"/>
      <c r="R19" s="35"/>
      <c r="S19" s="33"/>
      <c r="T19" s="35"/>
      <c r="U19" s="33"/>
      <c r="V19" s="35"/>
      <c r="W19" s="33"/>
    </row>
    <row r="20" spans="1:23" s="55" customFormat="1" ht="12.75">
      <c r="A20" s="12"/>
      <c r="B20" s="7" t="s">
        <v>75</v>
      </c>
      <c r="C20" s="7"/>
      <c r="D20" s="25"/>
      <c r="E20"/>
      <c r="F20" s="39"/>
      <c r="G20" s="63"/>
      <c r="H20" s="35"/>
      <c r="I20" s="61"/>
      <c r="J20" s="35"/>
      <c r="K20" s="61"/>
      <c r="L20" s="33"/>
      <c r="M20" s="29"/>
      <c r="N20" s="35"/>
      <c r="O20" s="33"/>
      <c r="P20" s="35">
        <v>12</v>
      </c>
      <c r="Q20" s="33">
        <v>12</v>
      </c>
      <c r="R20" s="35"/>
      <c r="S20" s="33"/>
      <c r="T20" s="35">
        <v>10</v>
      </c>
      <c r="U20" s="33">
        <v>10</v>
      </c>
      <c r="V20" s="35"/>
      <c r="W20" s="33"/>
    </row>
    <row r="21" spans="1:23" s="55" customFormat="1" ht="12.75">
      <c r="A21" s="12"/>
      <c r="B21" s="51" t="s">
        <v>80</v>
      </c>
      <c r="C21" s="7"/>
      <c r="D21" s="25"/>
      <c r="E21"/>
      <c r="F21" s="39"/>
      <c r="G21" s="63"/>
      <c r="H21" s="35"/>
      <c r="I21" s="61"/>
      <c r="J21" s="35"/>
      <c r="K21" s="61"/>
      <c r="L21" s="33"/>
      <c r="M21" s="29"/>
      <c r="N21" s="35"/>
      <c r="O21" s="33"/>
      <c r="P21" s="35"/>
      <c r="Q21" s="33"/>
      <c r="R21" s="35"/>
      <c r="S21" s="33"/>
      <c r="T21" s="35"/>
      <c r="U21" s="33"/>
      <c r="V21" s="35">
        <v>31</v>
      </c>
      <c r="W21" s="33">
        <v>31</v>
      </c>
    </row>
    <row r="22" spans="1:23" s="55" customFormat="1" ht="12.75">
      <c r="A22" s="12"/>
      <c r="B22" s="50" t="s">
        <v>24</v>
      </c>
      <c r="C22" s="7"/>
      <c r="D22" s="25"/>
      <c r="E22"/>
      <c r="F22" s="39"/>
      <c r="G22" s="63"/>
      <c r="H22" s="35"/>
      <c r="I22" s="61"/>
      <c r="J22" s="35"/>
      <c r="K22" s="61"/>
      <c r="L22" s="33">
        <v>130</v>
      </c>
      <c r="M22" s="29">
        <v>130</v>
      </c>
      <c r="N22" s="35"/>
      <c r="O22" s="33"/>
      <c r="P22" s="35">
        <v>48</v>
      </c>
      <c r="Q22" s="33">
        <v>48</v>
      </c>
      <c r="R22" s="35">
        <v>6</v>
      </c>
      <c r="S22" s="33">
        <v>6</v>
      </c>
      <c r="T22" s="35"/>
      <c r="U22" s="33"/>
      <c r="V22" s="35"/>
      <c r="W22" s="33"/>
    </row>
    <row r="23" spans="1:23" s="55" customFormat="1" ht="12.75">
      <c r="A23" s="24"/>
      <c r="B23" s="82" t="s">
        <v>135</v>
      </c>
      <c r="C23" s="133"/>
      <c r="D23" s="134"/>
      <c r="E23" s="31"/>
      <c r="F23" s="143"/>
      <c r="G23" s="144"/>
      <c r="H23" s="36"/>
      <c r="I23" s="62"/>
      <c r="J23" s="36">
        <v>131</v>
      </c>
      <c r="K23" s="62">
        <v>131</v>
      </c>
      <c r="L23" s="34">
        <v>220</v>
      </c>
      <c r="M23" s="30">
        <v>220</v>
      </c>
      <c r="N23" s="36">
        <v>150</v>
      </c>
      <c r="O23" s="34">
        <v>150</v>
      </c>
      <c r="P23" s="36">
        <v>235</v>
      </c>
      <c r="Q23" s="34">
        <v>235</v>
      </c>
      <c r="R23" s="36">
        <v>338</v>
      </c>
      <c r="S23" s="34">
        <v>338</v>
      </c>
      <c r="T23" s="36">
        <v>147</v>
      </c>
      <c r="U23" s="34">
        <v>147</v>
      </c>
      <c r="V23" s="36">
        <v>220</v>
      </c>
      <c r="W23" s="34">
        <v>220</v>
      </c>
    </row>
    <row r="24" spans="1:23" s="2" customFormat="1" ht="12.75">
      <c r="A24" s="40" t="s">
        <v>94</v>
      </c>
      <c r="B24" s="41"/>
      <c r="C24" s="41"/>
      <c r="D24" s="42"/>
      <c r="E24" s="45"/>
      <c r="F24" s="43">
        <f aca="true" t="shared" si="4" ref="F24:W24">SUM(F25:F25)</f>
        <v>35</v>
      </c>
      <c r="G24" s="43">
        <f t="shared" si="4"/>
        <v>0</v>
      </c>
      <c r="H24" s="43">
        <f t="shared" si="4"/>
        <v>303</v>
      </c>
      <c r="I24" s="43">
        <f t="shared" si="4"/>
        <v>0</v>
      </c>
      <c r="J24" s="43">
        <f t="shared" si="4"/>
        <v>39</v>
      </c>
      <c r="K24" s="43">
        <f t="shared" si="4"/>
        <v>0</v>
      </c>
      <c r="L24" s="43">
        <f t="shared" si="4"/>
        <v>13</v>
      </c>
      <c r="M24" s="43">
        <f t="shared" si="4"/>
        <v>0</v>
      </c>
      <c r="N24" s="43">
        <f t="shared" si="4"/>
        <v>21</v>
      </c>
      <c r="O24" s="43">
        <f t="shared" si="4"/>
        <v>0</v>
      </c>
      <c r="P24" s="43">
        <f t="shared" si="4"/>
        <v>33</v>
      </c>
      <c r="Q24" s="43">
        <f t="shared" si="4"/>
        <v>33</v>
      </c>
      <c r="R24" s="43">
        <f t="shared" si="4"/>
        <v>42</v>
      </c>
      <c r="S24" s="43">
        <f t="shared" si="4"/>
        <v>42</v>
      </c>
      <c r="T24" s="43">
        <f t="shared" si="4"/>
        <v>61</v>
      </c>
      <c r="U24" s="43">
        <f t="shared" si="4"/>
        <v>61</v>
      </c>
      <c r="V24" s="43">
        <f t="shared" si="4"/>
        <v>52</v>
      </c>
      <c r="W24" s="43">
        <f t="shared" si="4"/>
        <v>52</v>
      </c>
    </row>
    <row r="25" spans="1:23" s="2" customFormat="1" ht="12.75">
      <c r="A25" s="73"/>
      <c r="B25" s="51" t="s">
        <v>31</v>
      </c>
      <c r="C25" s="51"/>
      <c r="D25" s="74"/>
      <c r="F25" s="35">
        <v>35</v>
      </c>
      <c r="G25" s="61"/>
      <c r="H25" s="35">
        <v>303</v>
      </c>
      <c r="I25" s="61"/>
      <c r="J25" s="35">
        <v>39</v>
      </c>
      <c r="K25" s="61"/>
      <c r="L25" s="35">
        <v>13</v>
      </c>
      <c r="M25" s="64"/>
      <c r="N25" s="35">
        <v>21</v>
      </c>
      <c r="O25" s="64"/>
      <c r="P25" s="33">
        <v>33</v>
      </c>
      <c r="Q25" s="29">
        <v>33</v>
      </c>
      <c r="R25" s="33">
        <v>42</v>
      </c>
      <c r="S25" s="29">
        <v>42</v>
      </c>
      <c r="T25" s="33">
        <v>61</v>
      </c>
      <c r="U25" s="29">
        <v>61</v>
      </c>
      <c r="V25" s="33">
        <v>52</v>
      </c>
      <c r="W25" s="29">
        <v>52</v>
      </c>
    </row>
    <row r="26" spans="1:23" s="2" customFormat="1" ht="12.75">
      <c r="A26" s="40" t="s">
        <v>95</v>
      </c>
      <c r="B26" s="41"/>
      <c r="C26" s="41"/>
      <c r="D26" s="42"/>
      <c r="E26" s="45"/>
      <c r="F26" s="43">
        <f aca="true" t="shared" si="5" ref="F26:U26">SUM(F27:F28)</f>
        <v>38</v>
      </c>
      <c r="G26" s="43">
        <f t="shared" si="5"/>
        <v>0</v>
      </c>
      <c r="H26" s="43">
        <f t="shared" si="5"/>
        <v>16</v>
      </c>
      <c r="I26" s="43">
        <f t="shared" si="5"/>
        <v>0</v>
      </c>
      <c r="J26" s="43">
        <f t="shared" si="5"/>
        <v>38</v>
      </c>
      <c r="K26" s="43">
        <f t="shared" si="5"/>
        <v>0</v>
      </c>
      <c r="L26" s="43">
        <f t="shared" si="5"/>
        <v>33</v>
      </c>
      <c r="M26" s="43">
        <f t="shared" si="5"/>
        <v>0</v>
      </c>
      <c r="N26" s="43">
        <f t="shared" si="5"/>
        <v>60</v>
      </c>
      <c r="O26" s="43">
        <f t="shared" si="5"/>
        <v>0</v>
      </c>
      <c r="P26" s="43">
        <f t="shared" si="5"/>
        <v>63</v>
      </c>
      <c r="Q26" s="43">
        <f t="shared" si="5"/>
        <v>0</v>
      </c>
      <c r="R26" s="43">
        <f t="shared" si="5"/>
        <v>36</v>
      </c>
      <c r="S26" s="43">
        <f t="shared" si="5"/>
        <v>0</v>
      </c>
      <c r="T26" s="43">
        <f t="shared" si="5"/>
        <v>36</v>
      </c>
      <c r="U26" s="43">
        <f t="shared" si="5"/>
        <v>0</v>
      </c>
      <c r="V26" s="43">
        <f>SUM(V27:V28)</f>
        <v>37</v>
      </c>
      <c r="W26" s="43">
        <f>SUM(W27:W28)</f>
        <v>0</v>
      </c>
    </row>
    <row r="27" spans="1:23" s="77" customFormat="1" ht="12.75">
      <c r="A27" s="137"/>
      <c r="B27" s="50" t="s">
        <v>28</v>
      </c>
      <c r="C27" s="50"/>
      <c r="D27" s="72"/>
      <c r="F27" s="52">
        <v>1</v>
      </c>
      <c r="G27" s="71"/>
      <c r="H27" s="52">
        <v>1</v>
      </c>
      <c r="I27" s="71"/>
      <c r="J27" s="52"/>
      <c r="K27" s="71"/>
      <c r="L27" s="33"/>
      <c r="M27" s="72"/>
      <c r="N27" s="53"/>
      <c r="O27" s="72"/>
      <c r="P27" s="53"/>
      <c r="Q27" s="72"/>
      <c r="R27" s="53"/>
      <c r="S27" s="72"/>
      <c r="T27" s="53"/>
      <c r="U27" s="72"/>
      <c r="V27" s="53"/>
      <c r="W27" s="72"/>
    </row>
    <row r="28" spans="1:23" s="55" customFormat="1" ht="12.75">
      <c r="A28" s="19"/>
      <c r="B28" s="7" t="s">
        <v>27</v>
      </c>
      <c r="C28" s="7"/>
      <c r="D28" s="20"/>
      <c r="E28"/>
      <c r="F28" s="35">
        <v>37</v>
      </c>
      <c r="G28" s="61"/>
      <c r="H28" s="35">
        <v>15</v>
      </c>
      <c r="I28" s="61"/>
      <c r="J28" s="35">
        <v>38</v>
      </c>
      <c r="K28" s="61"/>
      <c r="L28" s="33">
        <v>33</v>
      </c>
      <c r="M28" s="29"/>
      <c r="N28" s="33">
        <v>60</v>
      </c>
      <c r="O28" s="29"/>
      <c r="P28" s="33">
        <v>63</v>
      </c>
      <c r="Q28" s="29"/>
      <c r="R28" s="33">
        <v>36</v>
      </c>
      <c r="S28" s="29"/>
      <c r="T28" s="33">
        <v>36</v>
      </c>
      <c r="U28" s="29"/>
      <c r="V28" s="33">
        <v>37</v>
      </c>
      <c r="W28" s="29"/>
    </row>
    <row r="29" spans="1:23" s="2" customFormat="1" ht="12.75">
      <c r="A29" s="40" t="s">
        <v>109</v>
      </c>
      <c r="B29" s="41"/>
      <c r="C29" s="41"/>
      <c r="D29" s="42"/>
      <c r="E29" s="45"/>
      <c r="F29" s="43">
        <f aca="true" t="shared" si="6" ref="F29:W29">SUM(F30:F32)</f>
        <v>431</v>
      </c>
      <c r="G29" s="43">
        <f t="shared" si="6"/>
        <v>0</v>
      </c>
      <c r="H29" s="43">
        <f t="shared" si="6"/>
        <v>1053</v>
      </c>
      <c r="I29" s="43">
        <f t="shared" si="6"/>
        <v>0</v>
      </c>
      <c r="J29" s="43">
        <f t="shared" si="6"/>
        <v>1136</v>
      </c>
      <c r="K29" s="43">
        <f t="shared" si="6"/>
        <v>0</v>
      </c>
      <c r="L29" s="43">
        <f t="shared" si="6"/>
        <v>1305</v>
      </c>
      <c r="M29" s="43">
        <f t="shared" si="6"/>
        <v>8</v>
      </c>
      <c r="N29" s="43">
        <f t="shared" si="6"/>
        <v>875</v>
      </c>
      <c r="O29" s="43">
        <f t="shared" si="6"/>
        <v>0</v>
      </c>
      <c r="P29" s="43">
        <f t="shared" si="6"/>
        <v>704</v>
      </c>
      <c r="Q29" s="43">
        <f t="shared" si="6"/>
        <v>7</v>
      </c>
      <c r="R29" s="43">
        <f t="shared" si="6"/>
        <v>97</v>
      </c>
      <c r="S29" s="43">
        <f t="shared" si="6"/>
        <v>7</v>
      </c>
      <c r="T29" s="43">
        <f t="shared" si="6"/>
        <v>110</v>
      </c>
      <c r="U29" s="43">
        <f t="shared" si="6"/>
        <v>9</v>
      </c>
      <c r="V29" s="43">
        <f t="shared" si="6"/>
        <v>76</v>
      </c>
      <c r="W29" s="43">
        <f t="shared" si="6"/>
        <v>0</v>
      </c>
    </row>
    <row r="30" spans="1:23" s="2" customFormat="1" ht="12.75">
      <c r="A30" s="73"/>
      <c r="B30" s="51" t="s">
        <v>67</v>
      </c>
      <c r="C30" s="51"/>
      <c r="D30" s="74"/>
      <c r="F30" s="53"/>
      <c r="G30" s="65"/>
      <c r="H30" s="53"/>
      <c r="I30" s="65"/>
      <c r="J30" s="53"/>
      <c r="K30" s="65"/>
      <c r="L30" s="33"/>
      <c r="M30" s="72"/>
      <c r="N30" s="53"/>
      <c r="O30" s="72"/>
      <c r="P30" s="53">
        <v>51</v>
      </c>
      <c r="Q30" s="72"/>
      <c r="R30" s="53">
        <v>54</v>
      </c>
      <c r="S30" s="72"/>
      <c r="T30" s="53">
        <v>76</v>
      </c>
      <c r="U30" s="72"/>
      <c r="V30" s="53">
        <v>56</v>
      </c>
      <c r="W30" s="72"/>
    </row>
    <row r="31" spans="1:23" s="2" customFormat="1" ht="12.75">
      <c r="A31" s="73"/>
      <c r="B31" s="51" t="s">
        <v>31</v>
      </c>
      <c r="C31" s="51"/>
      <c r="D31" s="74"/>
      <c r="F31" s="35">
        <v>156</v>
      </c>
      <c r="G31" s="61"/>
      <c r="H31" s="35">
        <v>212</v>
      </c>
      <c r="I31" s="61"/>
      <c r="J31" s="35">
        <v>722</v>
      </c>
      <c r="K31" s="61"/>
      <c r="L31" s="35">
        <v>771</v>
      </c>
      <c r="M31" s="64"/>
      <c r="N31" s="35">
        <v>575</v>
      </c>
      <c r="O31" s="64"/>
      <c r="P31" s="35">
        <v>646</v>
      </c>
      <c r="Q31" s="64"/>
      <c r="R31" s="35">
        <v>36</v>
      </c>
      <c r="S31" s="64"/>
      <c r="T31" s="35">
        <v>25</v>
      </c>
      <c r="U31" s="64"/>
      <c r="V31" s="35">
        <v>20</v>
      </c>
      <c r="W31" s="64"/>
    </row>
    <row r="32" spans="1:23" s="2" customFormat="1" ht="12.75">
      <c r="A32" s="81"/>
      <c r="B32" s="82" t="s">
        <v>23</v>
      </c>
      <c r="C32" s="82"/>
      <c r="D32" s="83"/>
      <c r="F32" s="53">
        <v>275</v>
      </c>
      <c r="G32" s="65"/>
      <c r="H32" s="53">
        <f>516+325</f>
        <v>841</v>
      </c>
      <c r="I32" s="65"/>
      <c r="J32" s="53">
        <v>414</v>
      </c>
      <c r="K32" s="65"/>
      <c r="L32" s="33">
        <f>526+8</f>
        <v>534</v>
      </c>
      <c r="M32" s="72">
        <v>8</v>
      </c>
      <c r="N32" s="53">
        <v>300</v>
      </c>
      <c r="O32" s="72"/>
      <c r="P32" s="53">
        <v>7</v>
      </c>
      <c r="Q32" s="72">
        <v>7</v>
      </c>
      <c r="R32" s="53">
        <v>7</v>
      </c>
      <c r="S32" s="72">
        <v>7</v>
      </c>
      <c r="T32" s="53">
        <v>9</v>
      </c>
      <c r="U32" s="72">
        <v>9</v>
      </c>
      <c r="V32" s="53"/>
      <c r="W32" s="72"/>
    </row>
    <row r="33" spans="1:23" s="2" customFormat="1" ht="12.75">
      <c r="A33" s="120" t="s">
        <v>1</v>
      </c>
      <c r="B33" s="121"/>
      <c r="C33" s="121"/>
      <c r="D33" s="122"/>
      <c r="E33" s="45"/>
      <c r="F33" s="47">
        <f aca="true" t="shared" si="7" ref="F33:U33">SUM(F34:F40)</f>
        <v>3902</v>
      </c>
      <c r="G33" s="47">
        <f t="shared" si="7"/>
        <v>41</v>
      </c>
      <c r="H33" s="47">
        <f t="shared" si="7"/>
        <v>3501</v>
      </c>
      <c r="I33" s="47">
        <f t="shared" si="7"/>
        <v>41</v>
      </c>
      <c r="J33" s="47">
        <f t="shared" si="7"/>
        <v>6419</v>
      </c>
      <c r="K33" s="47">
        <f t="shared" si="7"/>
        <v>33</v>
      </c>
      <c r="L33" s="47">
        <f t="shared" si="7"/>
        <v>6071</v>
      </c>
      <c r="M33" s="47">
        <f t="shared" si="7"/>
        <v>25</v>
      </c>
      <c r="N33" s="47">
        <f t="shared" si="7"/>
        <v>6156</v>
      </c>
      <c r="O33" s="47">
        <f t="shared" si="7"/>
        <v>84</v>
      </c>
      <c r="P33" s="47">
        <f t="shared" si="7"/>
        <v>3994</v>
      </c>
      <c r="Q33" s="47">
        <f t="shared" si="7"/>
        <v>63</v>
      </c>
      <c r="R33" s="47">
        <f t="shared" si="7"/>
        <v>8008</v>
      </c>
      <c r="S33" s="47">
        <f t="shared" si="7"/>
        <v>56</v>
      </c>
      <c r="T33" s="47">
        <f t="shared" si="7"/>
        <v>7870</v>
      </c>
      <c r="U33" s="47">
        <f t="shared" si="7"/>
        <v>78</v>
      </c>
      <c r="V33" s="47">
        <f>SUM(V34:V40)</f>
        <v>7641</v>
      </c>
      <c r="W33" s="47">
        <f>SUM(W34:W40)</f>
        <v>149</v>
      </c>
    </row>
    <row r="34" spans="1:23" s="2" customFormat="1" ht="12.75">
      <c r="A34" s="69"/>
      <c r="B34" s="51" t="s">
        <v>26</v>
      </c>
      <c r="C34" s="51"/>
      <c r="D34" s="70"/>
      <c r="F34" s="52">
        <v>65</v>
      </c>
      <c r="G34" s="71"/>
      <c r="H34" s="53">
        <v>100</v>
      </c>
      <c r="I34" s="65"/>
      <c r="J34" s="52">
        <v>113</v>
      </c>
      <c r="K34" s="71"/>
      <c r="L34" s="33">
        <v>40</v>
      </c>
      <c r="M34" s="72"/>
      <c r="N34" s="53">
        <v>719</v>
      </c>
      <c r="O34" s="72"/>
      <c r="P34" s="53">
        <v>23</v>
      </c>
      <c r="Q34" s="72"/>
      <c r="R34" s="53">
        <v>14</v>
      </c>
      <c r="S34" s="72"/>
      <c r="T34" s="53">
        <v>14</v>
      </c>
      <c r="U34" s="72"/>
      <c r="V34" s="53">
        <v>23</v>
      </c>
      <c r="W34" s="72"/>
    </row>
    <row r="35" spans="1:23" s="2" customFormat="1" ht="12.75">
      <c r="A35" s="22"/>
      <c r="B35" s="13" t="s">
        <v>31</v>
      </c>
      <c r="C35" s="13"/>
      <c r="D35" s="14"/>
      <c r="E35"/>
      <c r="F35" s="35">
        <f>1499+41</f>
        <v>1540</v>
      </c>
      <c r="G35" s="61">
        <v>41</v>
      </c>
      <c r="H35" s="35">
        <f>123+41</f>
        <v>164</v>
      </c>
      <c r="I35" s="61">
        <v>41</v>
      </c>
      <c r="J35" s="35">
        <f>3046+33</f>
        <v>3079</v>
      </c>
      <c r="K35" s="61">
        <v>33</v>
      </c>
      <c r="L35" s="33">
        <f>2690+25</f>
        <v>2715</v>
      </c>
      <c r="M35" s="29">
        <v>25</v>
      </c>
      <c r="N35" s="33">
        <f>2089-58+84</f>
        <v>2115</v>
      </c>
      <c r="O35" s="117">
        <v>84</v>
      </c>
      <c r="P35" s="33">
        <f>593+63</f>
        <v>656</v>
      </c>
      <c r="Q35" s="117">
        <v>63</v>
      </c>
      <c r="R35" s="33">
        <f>749+56</f>
        <v>805</v>
      </c>
      <c r="S35" s="117">
        <v>56</v>
      </c>
      <c r="T35" s="33">
        <f>874+78</f>
        <v>952</v>
      </c>
      <c r="U35" s="117">
        <v>78</v>
      </c>
      <c r="V35" s="33">
        <f>1332+149</f>
        <v>1481</v>
      </c>
      <c r="W35" s="117">
        <v>149</v>
      </c>
    </row>
    <row r="36" spans="1:23" s="2" customFormat="1" ht="12.75">
      <c r="A36" s="22"/>
      <c r="B36" s="51" t="s">
        <v>40</v>
      </c>
      <c r="C36" s="51"/>
      <c r="D36" s="14"/>
      <c r="E36"/>
      <c r="F36" s="35">
        <v>120</v>
      </c>
      <c r="G36" s="61"/>
      <c r="H36" s="35">
        <v>129</v>
      </c>
      <c r="I36" s="61"/>
      <c r="J36" s="35">
        <v>119</v>
      </c>
      <c r="K36" s="61"/>
      <c r="L36" s="33">
        <v>144</v>
      </c>
      <c r="M36" s="29"/>
      <c r="N36" s="33">
        <v>130</v>
      </c>
      <c r="O36" s="29"/>
      <c r="P36" s="33">
        <v>123</v>
      </c>
      <c r="Q36" s="29"/>
      <c r="R36" s="33">
        <v>120</v>
      </c>
      <c r="S36" s="29"/>
      <c r="T36" s="33"/>
      <c r="U36" s="29"/>
      <c r="V36" s="33"/>
      <c r="W36" s="29"/>
    </row>
    <row r="37" spans="1:23" s="2" customFormat="1" ht="12.75">
      <c r="A37" s="22"/>
      <c r="B37" s="51" t="s">
        <v>25</v>
      </c>
      <c r="C37" s="51"/>
      <c r="D37" s="14"/>
      <c r="E37"/>
      <c r="F37" s="35">
        <v>62</v>
      </c>
      <c r="G37" s="61"/>
      <c r="H37" s="35"/>
      <c r="I37" s="61"/>
      <c r="J37" s="35"/>
      <c r="K37" s="61"/>
      <c r="L37" s="33"/>
      <c r="M37" s="29"/>
      <c r="N37" s="33"/>
      <c r="O37" s="29"/>
      <c r="P37" s="33"/>
      <c r="Q37" s="29"/>
      <c r="R37" s="33"/>
      <c r="S37" s="29"/>
      <c r="T37" s="33"/>
      <c r="U37" s="29"/>
      <c r="V37" s="33"/>
      <c r="W37" s="29"/>
    </row>
    <row r="38" spans="1:23" s="2" customFormat="1" ht="12.75">
      <c r="A38" s="22"/>
      <c r="B38" s="51" t="s">
        <v>80</v>
      </c>
      <c r="C38" s="51"/>
      <c r="D38" s="14"/>
      <c r="E38"/>
      <c r="F38" s="35"/>
      <c r="G38" s="61"/>
      <c r="H38" s="35"/>
      <c r="I38" s="61"/>
      <c r="J38" s="35"/>
      <c r="K38" s="61"/>
      <c r="L38" s="33"/>
      <c r="M38" s="29"/>
      <c r="N38" s="33"/>
      <c r="O38" s="29"/>
      <c r="P38" s="33"/>
      <c r="Q38" s="29"/>
      <c r="R38" s="33"/>
      <c r="S38" s="29"/>
      <c r="T38" s="33">
        <v>382</v>
      </c>
      <c r="U38" s="29"/>
      <c r="V38" s="33"/>
      <c r="W38" s="29"/>
    </row>
    <row r="39" spans="1:23" s="2" customFormat="1" ht="12.75">
      <c r="A39" s="22"/>
      <c r="B39" s="13" t="s">
        <v>44</v>
      </c>
      <c r="C39" s="51"/>
      <c r="D39" s="14"/>
      <c r="E39"/>
      <c r="F39" s="35"/>
      <c r="G39" s="61"/>
      <c r="H39" s="35"/>
      <c r="I39" s="61"/>
      <c r="J39" s="35"/>
      <c r="K39" s="61"/>
      <c r="L39" s="33"/>
      <c r="M39" s="29"/>
      <c r="N39" s="33"/>
      <c r="O39" s="29"/>
      <c r="P39" s="33"/>
      <c r="Q39" s="29"/>
      <c r="R39" s="33"/>
      <c r="S39" s="29"/>
      <c r="T39" s="33"/>
      <c r="U39" s="29"/>
      <c r="V39" s="33">
        <v>1004</v>
      </c>
      <c r="W39" s="29"/>
    </row>
    <row r="40" spans="1:23" s="2" customFormat="1" ht="12.75">
      <c r="A40" s="22"/>
      <c r="B40" s="51" t="s">
        <v>74</v>
      </c>
      <c r="C40" s="51"/>
      <c r="D40" s="14"/>
      <c r="E40"/>
      <c r="F40" s="36">
        <v>2115</v>
      </c>
      <c r="G40" s="62"/>
      <c r="H40" s="36">
        <v>3108</v>
      </c>
      <c r="I40" s="62"/>
      <c r="J40" s="36">
        <v>3108</v>
      </c>
      <c r="K40" s="62"/>
      <c r="L40" s="34">
        <v>3172</v>
      </c>
      <c r="M40" s="30"/>
      <c r="N40" s="34">
        <v>3192</v>
      </c>
      <c r="O40" s="30"/>
      <c r="P40" s="34">
        <v>3192</v>
      </c>
      <c r="Q40" s="30"/>
      <c r="R40" s="34">
        <f>6190+879</f>
        <v>7069</v>
      </c>
      <c r="S40" s="30"/>
      <c r="T40" s="34">
        <f>434+6088</f>
        <v>6522</v>
      </c>
      <c r="U40" s="30"/>
      <c r="V40" s="34">
        <f>1073+4060</f>
        <v>5133</v>
      </c>
      <c r="W40" s="30"/>
    </row>
    <row r="41" spans="1:23" s="2" customFormat="1" ht="12.75">
      <c r="A41" s="40" t="s">
        <v>2</v>
      </c>
      <c r="B41" s="41"/>
      <c r="C41" s="41"/>
      <c r="D41" s="42"/>
      <c r="E41" s="45"/>
      <c r="F41" s="49">
        <f aca="true" t="shared" si="8" ref="F41:U41">SUM(F42:F44)</f>
        <v>1385</v>
      </c>
      <c r="G41" s="49">
        <f t="shared" si="8"/>
        <v>0</v>
      </c>
      <c r="H41" s="49">
        <f t="shared" si="8"/>
        <v>1907</v>
      </c>
      <c r="I41" s="49">
        <f t="shared" si="8"/>
        <v>0</v>
      </c>
      <c r="J41" s="49">
        <f t="shared" si="8"/>
        <v>1578</v>
      </c>
      <c r="K41" s="49">
        <f t="shared" si="8"/>
        <v>0</v>
      </c>
      <c r="L41" s="49">
        <f t="shared" si="8"/>
        <v>2119</v>
      </c>
      <c r="M41" s="49">
        <f t="shared" si="8"/>
        <v>0</v>
      </c>
      <c r="N41" s="49">
        <f t="shared" si="8"/>
        <v>1211</v>
      </c>
      <c r="O41" s="49">
        <f t="shared" si="8"/>
        <v>0</v>
      </c>
      <c r="P41" s="49">
        <f t="shared" si="8"/>
        <v>1466</v>
      </c>
      <c r="Q41" s="49">
        <f t="shared" si="8"/>
        <v>38</v>
      </c>
      <c r="R41" s="49">
        <f t="shared" si="8"/>
        <v>1133</v>
      </c>
      <c r="S41" s="49">
        <f t="shared" si="8"/>
        <v>0</v>
      </c>
      <c r="T41" s="49">
        <f t="shared" si="8"/>
        <v>1750</v>
      </c>
      <c r="U41" s="49">
        <f t="shared" si="8"/>
        <v>0</v>
      </c>
      <c r="V41" s="49">
        <f>SUM(V42:V44)</f>
        <v>2017</v>
      </c>
      <c r="W41" s="49">
        <f>SUM(W42:W44)</f>
        <v>0</v>
      </c>
    </row>
    <row r="42" spans="1:23" s="2" customFormat="1" ht="12.75">
      <c r="A42" s="73"/>
      <c r="B42" s="13" t="s">
        <v>31</v>
      </c>
      <c r="C42" s="13"/>
      <c r="D42" s="74"/>
      <c r="F42" s="52">
        <f>723+657</f>
        <v>1380</v>
      </c>
      <c r="G42" s="71"/>
      <c r="H42" s="53">
        <f>568+1333</f>
        <v>1901</v>
      </c>
      <c r="I42" s="65"/>
      <c r="J42" s="52">
        <f>516+1060</f>
        <v>1576</v>
      </c>
      <c r="K42" s="71"/>
      <c r="L42" s="33">
        <f>516+1581</f>
        <v>2097</v>
      </c>
      <c r="M42" s="72"/>
      <c r="N42" s="52">
        <v>1206</v>
      </c>
      <c r="O42" s="72"/>
      <c r="P42" s="52">
        <v>1421</v>
      </c>
      <c r="Q42" s="72"/>
      <c r="R42" s="52">
        <v>1114</v>
      </c>
      <c r="S42" s="72"/>
      <c r="T42" s="52">
        <v>1750</v>
      </c>
      <c r="U42" s="72"/>
      <c r="V42" s="52">
        <v>2017</v>
      </c>
      <c r="W42" s="72"/>
    </row>
    <row r="43" spans="1:23" s="2" customFormat="1" ht="12.75">
      <c r="A43" s="73"/>
      <c r="B43" s="51" t="s">
        <v>26</v>
      </c>
      <c r="C43" s="51"/>
      <c r="D43" s="74"/>
      <c r="F43" s="52">
        <v>5</v>
      </c>
      <c r="G43" s="71"/>
      <c r="H43" s="52">
        <v>6</v>
      </c>
      <c r="I43" s="71"/>
      <c r="J43" s="52">
        <v>2</v>
      </c>
      <c r="K43" s="71"/>
      <c r="L43" s="33">
        <v>22</v>
      </c>
      <c r="M43" s="72"/>
      <c r="N43" s="52">
        <v>5</v>
      </c>
      <c r="O43" s="72"/>
      <c r="P43" s="52">
        <v>7</v>
      </c>
      <c r="Q43" s="72"/>
      <c r="R43" s="52">
        <v>19</v>
      </c>
      <c r="S43" s="72"/>
      <c r="T43" s="52"/>
      <c r="U43" s="72"/>
      <c r="V43" s="52"/>
      <c r="W43" s="72"/>
    </row>
    <row r="44" spans="1:23" s="2" customFormat="1" ht="12.75">
      <c r="A44" s="73"/>
      <c r="B44" s="51" t="s">
        <v>80</v>
      </c>
      <c r="C44" s="51"/>
      <c r="D44" s="74"/>
      <c r="F44" s="52"/>
      <c r="G44" s="71"/>
      <c r="H44" s="52"/>
      <c r="I44" s="71"/>
      <c r="J44" s="52"/>
      <c r="K44" s="71"/>
      <c r="L44" s="33"/>
      <c r="M44" s="72"/>
      <c r="N44" s="52"/>
      <c r="O44" s="72"/>
      <c r="P44" s="52">
        <v>38</v>
      </c>
      <c r="Q44" s="72">
        <v>38</v>
      </c>
      <c r="R44" s="52"/>
      <c r="S44" s="72"/>
      <c r="T44" s="52"/>
      <c r="U44" s="72"/>
      <c r="V44" s="52"/>
      <c r="W44" s="72"/>
    </row>
    <row r="45" spans="1:23" s="2" customFormat="1" ht="12.75">
      <c r="A45" s="40" t="s">
        <v>96</v>
      </c>
      <c r="B45" s="41"/>
      <c r="C45" s="41"/>
      <c r="D45" s="42"/>
      <c r="E45" s="45"/>
      <c r="F45" s="43">
        <f aca="true" t="shared" si="9" ref="F45:U45">SUM(F46:F51)</f>
        <v>484</v>
      </c>
      <c r="G45" s="43">
        <f t="shared" si="9"/>
        <v>0</v>
      </c>
      <c r="H45" s="43">
        <f t="shared" si="9"/>
        <v>327</v>
      </c>
      <c r="I45" s="43">
        <f t="shared" si="9"/>
        <v>0</v>
      </c>
      <c r="J45" s="43">
        <f t="shared" si="9"/>
        <v>427</v>
      </c>
      <c r="K45" s="43">
        <f t="shared" si="9"/>
        <v>0</v>
      </c>
      <c r="L45" s="43">
        <f t="shared" si="9"/>
        <v>288</v>
      </c>
      <c r="M45" s="43">
        <f t="shared" si="9"/>
        <v>0</v>
      </c>
      <c r="N45" s="43">
        <f t="shared" si="9"/>
        <v>254</v>
      </c>
      <c r="O45" s="43">
        <f t="shared" si="9"/>
        <v>113</v>
      </c>
      <c r="P45" s="43">
        <f t="shared" si="9"/>
        <v>714</v>
      </c>
      <c r="Q45" s="43">
        <f t="shared" si="9"/>
        <v>620</v>
      </c>
      <c r="R45" s="43">
        <f t="shared" si="9"/>
        <v>518</v>
      </c>
      <c r="S45" s="43">
        <f t="shared" si="9"/>
        <v>404</v>
      </c>
      <c r="T45" s="43">
        <f t="shared" si="9"/>
        <v>179</v>
      </c>
      <c r="U45" s="43">
        <f t="shared" si="9"/>
        <v>78</v>
      </c>
      <c r="V45" s="43">
        <f>SUM(V46:V51)</f>
        <v>101</v>
      </c>
      <c r="W45" s="43">
        <f>SUM(W46:W51)</f>
        <v>20</v>
      </c>
    </row>
    <row r="46" spans="1:23" s="55" customFormat="1" ht="12.75">
      <c r="A46" s="73"/>
      <c r="B46" s="51" t="s">
        <v>60</v>
      </c>
      <c r="C46" s="51"/>
      <c r="D46" s="74"/>
      <c r="E46" s="2"/>
      <c r="F46" s="53">
        <v>210</v>
      </c>
      <c r="G46" s="65"/>
      <c r="H46" s="53">
        <v>204</v>
      </c>
      <c r="I46" s="65"/>
      <c r="J46" s="52">
        <v>193</v>
      </c>
      <c r="K46" s="71"/>
      <c r="L46" s="33">
        <v>190</v>
      </c>
      <c r="M46" s="72"/>
      <c r="N46" s="52">
        <v>38</v>
      </c>
      <c r="O46" s="72"/>
      <c r="P46" s="52">
        <v>8</v>
      </c>
      <c r="Q46" s="72"/>
      <c r="R46" s="52">
        <v>2</v>
      </c>
      <c r="S46" s="72"/>
      <c r="T46" s="52">
        <v>7</v>
      </c>
      <c r="U46" s="72"/>
      <c r="V46" s="52">
        <v>3</v>
      </c>
      <c r="W46" s="72"/>
    </row>
    <row r="47" spans="1:23" s="55" customFormat="1" ht="12.75">
      <c r="A47" s="73"/>
      <c r="B47" s="51" t="s">
        <v>61</v>
      </c>
      <c r="C47" s="51"/>
      <c r="D47" s="74"/>
      <c r="E47" s="2"/>
      <c r="F47" s="53">
        <v>274</v>
      </c>
      <c r="G47" s="65"/>
      <c r="H47" s="53">
        <v>123</v>
      </c>
      <c r="I47" s="65"/>
      <c r="J47" s="52">
        <v>234</v>
      </c>
      <c r="K47" s="71"/>
      <c r="L47" s="33">
        <v>98</v>
      </c>
      <c r="M47" s="72"/>
      <c r="N47" s="52">
        <v>103</v>
      </c>
      <c r="O47" s="72"/>
      <c r="P47" s="52">
        <v>86</v>
      </c>
      <c r="Q47" s="72"/>
      <c r="R47" s="52">
        <v>112</v>
      </c>
      <c r="S47" s="72"/>
      <c r="T47" s="52">
        <v>94</v>
      </c>
      <c r="U47" s="72"/>
      <c r="V47" s="52">
        <v>78</v>
      </c>
      <c r="W47" s="72"/>
    </row>
    <row r="48" spans="1:23" s="55" customFormat="1" ht="12.75">
      <c r="A48" s="73"/>
      <c r="B48" s="13" t="s">
        <v>73</v>
      </c>
      <c r="C48" s="51"/>
      <c r="D48" s="74"/>
      <c r="E48" s="2"/>
      <c r="F48" s="53"/>
      <c r="G48" s="65"/>
      <c r="H48" s="53"/>
      <c r="I48" s="65"/>
      <c r="J48" s="52"/>
      <c r="K48" s="71"/>
      <c r="L48" s="33"/>
      <c r="M48" s="72"/>
      <c r="N48" s="52"/>
      <c r="O48" s="72"/>
      <c r="P48" s="52"/>
      <c r="Q48" s="72"/>
      <c r="R48" s="52"/>
      <c r="S48" s="72"/>
      <c r="T48" s="52">
        <v>78</v>
      </c>
      <c r="U48" s="72">
        <v>78</v>
      </c>
      <c r="V48" s="52"/>
      <c r="W48" s="72"/>
    </row>
    <row r="49" spans="1:23" s="55" customFormat="1" ht="12.75">
      <c r="A49" s="73"/>
      <c r="B49" s="51" t="s">
        <v>23</v>
      </c>
      <c r="C49" s="51"/>
      <c r="D49" s="74"/>
      <c r="E49" s="2"/>
      <c r="F49" s="53"/>
      <c r="G49" s="65"/>
      <c r="H49" s="53"/>
      <c r="I49" s="65"/>
      <c r="J49" s="52"/>
      <c r="K49" s="71"/>
      <c r="L49" s="33"/>
      <c r="M49" s="72"/>
      <c r="N49" s="52"/>
      <c r="O49" s="72"/>
      <c r="P49" s="52"/>
      <c r="Q49" s="72"/>
      <c r="R49" s="52"/>
      <c r="S49" s="72"/>
      <c r="T49" s="52"/>
      <c r="U49" s="72"/>
      <c r="V49" s="52">
        <v>20</v>
      </c>
      <c r="W49" s="72">
        <v>20</v>
      </c>
    </row>
    <row r="50" spans="1:23" s="2" customFormat="1" ht="12.75">
      <c r="A50" s="73"/>
      <c r="B50" s="51" t="s">
        <v>74</v>
      </c>
      <c r="C50" s="51"/>
      <c r="D50" s="74"/>
      <c r="F50" s="53"/>
      <c r="G50" s="65"/>
      <c r="H50" s="53"/>
      <c r="I50" s="65"/>
      <c r="J50" s="52"/>
      <c r="K50" s="71"/>
      <c r="L50" s="33"/>
      <c r="M50" s="72"/>
      <c r="N50" s="52">
        <v>62</v>
      </c>
      <c r="O50" s="72">
        <v>62</v>
      </c>
      <c r="P50" s="52">
        <v>620</v>
      </c>
      <c r="Q50" s="72">
        <v>620</v>
      </c>
      <c r="R50" s="52">
        <v>404</v>
      </c>
      <c r="S50" s="72">
        <v>404</v>
      </c>
      <c r="T50" s="52"/>
      <c r="U50" s="72"/>
      <c r="V50" s="52"/>
      <c r="W50" s="72"/>
    </row>
    <row r="51" spans="1:23" s="2" customFormat="1" ht="12.75">
      <c r="A51" s="81"/>
      <c r="B51" s="23" t="s">
        <v>135</v>
      </c>
      <c r="C51" s="23"/>
      <c r="D51" s="83"/>
      <c r="F51" s="54"/>
      <c r="G51" s="79"/>
      <c r="H51" s="54"/>
      <c r="I51" s="79"/>
      <c r="J51" s="95"/>
      <c r="K51" s="96"/>
      <c r="L51" s="34"/>
      <c r="M51" s="84"/>
      <c r="N51" s="95">
        <v>51</v>
      </c>
      <c r="O51" s="118">
        <v>51</v>
      </c>
      <c r="P51" s="95"/>
      <c r="Q51" s="118"/>
      <c r="R51" s="95"/>
      <c r="S51" s="118"/>
      <c r="T51" s="95"/>
      <c r="U51" s="118"/>
      <c r="V51" s="95"/>
      <c r="W51" s="118"/>
    </row>
    <row r="52" spans="1:23" s="2" customFormat="1" ht="12.75">
      <c r="A52" s="124" t="s">
        <v>110</v>
      </c>
      <c r="B52" s="125"/>
      <c r="C52" s="125"/>
      <c r="D52" s="126"/>
      <c r="E52" s="127"/>
      <c r="F52" s="129">
        <f aca="true" t="shared" si="10" ref="F52:W52">+F53+F73+F96</f>
        <v>339962</v>
      </c>
      <c r="G52" s="129">
        <f t="shared" si="10"/>
        <v>3</v>
      </c>
      <c r="H52" s="129">
        <f t="shared" si="10"/>
        <v>348088</v>
      </c>
      <c r="I52" s="129">
        <f t="shared" si="10"/>
        <v>2</v>
      </c>
      <c r="J52" s="129">
        <f t="shared" si="10"/>
        <v>339545</v>
      </c>
      <c r="K52" s="129">
        <f t="shared" si="10"/>
        <v>2</v>
      </c>
      <c r="L52" s="129">
        <f t="shared" si="10"/>
        <v>348373</v>
      </c>
      <c r="M52" s="129">
        <f t="shared" si="10"/>
        <v>3</v>
      </c>
      <c r="N52" s="129">
        <f t="shared" si="10"/>
        <v>347842</v>
      </c>
      <c r="O52" s="129">
        <f t="shared" si="10"/>
        <v>415</v>
      </c>
      <c r="P52" s="129">
        <f t="shared" si="10"/>
        <v>375214</v>
      </c>
      <c r="Q52" s="129">
        <f t="shared" si="10"/>
        <v>2749</v>
      </c>
      <c r="R52" s="129">
        <f t="shared" si="10"/>
        <v>399642</v>
      </c>
      <c r="S52" s="129">
        <f t="shared" si="10"/>
        <v>891</v>
      </c>
      <c r="T52" s="129">
        <f t="shared" si="10"/>
        <v>395117</v>
      </c>
      <c r="U52" s="129">
        <f t="shared" si="10"/>
        <v>555</v>
      </c>
      <c r="V52" s="129">
        <f t="shared" si="10"/>
        <v>400539</v>
      </c>
      <c r="W52" s="129">
        <f t="shared" si="10"/>
        <v>1054</v>
      </c>
    </row>
    <row r="53" spans="1:23" s="2" customFormat="1" ht="12.75">
      <c r="A53" s="73"/>
      <c r="B53" s="78" t="s">
        <v>32</v>
      </c>
      <c r="C53" s="78"/>
      <c r="D53" s="74"/>
      <c r="F53" s="87">
        <f aca="true" t="shared" si="11" ref="F53:S53">SUM(F54:F71)</f>
        <v>126777</v>
      </c>
      <c r="G53" s="87">
        <f t="shared" si="11"/>
        <v>3</v>
      </c>
      <c r="H53" s="87">
        <f t="shared" si="11"/>
        <v>124680</v>
      </c>
      <c r="I53" s="87">
        <f t="shared" si="11"/>
        <v>2</v>
      </c>
      <c r="J53" s="87">
        <f t="shared" si="11"/>
        <v>116565</v>
      </c>
      <c r="K53" s="87">
        <f t="shared" si="11"/>
        <v>2</v>
      </c>
      <c r="L53" s="87">
        <f t="shared" si="11"/>
        <v>113527</v>
      </c>
      <c r="M53" s="87">
        <f t="shared" si="11"/>
        <v>2</v>
      </c>
      <c r="N53" s="87">
        <f t="shared" si="11"/>
        <v>123166</v>
      </c>
      <c r="O53" s="87">
        <f t="shared" si="11"/>
        <v>26</v>
      </c>
      <c r="P53" s="87">
        <f t="shared" si="11"/>
        <v>130203</v>
      </c>
      <c r="Q53" s="87">
        <f t="shared" si="11"/>
        <v>10</v>
      </c>
      <c r="R53" s="87">
        <f t="shared" si="11"/>
        <v>143371</v>
      </c>
      <c r="S53" s="87">
        <f t="shared" si="11"/>
        <v>6</v>
      </c>
      <c r="T53" s="87">
        <f>SUM(T54:T72)</f>
        <v>130928</v>
      </c>
      <c r="U53" s="87">
        <f>SUM(U54:U72)</f>
        <v>2</v>
      </c>
      <c r="V53" s="87">
        <f>SUM(V54:V72)</f>
        <v>134114</v>
      </c>
      <c r="W53" s="87">
        <f>SUM(W54:W72)</f>
        <v>2</v>
      </c>
    </row>
    <row r="54" spans="1:23" s="2" customFormat="1" ht="12.75">
      <c r="A54" s="145"/>
      <c r="C54" s="13" t="s">
        <v>33</v>
      </c>
      <c r="D54" s="70"/>
      <c r="F54" s="116">
        <v>61649</v>
      </c>
      <c r="G54" s="116"/>
      <c r="H54" s="139">
        <v>59440</v>
      </c>
      <c r="I54" s="116"/>
      <c r="J54" s="116">
        <v>58487</v>
      </c>
      <c r="K54" s="116"/>
      <c r="L54" s="139">
        <v>52570</v>
      </c>
      <c r="M54" s="116"/>
      <c r="N54" s="116">
        <v>69381</v>
      </c>
      <c r="O54" s="116"/>
      <c r="P54" s="116">
        <v>5982</v>
      </c>
      <c r="Q54" s="116"/>
      <c r="R54" s="116"/>
      <c r="S54" s="116"/>
      <c r="T54" s="116">
        <v>463</v>
      </c>
      <c r="U54" s="116"/>
      <c r="V54" s="116">
        <v>8152</v>
      </c>
      <c r="W54" s="116"/>
    </row>
    <row r="55" spans="1:23" s="2" customFormat="1" ht="12.75">
      <c r="A55" s="145"/>
      <c r="C55" s="13" t="s">
        <v>98</v>
      </c>
      <c r="D55" s="70"/>
      <c r="F55" s="116"/>
      <c r="G55" s="109"/>
      <c r="H55" s="139"/>
      <c r="I55" s="109"/>
      <c r="J55" s="116"/>
      <c r="K55" s="109"/>
      <c r="L55" s="139"/>
      <c r="M55" s="109"/>
      <c r="N55" s="116"/>
      <c r="O55" s="109"/>
      <c r="P55" s="116">
        <v>64952</v>
      </c>
      <c r="Q55" s="109"/>
      <c r="R55" s="116">
        <v>91870</v>
      </c>
      <c r="S55" s="109"/>
      <c r="T55" s="116">
        <v>93361</v>
      </c>
      <c r="U55" s="109"/>
      <c r="V55" s="116">
        <v>92691</v>
      </c>
      <c r="W55" s="109"/>
    </row>
    <row r="56" spans="1:23" s="2" customFormat="1" ht="12.75">
      <c r="A56" s="145"/>
      <c r="C56" s="13" t="s">
        <v>34</v>
      </c>
      <c r="D56" s="70"/>
      <c r="F56" s="116">
        <v>31603</v>
      </c>
      <c r="G56" s="109"/>
      <c r="H56" s="139">
        <v>28398</v>
      </c>
      <c r="I56" s="109"/>
      <c r="J56" s="116">
        <v>21531</v>
      </c>
      <c r="K56" s="109"/>
      <c r="L56" s="139">
        <v>17029</v>
      </c>
      <c r="M56" s="109"/>
      <c r="N56" s="116">
        <v>14691</v>
      </c>
      <c r="O56" s="109"/>
      <c r="P56" s="116">
        <v>13496</v>
      </c>
      <c r="Q56" s="109"/>
      <c r="R56" s="116">
        <v>11156</v>
      </c>
      <c r="S56" s="109"/>
      <c r="T56" s="116">
        <v>2111</v>
      </c>
      <c r="U56" s="109"/>
      <c r="V56" s="116">
        <v>1494</v>
      </c>
      <c r="W56" s="109"/>
    </row>
    <row r="57" spans="1:23" s="2" customFormat="1" ht="12.75">
      <c r="A57" s="145"/>
      <c r="C57" s="51" t="s">
        <v>25</v>
      </c>
      <c r="D57" s="70"/>
      <c r="F57" s="116">
        <v>3</v>
      </c>
      <c r="G57" s="109"/>
      <c r="H57" s="139"/>
      <c r="I57" s="109"/>
      <c r="J57" s="116">
        <v>1</v>
      </c>
      <c r="K57" s="109"/>
      <c r="L57" s="139"/>
      <c r="M57" s="109"/>
      <c r="N57" s="116">
        <v>6</v>
      </c>
      <c r="O57" s="109"/>
      <c r="P57" s="116">
        <v>10</v>
      </c>
      <c r="Q57" s="109"/>
      <c r="R57" s="116"/>
      <c r="S57" s="109"/>
      <c r="T57" s="116">
        <v>5</v>
      </c>
      <c r="U57" s="109"/>
      <c r="V57" s="116"/>
      <c r="W57" s="109"/>
    </row>
    <row r="58" spans="1:23" s="2" customFormat="1" ht="12.75">
      <c r="A58" s="145"/>
      <c r="C58" s="13" t="s">
        <v>35</v>
      </c>
      <c r="D58" s="70"/>
      <c r="F58" s="116">
        <v>3</v>
      </c>
      <c r="G58" s="109">
        <v>3</v>
      </c>
      <c r="H58" s="139">
        <v>2</v>
      </c>
      <c r="I58" s="109">
        <v>2</v>
      </c>
      <c r="J58" s="116">
        <v>2</v>
      </c>
      <c r="K58" s="109">
        <v>2</v>
      </c>
      <c r="L58" s="139">
        <v>2</v>
      </c>
      <c r="M58" s="109">
        <v>2</v>
      </c>
      <c r="N58" s="116">
        <v>14</v>
      </c>
      <c r="O58" s="109">
        <v>14</v>
      </c>
      <c r="P58" s="116">
        <v>10</v>
      </c>
      <c r="Q58" s="109">
        <v>10</v>
      </c>
      <c r="R58" s="116">
        <v>6</v>
      </c>
      <c r="S58" s="109">
        <v>6</v>
      </c>
      <c r="T58" s="116">
        <v>2</v>
      </c>
      <c r="U58" s="109">
        <v>2</v>
      </c>
      <c r="V58" s="116">
        <v>2</v>
      </c>
      <c r="W58" s="109">
        <v>2</v>
      </c>
    </row>
    <row r="59" spans="1:23" s="2" customFormat="1" ht="12.75">
      <c r="A59" s="145"/>
      <c r="C59" s="13" t="s">
        <v>36</v>
      </c>
      <c r="D59" s="70"/>
      <c r="F59" s="116">
        <v>5681</v>
      </c>
      <c r="G59" s="109"/>
      <c r="H59" s="139">
        <v>558</v>
      </c>
      <c r="I59" s="109"/>
      <c r="J59" s="116">
        <v>396</v>
      </c>
      <c r="K59" s="109"/>
      <c r="L59" s="139">
        <v>4516</v>
      </c>
      <c r="M59" s="109"/>
      <c r="N59" s="116">
        <v>3672</v>
      </c>
      <c r="O59" s="109">
        <v>12</v>
      </c>
      <c r="P59" s="116">
        <v>2946</v>
      </c>
      <c r="Q59" s="109"/>
      <c r="R59" s="116">
        <v>2280</v>
      </c>
      <c r="S59" s="109"/>
      <c r="T59" s="116">
        <v>3381</v>
      </c>
      <c r="U59" s="109"/>
      <c r="V59" s="116">
        <v>2663</v>
      </c>
      <c r="W59" s="109"/>
    </row>
    <row r="60" spans="1:23" s="2" customFormat="1" ht="12.75">
      <c r="A60" s="145"/>
      <c r="C60" s="13" t="s">
        <v>37</v>
      </c>
      <c r="D60" s="70"/>
      <c r="F60" s="116">
        <v>2804</v>
      </c>
      <c r="G60" s="109"/>
      <c r="H60" s="139">
        <v>2868</v>
      </c>
      <c r="I60" s="109"/>
      <c r="J60" s="116">
        <v>2723</v>
      </c>
      <c r="K60" s="109"/>
      <c r="L60" s="139">
        <v>2374</v>
      </c>
      <c r="M60" s="109"/>
      <c r="N60" s="116">
        <v>1639</v>
      </c>
      <c r="O60" s="109"/>
      <c r="P60" s="116">
        <v>1353</v>
      </c>
      <c r="Q60" s="109"/>
      <c r="R60" s="116">
        <v>2117</v>
      </c>
      <c r="S60" s="109"/>
      <c r="T60" s="116">
        <v>150</v>
      </c>
      <c r="U60" s="109"/>
      <c r="V60" s="116">
        <v>35</v>
      </c>
      <c r="W60" s="109"/>
    </row>
    <row r="61" spans="1:23" s="2" customFormat="1" ht="12.75">
      <c r="A61" s="145"/>
      <c r="C61" s="13" t="s">
        <v>42</v>
      </c>
      <c r="D61" s="70"/>
      <c r="F61" s="116">
        <v>1798</v>
      </c>
      <c r="G61" s="109"/>
      <c r="H61" s="139">
        <v>4403</v>
      </c>
      <c r="I61" s="109"/>
      <c r="J61" s="116">
        <v>5127</v>
      </c>
      <c r="K61" s="109"/>
      <c r="L61" s="139">
        <v>6177</v>
      </c>
      <c r="M61" s="109"/>
      <c r="N61" s="116">
        <v>6126</v>
      </c>
      <c r="O61" s="109"/>
      <c r="P61" s="116">
        <v>6266</v>
      </c>
      <c r="Q61" s="109"/>
      <c r="R61" s="116">
        <v>8382</v>
      </c>
      <c r="S61" s="109"/>
      <c r="T61" s="116">
        <v>8325</v>
      </c>
      <c r="U61" s="109"/>
      <c r="V61" s="116">
        <v>12218</v>
      </c>
      <c r="W61" s="109"/>
    </row>
    <row r="62" spans="1:23" s="2" customFormat="1" ht="12.75">
      <c r="A62" s="145"/>
      <c r="C62" s="13" t="s">
        <v>38</v>
      </c>
      <c r="D62" s="70"/>
      <c r="F62" s="116">
        <v>15530</v>
      </c>
      <c r="G62" s="109"/>
      <c r="H62" s="139">
        <v>15530</v>
      </c>
      <c r="I62" s="109"/>
      <c r="J62" s="116">
        <v>15530</v>
      </c>
      <c r="K62" s="109"/>
      <c r="L62" s="139">
        <v>15530</v>
      </c>
      <c r="M62" s="109"/>
      <c r="N62" s="116">
        <v>15530</v>
      </c>
      <c r="O62" s="109"/>
      <c r="P62" s="116">
        <v>15375</v>
      </c>
      <c r="Q62" s="109"/>
      <c r="R62" s="116"/>
      <c r="S62" s="109"/>
      <c r="T62" s="116"/>
      <c r="U62" s="109"/>
      <c r="V62" s="116"/>
      <c r="W62" s="109"/>
    </row>
    <row r="63" spans="1:23" s="2" customFormat="1" ht="12.75">
      <c r="A63" s="145"/>
      <c r="C63" s="13" t="s">
        <v>39</v>
      </c>
      <c r="D63" s="70"/>
      <c r="F63" s="116">
        <v>688</v>
      </c>
      <c r="G63" s="109"/>
      <c r="H63" s="139">
        <v>722</v>
      </c>
      <c r="I63" s="109"/>
      <c r="J63" s="116">
        <v>722</v>
      </c>
      <c r="K63" s="109"/>
      <c r="L63" s="139">
        <v>722</v>
      </c>
      <c r="M63" s="109"/>
      <c r="N63" s="116">
        <v>722</v>
      </c>
      <c r="O63" s="109"/>
      <c r="P63" s="116">
        <v>714</v>
      </c>
      <c r="Q63" s="109"/>
      <c r="R63" s="116"/>
      <c r="S63" s="109"/>
      <c r="T63" s="116"/>
      <c r="U63" s="109"/>
      <c r="V63" s="116"/>
      <c r="W63" s="109"/>
    </row>
    <row r="64" spans="1:23" s="2" customFormat="1" ht="12.75">
      <c r="A64" s="145"/>
      <c r="C64" s="13" t="s">
        <v>44</v>
      </c>
      <c r="D64" s="70"/>
      <c r="F64" s="116">
        <v>132</v>
      </c>
      <c r="G64" s="109"/>
      <c r="H64" s="139">
        <v>2</v>
      </c>
      <c r="I64" s="109"/>
      <c r="J64" s="116">
        <v>2</v>
      </c>
      <c r="K64" s="109"/>
      <c r="L64" s="139">
        <v>3614</v>
      </c>
      <c r="M64" s="109"/>
      <c r="N64" s="116">
        <v>2</v>
      </c>
      <c r="O64" s="109"/>
      <c r="P64" s="116">
        <v>2</v>
      </c>
      <c r="Q64" s="109"/>
      <c r="R64" s="116">
        <v>18</v>
      </c>
      <c r="S64" s="109"/>
      <c r="T64" s="116">
        <v>50</v>
      </c>
      <c r="U64" s="109"/>
      <c r="V64" s="116">
        <v>27</v>
      </c>
      <c r="W64" s="109"/>
    </row>
    <row r="65" spans="1:23" s="2" customFormat="1" ht="12.75">
      <c r="A65" s="145"/>
      <c r="C65" s="13" t="s">
        <v>28</v>
      </c>
      <c r="D65" s="70"/>
      <c r="F65" s="116">
        <v>604</v>
      </c>
      <c r="G65" s="109"/>
      <c r="H65" s="139">
        <v>493</v>
      </c>
      <c r="I65" s="109"/>
      <c r="J65" s="116">
        <v>442</v>
      </c>
      <c r="K65" s="109"/>
      <c r="L65" s="139">
        <v>194</v>
      </c>
      <c r="M65" s="109"/>
      <c r="N65" s="116">
        <v>235</v>
      </c>
      <c r="O65" s="109"/>
      <c r="P65" s="116">
        <v>261</v>
      </c>
      <c r="Q65" s="109"/>
      <c r="R65" s="116">
        <v>551</v>
      </c>
      <c r="S65" s="109"/>
      <c r="T65" s="116">
        <v>559</v>
      </c>
      <c r="U65" s="109"/>
      <c r="V65" s="116">
        <v>321</v>
      </c>
      <c r="W65" s="109"/>
    </row>
    <row r="66" spans="1:23" s="2" customFormat="1" ht="12.75">
      <c r="A66" s="145"/>
      <c r="C66" s="13" t="s">
        <v>68</v>
      </c>
      <c r="D66" s="70"/>
      <c r="F66" s="116"/>
      <c r="G66" s="109"/>
      <c r="H66" s="139"/>
      <c r="I66" s="109"/>
      <c r="J66" s="116"/>
      <c r="K66" s="109"/>
      <c r="L66" s="139"/>
      <c r="M66" s="109"/>
      <c r="N66" s="116"/>
      <c r="O66" s="109"/>
      <c r="P66" s="116"/>
      <c r="Q66" s="109"/>
      <c r="R66" s="116"/>
      <c r="S66" s="109"/>
      <c r="T66" s="116">
        <v>54</v>
      </c>
      <c r="U66" s="109"/>
      <c r="V66" s="116">
        <v>11</v>
      </c>
      <c r="W66" s="109"/>
    </row>
    <row r="67" spans="1:23" s="2" customFormat="1" ht="12.75">
      <c r="A67" s="145"/>
      <c r="C67" s="51" t="s">
        <v>40</v>
      </c>
      <c r="D67" s="70"/>
      <c r="F67" s="116">
        <v>1116</v>
      </c>
      <c r="G67" s="109"/>
      <c r="H67" s="139">
        <v>1291</v>
      </c>
      <c r="I67" s="109"/>
      <c r="J67" s="116">
        <v>1291</v>
      </c>
      <c r="K67" s="109"/>
      <c r="L67" s="139">
        <v>1291</v>
      </c>
      <c r="M67" s="109"/>
      <c r="N67" s="116">
        <v>1291</v>
      </c>
      <c r="O67" s="109"/>
      <c r="P67" s="116">
        <v>430</v>
      </c>
      <c r="Q67" s="109"/>
      <c r="R67" s="116"/>
      <c r="S67" s="109"/>
      <c r="T67" s="116"/>
      <c r="U67" s="109"/>
      <c r="V67" s="116"/>
      <c r="W67" s="109"/>
    </row>
    <row r="68" spans="1:23" s="2" customFormat="1" ht="12.75">
      <c r="A68" s="145"/>
      <c r="C68" s="13" t="s">
        <v>41</v>
      </c>
      <c r="D68" s="70"/>
      <c r="F68" s="116">
        <v>5163</v>
      </c>
      <c r="G68" s="109"/>
      <c r="H68" s="139">
        <v>4724</v>
      </c>
      <c r="I68" s="109"/>
      <c r="J68" s="116">
        <v>6294</v>
      </c>
      <c r="K68" s="109"/>
      <c r="L68" s="139">
        <v>4693</v>
      </c>
      <c r="M68" s="109"/>
      <c r="N68" s="116">
        <v>5371</v>
      </c>
      <c r="O68" s="109"/>
      <c r="P68" s="116">
        <v>2853</v>
      </c>
      <c r="Q68" s="109"/>
      <c r="R68" s="116">
        <v>4532</v>
      </c>
      <c r="S68" s="109"/>
      <c r="T68" s="116">
        <v>3832</v>
      </c>
      <c r="U68" s="109"/>
      <c r="V68" s="116">
        <v>4617</v>
      </c>
      <c r="W68" s="109"/>
    </row>
    <row r="69" spans="1:23" s="2" customFormat="1" ht="12.75">
      <c r="A69" s="145"/>
      <c r="C69" s="13" t="s">
        <v>20</v>
      </c>
      <c r="D69" s="70"/>
      <c r="F69" s="116"/>
      <c r="G69" s="109"/>
      <c r="H69" s="139">
        <v>1378</v>
      </c>
      <c r="I69" s="109"/>
      <c r="J69" s="116"/>
      <c r="K69" s="109"/>
      <c r="L69" s="139"/>
      <c r="M69" s="109"/>
      <c r="N69" s="116"/>
      <c r="O69" s="109"/>
      <c r="P69" s="116"/>
      <c r="Q69" s="109"/>
      <c r="R69" s="116"/>
      <c r="S69" s="109"/>
      <c r="T69" s="116"/>
      <c r="U69" s="109"/>
      <c r="V69" s="116"/>
      <c r="W69" s="109"/>
    </row>
    <row r="70" spans="1:23" s="2" customFormat="1" ht="12.75">
      <c r="A70" s="145"/>
      <c r="C70" s="51" t="s">
        <v>43</v>
      </c>
      <c r="D70" s="70"/>
      <c r="F70" s="116">
        <v>3</v>
      </c>
      <c r="G70" s="109"/>
      <c r="H70" s="139">
        <v>3</v>
      </c>
      <c r="I70" s="109"/>
      <c r="J70" s="116">
        <v>3</v>
      </c>
      <c r="K70" s="109"/>
      <c r="L70" s="139">
        <v>1036</v>
      </c>
      <c r="M70" s="109"/>
      <c r="N70" s="116">
        <v>1036</v>
      </c>
      <c r="O70" s="109"/>
      <c r="P70" s="116">
        <v>12247</v>
      </c>
      <c r="Q70" s="109"/>
      <c r="R70" s="116">
        <v>19199</v>
      </c>
      <c r="S70" s="109"/>
      <c r="T70" s="116">
        <v>14238</v>
      </c>
      <c r="U70" s="109"/>
      <c r="V70" s="116">
        <v>9270</v>
      </c>
      <c r="W70" s="109"/>
    </row>
    <row r="71" spans="1:23" s="2" customFormat="1" ht="12.75">
      <c r="A71" s="145"/>
      <c r="C71" s="51" t="s">
        <v>61</v>
      </c>
      <c r="D71" s="70"/>
      <c r="F71" s="116"/>
      <c r="G71" s="109"/>
      <c r="H71" s="139">
        <v>4868</v>
      </c>
      <c r="I71" s="109"/>
      <c r="J71" s="116">
        <v>4014</v>
      </c>
      <c r="K71" s="109"/>
      <c r="L71" s="139">
        <v>3779</v>
      </c>
      <c r="M71" s="109"/>
      <c r="N71" s="116">
        <v>3450</v>
      </c>
      <c r="O71" s="109"/>
      <c r="P71" s="116">
        <v>3306</v>
      </c>
      <c r="Q71" s="109"/>
      <c r="R71" s="116">
        <v>3260</v>
      </c>
      <c r="S71" s="109"/>
      <c r="T71" s="116">
        <v>1585</v>
      </c>
      <c r="U71" s="109"/>
      <c r="V71" s="116">
        <v>1500</v>
      </c>
      <c r="W71" s="109"/>
    </row>
    <row r="72" spans="1:23" s="2" customFormat="1" ht="12.75">
      <c r="A72" s="145"/>
      <c r="B72" s="55"/>
      <c r="C72" s="51" t="s">
        <v>126</v>
      </c>
      <c r="D72" s="70"/>
      <c r="E72" s="55"/>
      <c r="F72" s="116"/>
      <c r="G72" s="109"/>
      <c r="H72" s="139"/>
      <c r="I72" s="109"/>
      <c r="J72" s="116"/>
      <c r="K72" s="109"/>
      <c r="L72" s="139"/>
      <c r="M72" s="109"/>
      <c r="N72" s="116"/>
      <c r="O72" s="109"/>
      <c r="P72" s="116"/>
      <c r="Q72" s="109"/>
      <c r="R72" s="116"/>
      <c r="S72" s="109"/>
      <c r="T72" s="116">
        <v>2812</v>
      </c>
      <c r="U72" s="109"/>
      <c r="V72" s="116">
        <v>1113</v>
      </c>
      <c r="W72" s="109"/>
    </row>
    <row r="73" spans="1:23" s="2" customFormat="1" ht="12.75">
      <c r="A73" s="73"/>
      <c r="B73" s="78" t="s">
        <v>13</v>
      </c>
      <c r="C73" s="78"/>
      <c r="D73" s="74"/>
      <c r="F73" s="87">
        <f aca="true" t="shared" si="12" ref="F73:U73">SUM(F74:F95)</f>
        <v>207392</v>
      </c>
      <c r="G73" s="87">
        <f t="shared" si="12"/>
        <v>0</v>
      </c>
      <c r="H73" s="87">
        <f t="shared" si="12"/>
        <v>217059</v>
      </c>
      <c r="I73" s="87">
        <f t="shared" si="12"/>
        <v>0</v>
      </c>
      <c r="J73" s="87">
        <f t="shared" si="12"/>
        <v>216716</v>
      </c>
      <c r="K73" s="87">
        <f t="shared" si="12"/>
        <v>0</v>
      </c>
      <c r="L73" s="87">
        <f t="shared" si="12"/>
        <v>226913</v>
      </c>
      <c r="M73" s="87">
        <f t="shared" si="12"/>
        <v>1</v>
      </c>
      <c r="N73" s="87">
        <f t="shared" si="12"/>
        <v>212885</v>
      </c>
      <c r="O73" s="87">
        <f t="shared" si="12"/>
        <v>0</v>
      </c>
      <c r="P73" s="87">
        <f t="shared" si="12"/>
        <v>230379</v>
      </c>
      <c r="Q73" s="87">
        <f t="shared" si="12"/>
        <v>2</v>
      </c>
      <c r="R73" s="87">
        <f t="shared" si="12"/>
        <v>243739</v>
      </c>
      <c r="S73" s="87">
        <f t="shared" si="12"/>
        <v>1</v>
      </c>
      <c r="T73" s="87">
        <f t="shared" si="12"/>
        <v>251898</v>
      </c>
      <c r="U73" s="87">
        <f t="shared" si="12"/>
        <v>0</v>
      </c>
      <c r="V73" s="87">
        <f>SUM(V74:V95)</f>
        <v>253571</v>
      </c>
      <c r="W73" s="87">
        <f>SUM(W74:W95)</f>
        <v>7</v>
      </c>
    </row>
    <row r="74" spans="1:23" s="2" customFormat="1" ht="12.75">
      <c r="A74" s="145"/>
      <c r="C74" s="51" t="s">
        <v>45</v>
      </c>
      <c r="D74" s="70"/>
      <c r="F74" s="116">
        <v>12281</v>
      </c>
      <c r="G74" s="109"/>
      <c r="H74" s="139"/>
      <c r="I74" s="109"/>
      <c r="J74" s="116">
        <v>134</v>
      </c>
      <c r="K74" s="109"/>
      <c r="L74" s="139">
        <v>207</v>
      </c>
      <c r="M74" s="109"/>
      <c r="N74" s="116">
        <v>142</v>
      </c>
      <c r="O74" s="109"/>
      <c r="P74" s="116">
        <v>48</v>
      </c>
      <c r="Q74" s="109"/>
      <c r="R74" s="116">
        <v>39</v>
      </c>
      <c r="S74" s="109"/>
      <c r="T74" s="116">
        <v>29</v>
      </c>
      <c r="U74" s="109"/>
      <c r="V74" s="116">
        <v>32</v>
      </c>
      <c r="W74" s="109"/>
    </row>
    <row r="75" spans="1:23" s="2" customFormat="1" ht="12.75">
      <c r="A75" s="145"/>
      <c r="C75" s="51" t="s">
        <v>46</v>
      </c>
      <c r="D75" s="70"/>
      <c r="F75" s="116">
        <v>126893</v>
      </c>
      <c r="G75" s="109"/>
      <c r="H75" s="139">
        <v>132574</v>
      </c>
      <c r="I75" s="109"/>
      <c r="J75" s="116">
        <v>132161</v>
      </c>
      <c r="K75" s="109"/>
      <c r="L75" s="139">
        <v>131568</v>
      </c>
      <c r="M75" s="109"/>
      <c r="N75" s="116">
        <v>130819</v>
      </c>
      <c r="O75" s="109"/>
      <c r="P75" s="116">
        <v>130982</v>
      </c>
      <c r="Q75" s="109"/>
      <c r="R75" s="116">
        <v>131250</v>
      </c>
      <c r="S75" s="109"/>
      <c r="T75" s="116">
        <v>131700</v>
      </c>
      <c r="U75" s="109"/>
      <c r="V75" s="116">
        <v>131519</v>
      </c>
      <c r="W75" s="109"/>
    </row>
    <row r="76" spans="1:23" s="2" customFormat="1" ht="12.75">
      <c r="A76" s="145"/>
      <c r="C76" s="51" t="s">
        <v>100</v>
      </c>
      <c r="D76" s="70"/>
      <c r="F76" s="116"/>
      <c r="G76" s="109"/>
      <c r="H76" s="139"/>
      <c r="I76" s="109"/>
      <c r="J76" s="116"/>
      <c r="K76" s="109"/>
      <c r="L76" s="139"/>
      <c r="M76" s="109"/>
      <c r="N76" s="116"/>
      <c r="O76" s="109"/>
      <c r="P76" s="116"/>
      <c r="Q76" s="109"/>
      <c r="R76" s="116">
        <v>4350</v>
      </c>
      <c r="S76" s="109"/>
      <c r="T76" s="116">
        <v>3299</v>
      </c>
      <c r="U76" s="109"/>
      <c r="V76" s="116">
        <v>3968</v>
      </c>
      <c r="W76" s="109"/>
    </row>
    <row r="77" spans="1:23" s="2" customFormat="1" ht="12.75">
      <c r="A77" s="145"/>
      <c r="C77" s="51" t="s">
        <v>47</v>
      </c>
      <c r="D77" s="70"/>
      <c r="F77" s="116">
        <v>3567</v>
      </c>
      <c r="G77" s="109"/>
      <c r="H77" s="139">
        <v>4324</v>
      </c>
      <c r="I77" s="109"/>
      <c r="J77" s="116">
        <v>4414</v>
      </c>
      <c r="K77" s="109"/>
      <c r="L77" s="139">
        <v>4400</v>
      </c>
      <c r="M77" s="109"/>
      <c r="N77" s="116">
        <v>4544</v>
      </c>
      <c r="O77" s="109"/>
      <c r="P77" s="116">
        <v>4596</v>
      </c>
      <c r="Q77" s="109"/>
      <c r="R77" s="116">
        <v>4882</v>
      </c>
      <c r="S77" s="109"/>
      <c r="T77" s="116">
        <v>4949</v>
      </c>
      <c r="U77" s="109"/>
      <c r="V77" s="116">
        <v>4597</v>
      </c>
      <c r="W77" s="109"/>
    </row>
    <row r="78" spans="1:23" s="2" customFormat="1" ht="12.75">
      <c r="A78" s="145"/>
      <c r="C78" s="51" t="s">
        <v>48</v>
      </c>
      <c r="D78" s="70"/>
      <c r="F78" s="116">
        <v>3545</v>
      </c>
      <c r="G78" s="109"/>
      <c r="H78" s="139">
        <v>3763</v>
      </c>
      <c r="I78" s="109"/>
      <c r="J78" s="116">
        <v>3942</v>
      </c>
      <c r="K78" s="109"/>
      <c r="L78" s="139">
        <v>3396</v>
      </c>
      <c r="M78" s="109"/>
      <c r="N78" s="116">
        <v>3523</v>
      </c>
      <c r="O78" s="109"/>
      <c r="P78" s="116">
        <v>3615</v>
      </c>
      <c r="Q78" s="109"/>
      <c r="R78" s="116">
        <v>3615</v>
      </c>
      <c r="S78" s="109"/>
      <c r="T78" s="116">
        <v>4196</v>
      </c>
      <c r="U78" s="109"/>
      <c r="V78" s="116">
        <v>3989</v>
      </c>
      <c r="W78" s="109"/>
    </row>
    <row r="79" spans="1:23" s="2" customFormat="1" ht="12.75">
      <c r="A79" s="145"/>
      <c r="C79" s="51" t="s">
        <v>49</v>
      </c>
      <c r="D79" s="70"/>
      <c r="F79" s="116">
        <v>45665</v>
      </c>
      <c r="G79" s="109"/>
      <c r="H79" s="139">
        <v>47651</v>
      </c>
      <c r="I79" s="109"/>
      <c r="J79" s="116">
        <v>47956</v>
      </c>
      <c r="K79" s="109"/>
      <c r="L79" s="139">
        <v>47800</v>
      </c>
      <c r="M79" s="109"/>
      <c r="N79" s="116">
        <v>50305</v>
      </c>
      <c r="O79" s="109"/>
      <c r="P79" s="116">
        <v>50004</v>
      </c>
      <c r="Q79" s="109"/>
      <c r="R79" s="116">
        <v>54233</v>
      </c>
      <c r="S79" s="109"/>
      <c r="T79" s="116">
        <v>57223</v>
      </c>
      <c r="U79" s="109"/>
      <c r="V79" s="116">
        <v>58080</v>
      </c>
      <c r="W79" s="109"/>
    </row>
    <row r="80" spans="1:23" s="2" customFormat="1" ht="12.75">
      <c r="A80" s="145"/>
      <c r="C80" s="51" t="s">
        <v>102</v>
      </c>
      <c r="D80" s="70"/>
      <c r="F80" s="116"/>
      <c r="G80" s="109"/>
      <c r="H80" s="139"/>
      <c r="I80" s="109"/>
      <c r="J80" s="116"/>
      <c r="K80" s="109"/>
      <c r="L80" s="139"/>
      <c r="M80" s="109"/>
      <c r="N80" s="116"/>
      <c r="O80" s="109"/>
      <c r="P80" s="116">
        <v>5760</v>
      </c>
      <c r="Q80" s="109"/>
      <c r="R80" s="116">
        <v>8344</v>
      </c>
      <c r="S80" s="109"/>
      <c r="T80" s="116">
        <v>13523</v>
      </c>
      <c r="U80" s="109"/>
      <c r="V80" s="116">
        <v>10948</v>
      </c>
      <c r="W80" s="109"/>
    </row>
    <row r="81" spans="1:23" s="2" customFormat="1" ht="12.75">
      <c r="A81" s="145"/>
      <c r="C81" s="51" t="s">
        <v>50</v>
      </c>
      <c r="D81" s="70"/>
      <c r="F81" s="116">
        <v>4006</v>
      </c>
      <c r="G81" s="109"/>
      <c r="H81" s="139">
        <v>3607</v>
      </c>
      <c r="I81" s="109"/>
      <c r="J81" s="116">
        <v>136</v>
      </c>
      <c r="K81" s="109"/>
      <c r="L81" s="139">
        <v>71</v>
      </c>
      <c r="M81" s="109"/>
      <c r="N81" s="116">
        <v>56</v>
      </c>
      <c r="O81" s="109"/>
      <c r="P81" s="116">
        <v>23</v>
      </c>
      <c r="Q81" s="109"/>
      <c r="R81" s="116">
        <v>1</v>
      </c>
      <c r="S81" s="109"/>
      <c r="T81" s="116">
        <v>40</v>
      </c>
      <c r="U81" s="109"/>
      <c r="V81" s="116">
        <v>43</v>
      </c>
      <c r="W81" s="109"/>
    </row>
    <row r="82" spans="1:23" s="2" customFormat="1" ht="12.75">
      <c r="A82" s="145"/>
      <c r="C82" s="51" t="s">
        <v>51</v>
      </c>
      <c r="D82" s="70"/>
      <c r="F82" s="116">
        <v>3103</v>
      </c>
      <c r="G82" s="109"/>
      <c r="H82" s="139"/>
      <c r="I82" s="109"/>
      <c r="J82" s="116"/>
      <c r="K82" s="109"/>
      <c r="L82" s="139"/>
      <c r="M82" s="109"/>
      <c r="N82" s="116"/>
      <c r="O82" s="109"/>
      <c r="P82" s="116"/>
      <c r="Q82" s="109"/>
      <c r="R82" s="116"/>
      <c r="S82" s="109"/>
      <c r="T82" s="116"/>
      <c r="U82" s="109"/>
      <c r="V82" s="116"/>
      <c r="W82" s="109"/>
    </row>
    <row r="83" spans="1:23" s="2" customFormat="1" ht="12.75">
      <c r="A83" s="145"/>
      <c r="C83" s="51" t="s">
        <v>52</v>
      </c>
      <c r="D83" s="70"/>
      <c r="F83" s="116">
        <v>852</v>
      </c>
      <c r="G83" s="109"/>
      <c r="H83" s="139">
        <v>883</v>
      </c>
      <c r="I83" s="109"/>
      <c r="J83" s="116">
        <v>871</v>
      </c>
      <c r="K83" s="109"/>
      <c r="L83" s="139">
        <v>869</v>
      </c>
      <c r="M83" s="109"/>
      <c r="N83" s="116">
        <v>958</v>
      </c>
      <c r="O83" s="109"/>
      <c r="P83" s="116">
        <v>962</v>
      </c>
      <c r="Q83" s="109"/>
      <c r="R83" s="116">
        <v>829</v>
      </c>
      <c r="S83" s="109"/>
      <c r="T83" s="116">
        <v>682</v>
      </c>
      <c r="U83" s="109"/>
      <c r="V83" s="116">
        <v>809</v>
      </c>
      <c r="W83" s="109"/>
    </row>
    <row r="84" spans="1:23" s="2" customFormat="1" ht="12.75">
      <c r="A84" s="145"/>
      <c r="C84" s="51" t="s">
        <v>53</v>
      </c>
      <c r="D84" s="70"/>
      <c r="F84" s="116">
        <v>3461</v>
      </c>
      <c r="G84" s="109"/>
      <c r="H84" s="139">
        <v>3742</v>
      </c>
      <c r="I84" s="109"/>
      <c r="J84" s="116"/>
      <c r="K84" s="109"/>
      <c r="L84" s="139">
        <v>487</v>
      </c>
      <c r="M84" s="109"/>
      <c r="N84" s="116"/>
      <c r="O84" s="109"/>
      <c r="P84" s="116"/>
      <c r="Q84" s="109"/>
      <c r="R84" s="116"/>
      <c r="S84" s="109"/>
      <c r="T84" s="116"/>
      <c r="U84" s="109"/>
      <c r="V84" s="116"/>
      <c r="W84" s="109"/>
    </row>
    <row r="85" spans="1:23" s="2" customFormat="1" ht="12.75">
      <c r="A85" s="145"/>
      <c r="C85" s="51" t="s">
        <v>25</v>
      </c>
      <c r="D85" s="70"/>
      <c r="F85" s="116">
        <v>140</v>
      </c>
      <c r="G85" s="109"/>
      <c r="H85" s="139">
        <v>146</v>
      </c>
      <c r="I85" s="109"/>
      <c r="J85" s="116">
        <v>156</v>
      </c>
      <c r="K85" s="109"/>
      <c r="L85" s="139">
        <f>182+1</f>
        <v>183</v>
      </c>
      <c r="M85" s="109">
        <v>1</v>
      </c>
      <c r="N85" s="116">
        <v>237</v>
      </c>
      <c r="O85" s="109"/>
      <c r="P85" s="116">
        <f>367+2</f>
        <v>369</v>
      </c>
      <c r="Q85" s="109">
        <v>2</v>
      </c>
      <c r="R85" s="116">
        <f>306+1</f>
        <v>307</v>
      </c>
      <c r="S85" s="109">
        <v>1</v>
      </c>
      <c r="T85" s="116">
        <f>443</f>
        <v>443</v>
      </c>
      <c r="U85" s="109"/>
      <c r="V85" s="116">
        <f>343+7</f>
        <v>350</v>
      </c>
      <c r="W85" s="109">
        <v>7</v>
      </c>
    </row>
    <row r="86" spans="1:23" s="2" customFormat="1" ht="12.75">
      <c r="A86" s="145"/>
      <c r="C86" s="51" t="s">
        <v>55</v>
      </c>
      <c r="D86" s="70"/>
      <c r="F86" s="116">
        <v>3827</v>
      </c>
      <c r="G86" s="109"/>
      <c r="H86" s="139">
        <v>5696</v>
      </c>
      <c r="I86" s="109"/>
      <c r="J86" s="116">
        <v>5638</v>
      </c>
      <c r="K86" s="109"/>
      <c r="L86" s="139">
        <v>5852</v>
      </c>
      <c r="M86" s="109"/>
      <c r="N86" s="116">
        <v>5841</v>
      </c>
      <c r="O86" s="109"/>
      <c r="P86" s="116">
        <v>6900</v>
      </c>
      <c r="Q86" s="109"/>
      <c r="R86" s="116">
        <v>7525</v>
      </c>
      <c r="S86" s="109"/>
      <c r="T86" s="116">
        <v>7790</v>
      </c>
      <c r="U86" s="109"/>
      <c r="V86" s="116">
        <v>9242</v>
      </c>
      <c r="W86" s="109"/>
    </row>
    <row r="87" spans="1:23" s="2" customFormat="1" ht="12.75">
      <c r="A87" s="145"/>
      <c r="C87" s="13" t="s">
        <v>41</v>
      </c>
      <c r="D87" s="70"/>
      <c r="F87" s="116"/>
      <c r="G87" s="109"/>
      <c r="H87" s="139"/>
      <c r="I87" s="109"/>
      <c r="J87" s="116"/>
      <c r="K87" s="109"/>
      <c r="L87" s="139"/>
      <c r="M87" s="109"/>
      <c r="N87" s="116">
        <v>6</v>
      </c>
      <c r="O87" s="109"/>
      <c r="P87" s="116">
        <v>1</v>
      </c>
      <c r="Q87" s="109"/>
      <c r="R87" s="116"/>
      <c r="S87" s="109"/>
      <c r="T87" s="116"/>
      <c r="U87" s="109"/>
      <c r="V87" s="116"/>
      <c r="W87" s="109"/>
    </row>
    <row r="88" spans="1:23" s="2" customFormat="1" ht="12.75">
      <c r="A88" s="145"/>
      <c r="C88" s="51" t="s">
        <v>20</v>
      </c>
      <c r="D88" s="70"/>
      <c r="F88" s="116">
        <v>52</v>
      </c>
      <c r="G88" s="109"/>
      <c r="H88" s="139">
        <v>64</v>
      </c>
      <c r="I88" s="109"/>
      <c r="J88" s="116">
        <v>80</v>
      </c>
      <c r="K88" s="109"/>
      <c r="L88" s="139">
        <v>21</v>
      </c>
      <c r="M88" s="109"/>
      <c r="N88" s="116">
        <v>105</v>
      </c>
      <c r="O88" s="109"/>
      <c r="P88" s="116"/>
      <c r="Q88" s="109"/>
      <c r="R88" s="116">
        <v>37</v>
      </c>
      <c r="S88" s="109"/>
      <c r="T88" s="116">
        <v>2</v>
      </c>
      <c r="U88" s="109"/>
      <c r="V88" s="116">
        <v>304</v>
      </c>
      <c r="W88" s="109"/>
    </row>
    <row r="89" spans="1:23" s="2" customFormat="1" ht="12.75">
      <c r="A89" s="145"/>
      <c r="C89" s="51" t="s">
        <v>56</v>
      </c>
      <c r="D89" s="70"/>
      <c r="F89" s="116"/>
      <c r="G89" s="109"/>
      <c r="H89" s="139">
        <v>14609</v>
      </c>
      <c r="I89" s="109"/>
      <c r="J89" s="116">
        <v>14828</v>
      </c>
      <c r="K89" s="109"/>
      <c r="L89" s="139">
        <v>15006</v>
      </c>
      <c r="M89" s="109"/>
      <c r="N89" s="116"/>
      <c r="O89" s="109"/>
      <c r="P89" s="116"/>
      <c r="Q89" s="109"/>
      <c r="R89" s="116"/>
      <c r="S89" s="109"/>
      <c r="T89" s="116"/>
      <c r="U89" s="109"/>
      <c r="V89" s="116"/>
      <c r="W89" s="109"/>
    </row>
    <row r="90" spans="1:23" s="2" customFormat="1" ht="12.75">
      <c r="A90" s="145"/>
      <c r="C90" s="51" t="s">
        <v>57</v>
      </c>
      <c r="D90" s="70"/>
      <c r="F90" s="116"/>
      <c r="G90" s="109"/>
      <c r="H90" s="139"/>
      <c r="I90" s="109"/>
      <c r="J90" s="116"/>
      <c r="K90" s="109"/>
      <c r="L90" s="139">
        <v>11362</v>
      </c>
      <c r="M90" s="109"/>
      <c r="N90" s="116">
        <v>11362</v>
      </c>
      <c r="O90" s="109"/>
      <c r="P90" s="116">
        <v>23422</v>
      </c>
      <c r="Q90" s="109"/>
      <c r="R90" s="116">
        <v>23422</v>
      </c>
      <c r="S90" s="109"/>
      <c r="T90" s="116">
        <v>23601</v>
      </c>
      <c r="U90" s="109"/>
      <c r="V90" s="116">
        <v>24632</v>
      </c>
      <c r="W90" s="109"/>
    </row>
    <row r="91" spans="1:23" s="2" customFormat="1" ht="12.75">
      <c r="A91" s="145"/>
      <c r="C91" s="51" t="s">
        <v>101</v>
      </c>
      <c r="D91" s="70"/>
      <c r="F91" s="116"/>
      <c r="G91" s="109"/>
      <c r="H91" s="139"/>
      <c r="I91" s="109"/>
      <c r="J91" s="116"/>
      <c r="K91" s="109"/>
      <c r="L91" s="139"/>
      <c r="M91" s="109"/>
      <c r="N91" s="116"/>
      <c r="O91" s="109"/>
      <c r="P91" s="116"/>
      <c r="Q91" s="109"/>
      <c r="R91" s="116">
        <v>846</v>
      </c>
      <c r="S91" s="109"/>
      <c r="T91" s="116">
        <v>475</v>
      </c>
      <c r="U91" s="109"/>
      <c r="V91" s="116">
        <v>870</v>
      </c>
      <c r="W91" s="109"/>
    </row>
    <row r="92" spans="1:23" s="2" customFormat="1" ht="12.75">
      <c r="A92" s="145"/>
      <c r="C92" s="51" t="s">
        <v>58</v>
      </c>
      <c r="D92" s="70"/>
      <c r="F92" s="116"/>
      <c r="G92" s="109"/>
      <c r="H92" s="139"/>
      <c r="I92" s="109"/>
      <c r="J92" s="116">
        <v>2585</v>
      </c>
      <c r="K92" s="109"/>
      <c r="L92" s="139">
        <v>3346</v>
      </c>
      <c r="M92" s="109"/>
      <c r="N92" s="116">
        <v>4024</v>
      </c>
      <c r="O92" s="109"/>
      <c r="P92" s="116">
        <v>3697</v>
      </c>
      <c r="Q92" s="109"/>
      <c r="R92" s="116">
        <v>4043</v>
      </c>
      <c r="S92" s="109"/>
      <c r="T92" s="116">
        <v>3697</v>
      </c>
      <c r="U92" s="109"/>
      <c r="V92" s="116">
        <v>3738</v>
      </c>
      <c r="W92" s="109"/>
    </row>
    <row r="93" spans="1:23" s="2" customFormat="1" ht="12.75">
      <c r="A93" s="145"/>
      <c r="C93" s="51" t="s">
        <v>59</v>
      </c>
      <c r="D93" s="70"/>
      <c r="F93" s="116"/>
      <c r="G93" s="109"/>
      <c r="H93" s="139"/>
      <c r="I93" s="109"/>
      <c r="J93" s="116">
        <v>3815</v>
      </c>
      <c r="K93" s="109"/>
      <c r="L93" s="139">
        <v>2345</v>
      </c>
      <c r="M93" s="109"/>
      <c r="N93" s="116">
        <v>395</v>
      </c>
      <c r="O93" s="109"/>
      <c r="P93" s="116"/>
      <c r="Q93" s="109"/>
      <c r="R93" s="116"/>
      <c r="S93" s="109"/>
      <c r="T93" s="116"/>
      <c r="U93" s="109"/>
      <c r="V93" s="116"/>
      <c r="W93" s="109"/>
    </row>
    <row r="94" spans="1:23" s="2" customFormat="1" ht="12.75">
      <c r="A94" s="145"/>
      <c r="C94" s="51" t="s">
        <v>127</v>
      </c>
      <c r="D94" s="70"/>
      <c r="F94" s="116"/>
      <c r="G94" s="109"/>
      <c r="H94" s="139"/>
      <c r="I94" s="109"/>
      <c r="J94" s="116"/>
      <c r="K94" s="109"/>
      <c r="L94" s="139"/>
      <c r="M94" s="109"/>
      <c r="N94" s="116"/>
      <c r="O94" s="109"/>
      <c r="P94" s="116"/>
      <c r="Q94" s="109"/>
      <c r="R94" s="116"/>
      <c r="S94" s="109"/>
      <c r="T94" s="116">
        <f>171+49+29</f>
        <v>249</v>
      </c>
      <c r="U94" s="109"/>
      <c r="V94" s="116">
        <f>329+57+48</f>
        <v>434</v>
      </c>
      <c r="W94" s="109"/>
    </row>
    <row r="95" spans="1:23" s="2" customFormat="1" ht="12.75">
      <c r="A95" s="145"/>
      <c r="B95" s="55"/>
      <c r="C95" s="51" t="s">
        <v>40</v>
      </c>
      <c r="D95" s="70"/>
      <c r="E95" s="55"/>
      <c r="F95" s="116"/>
      <c r="G95" s="109"/>
      <c r="H95" s="139"/>
      <c r="I95" s="109"/>
      <c r="J95" s="116"/>
      <c r="K95" s="109"/>
      <c r="L95" s="139"/>
      <c r="M95" s="109"/>
      <c r="N95" s="116">
        <v>568</v>
      </c>
      <c r="O95" s="109"/>
      <c r="P95" s="116"/>
      <c r="Q95" s="109"/>
      <c r="R95" s="116">
        <v>16</v>
      </c>
      <c r="S95" s="109"/>
      <c r="T95" s="116"/>
      <c r="U95" s="109"/>
      <c r="V95" s="116">
        <v>16</v>
      </c>
      <c r="W95" s="109"/>
    </row>
    <row r="96" spans="1:23" s="2" customFormat="1" ht="12.75">
      <c r="A96" s="73"/>
      <c r="B96" s="78" t="s">
        <v>14</v>
      </c>
      <c r="C96" s="78"/>
      <c r="D96" s="74"/>
      <c r="F96" s="87">
        <f>SUM(F97:F106)</f>
        <v>5793</v>
      </c>
      <c r="G96" s="87">
        <f aca="true" t="shared" si="13" ref="G96:U96">SUM(G97:G106)</f>
        <v>0</v>
      </c>
      <c r="H96" s="87">
        <f t="shared" si="13"/>
        <v>6349</v>
      </c>
      <c r="I96" s="87">
        <f t="shared" si="13"/>
        <v>0</v>
      </c>
      <c r="J96" s="87">
        <f t="shared" si="13"/>
        <v>6264</v>
      </c>
      <c r="K96" s="87">
        <f t="shared" si="13"/>
        <v>0</v>
      </c>
      <c r="L96" s="87">
        <f t="shared" si="13"/>
        <v>7933</v>
      </c>
      <c r="M96" s="87">
        <f t="shared" si="13"/>
        <v>0</v>
      </c>
      <c r="N96" s="87">
        <f t="shared" si="13"/>
        <v>11791</v>
      </c>
      <c r="O96" s="87">
        <f t="shared" si="13"/>
        <v>389</v>
      </c>
      <c r="P96" s="87">
        <f t="shared" si="13"/>
        <v>14632</v>
      </c>
      <c r="Q96" s="87">
        <f t="shared" si="13"/>
        <v>2737</v>
      </c>
      <c r="R96" s="87">
        <f t="shared" si="13"/>
        <v>12532</v>
      </c>
      <c r="S96" s="87">
        <f t="shared" si="13"/>
        <v>884</v>
      </c>
      <c r="T96" s="87">
        <f t="shared" si="13"/>
        <v>12291</v>
      </c>
      <c r="U96" s="87">
        <f t="shared" si="13"/>
        <v>553</v>
      </c>
      <c r="V96" s="87">
        <f>SUM(V97:V106)</f>
        <v>12854</v>
      </c>
      <c r="W96" s="87">
        <f>SUM(W97:W106)</f>
        <v>1045</v>
      </c>
    </row>
    <row r="97" spans="1:23" s="2" customFormat="1" ht="12.75">
      <c r="A97" s="73"/>
      <c r="B97" s="78"/>
      <c r="C97" s="51" t="s">
        <v>128</v>
      </c>
      <c r="D97" s="74"/>
      <c r="F97" s="52">
        <v>105</v>
      </c>
      <c r="G97" s="71"/>
      <c r="H97" s="52">
        <v>147</v>
      </c>
      <c r="I97" s="71"/>
      <c r="J97" s="52">
        <v>128</v>
      </c>
      <c r="K97" s="71"/>
      <c r="L97" s="33">
        <v>123</v>
      </c>
      <c r="M97" s="72"/>
      <c r="N97" s="52">
        <v>186</v>
      </c>
      <c r="O97" s="72">
        <v>186</v>
      </c>
      <c r="P97" s="52">
        <v>186</v>
      </c>
      <c r="Q97" s="72">
        <v>186</v>
      </c>
      <c r="R97" s="52">
        <v>183</v>
      </c>
      <c r="S97" s="72">
        <v>183</v>
      </c>
      <c r="T97" s="52">
        <v>173</v>
      </c>
      <c r="U97" s="72">
        <v>173</v>
      </c>
      <c r="V97" s="52">
        <v>180</v>
      </c>
      <c r="W97" s="72">
        <v>180</v>
      </c>
    </row>
    <row r="98" spans="1:23" s="2" customFormat="1" ht="12.75">
      <c r="A98" s="73"/>
      <c r="B98" s="78"/>
      <c r="C98" s="51" t="s">
        <v>62</v>
      </c>
      <c r="D98" s="74"/>
      <c r="F98" s="52">
        <v>3844</v>
      </c>
      <c r="G98" s="71"/>
      <c r="H98" s="52">
        <v>4010</v>
      </c>
      <c r="I98" s="71"/>
      <c r="J98" s="52">
        <v>4651</v>
      </c>
      <c r="K98" s="71"/>
      <c r="L98" s="33">
        <v>4661</v>
      </c>
      <c r="M98" s="72"/>
      <c r="N98" s="52">
        <v>5460</v>
      </c>
      <c r="O98" s="72"/>
      <c r="P98" s="52">
        <v>5457</v>
      </c>
      <c r="Q98" s="72"/>
      <c r="R98" s="52">
        <v>5686</v>
      </c>
      <c r="S98" s="72"/>
      <c r="T98" s="52">
        <v>5615</v>
      </c>
      <c r="U98" s="72"/>
      <c r="V98" s="52">
        <v>5702</v>
      </c>
      <c r="W98" s="72"/>
    </row>
    <row r="99" spans="1:23" s="2" customFormat="1" ht="12.75">
      <c r="A99" s="73"/>
      <c r="B99" s="78"/>
      <c r="C99" s="51" t="s">
        <v>129</v>
      </c>
      <c r="D99" s="74"/>
      <c r="F99" s="52">
        <v>178</v>
      </c>
      <c r="G99" s="71"/>
      <c r="H99" s="52">
        <v>177</v>
      </c>
      <c r="I99" s="71"/>
      <c r="J99" s="52">
        <v>193</v>
      </c>
      <c r="K99" s="71"/>
      <c r="L99" s="33">
        <v>189</v>
      </c>
      <c r="M99" s="72"/>
      <c r="N99" s="52">
        <v>203</v>
      </c>
      <c r="O99" s="72">
        <v>203</v>
      </c>
      <c r="P99" s="52">
        <v>202</v>
      </c>
      <c r="Q99" s="72">
        <v>202</v>
      </c>
      <c r="R99" s="52">
        <v>193</v>
      </c>
      <c r="S99" s="72">
        <v>193</v>
      </c>
      <c r="T99" s="52">
        <v>218</v>
      </c>
      <c r="U99" s="72">
        <v>218</v>
      </c>
      <c r="V99" s="52">
        <v>220</v>
      </c>
      <c r="W99" s="72">
        <v>220</v>
      </c>
    </row>
    <row r="100" spans="1:23" s="2" customFormat="1" ht="12.75">
      <c r="A100" s="73"/>
      <c r="B100" s="78"/>
      <c r="C100" s="51" t="s">
        <v>63</v>
      </c>
      <c r="D100" s="74"/>
      <c r="F100" s="52">
        <v>720</v>
      </c>
      <c r="G100" s="71"/>
      <c r="H100" s="52">
        <v>695</v>
      </c>
      <c r="I100" s="71"/>
      <c r="J100" s="52">
        <v>501</v>
      </c>
      <c r="K100" s="71"/>
      <c r="L100" s="33">
        <v>134</v>
      </c>
      <c r="M100" s="72"/>
      <c r="N100" s="52">
        <v>36</v>
      </c>
      <c r="O100" s="72"/>
      <c r="P100" s="52">
        <v>27</v>
      </c>
      <c r="Q100" s="72"/>
      <c r="R100" s="52">
        <v>18</v>
      </c>
      <c r="S100" s="72"/>
      <c r="T100" s="52"/>
      <c r="U100" s="72"/>
      <c r="V100" s="52"/>
      <c r="W100" s="72"/>
    </row>
    <row r="101" spans="1:23" s="2" customFormat="1" ht="12.75">
      <c r="A101" s="73"/>
      <c r="B101" s="78"/>
      <c r="C101" s="51" t="s">
        <v>64</v>
      </c>
      <c r="D101" s="74"/>
      <c r="F101" s="52">
        <v>544</v>
      </c>
      <c r="G101" s="71"/>
      <c r="H101" s="52">
        <v>581</v>
      </c>
      <c r="I101" s="71"/>
      <c r="J101" s="52">
        <v>361</v>
      </c>
      <c r="K101" s="71"/>
      <c r="L101" s="33">
        <v>282</v>
      </c>
      <c r="M101" s="72"/>
      <c r="N101" s="52">
        <v>290</v>
      </c>
      <c r="O101" s="72"/>
      <c r="P101" s="52">
        <v>792</v>
      </c>
      <c r="Q101" s="72"/>
      <c r="R101" s="52">
        <v>304</v>
      </c>
      <c r="S101" s="72"/>
      <c r="T101" s="52">
        <v>311</v>
      </c>
      <c r="U101" s="72"/>
      <c r="V101" s="52">
        <v>317</v>
      </c>
      <c r="W101" s="72"/>
    </row>
    <row r="102" spans="1:23" s="2" customFormat="1" ht="12.75">
      <c r="A102" s="73"/>
      <c r="B102" s="78"/>
      <c r="C102" s="13" t="s">
        <v>41</v>
      </c>
      <c r="D102" s="74"/>
      <c r="F102" s="52">
        <v>402</v>
      </c>
      <c r="G102" s="71"/>
      <c r="H102" s="52">
        <v>739</v>
      </c>
      <c r="I102" s="71"/>
      <c r="J102" s="52">
        <v>430</v>
      </c>
      <c r="K102" s="71"/>
      <c r="L102" s="33">
        <v>272</v>
      </c>
      <c r="M102" s="72"/>
      <c r="N102" s="52">
        <v>374</v>
      </c>
      <c r="O102" s="72"/>
      <c r="P102" s="52">
        <f>219+3</f>
        <v>222</v>
      </c>
      <c r="Q102" s="72">
        <v>3</v>
      </c>
      <c r="R102" s="52">
        <f>212+1</f>
        <v>213</v>
      </c>
      <c r="S102" s="72">
        <v>1</v>
      </c>
      <c r="T102" s="52">
        <f>284+7</f>
        <v>291</v>
      </c>
      <c r="U102" s="72">
        <v>7</v>
      </c>
      <c r="V102" s="52">
        <f>198+2</f>
        <v>200</v>
      </c>
      <c r="W102" s="72">
        <v>2</v>
      </c>
    </row>
    <row r="103" spans="1:23" s="2" customFormat="1" ht="12.75">
      <c r="A103" s="73"/>
      <c r="B103" s="78"/>
      <c r="C103" s="50" t="s">
        <v>136</v>
      </c>
      <c r="D103" s="74"/>
      <c r="F103" s="52"/>
      <c r="G103" s="71"/>
      <c r="H103" s="52"/>
      <c r="I103" s="71"/>
      <c r="J103" s="52"/>
      <c r="K103" s="71"/>
      <c r="L103" s="33"/>
      <c r="M103" s="72"/>
      <c r="N103" s="52"/>
      <c r="O103" s="72"/>
      <c r="P103" s="52"/>
      <c r="Q103" s="72"/>
      <c r="R103" s="52"/>
      <c r="S103" s="72"/>
      <c r="T103" s="52"/>
      <c r="U103" s="72"/>
      <c r="V103" s="52">
        <v>10</v>
      </c>
      <c r="W103" s="72">
        <v>10</v>
      </c>
    </row>
    <row r="104" spans="1:23" s="2" customFormat="1" ht="12.75">
      <c r="A104" s="73"/>
      <c r="B104" s="78"/>
      <c r="C104" s="51" t="s">
        <v>67</v>
      </c>
      <c r="D104" s="74"/>
      <c r="F104" s="52"/>
      <c r="G104" s="71"/>
      <c r="H104" s="52"/>
      <c r="I104" s="71"/>
      <c r="J104" s="52"/>
      <c r="K104" s="71"/>
      <c r="L104" s="33"/>
      <c r="M104" s="72"/>
      <c r="N104" s="52"/>
      <c r="O104" s="72"/>
      <c r="P104" s="52">
        <v>162</v>
      </c>
      <c r="Q104" s="72"/>
      <c r="R104" s="52">
        <v>114</v>
      </c>
      <c r="S104" s="72"/>
      <c r="T104" s="52">
        <v>145</v>
      </c>
      <c r="U104" s="72"/>
      <c r="V104" s="52">
        <v>145</v>
      </c>
      <c r="W104" s="72"/>
    </row>
    <row r="105" spans="1:23" s="2" customFormat="1" ht="12.75">
      <c r="A105" s="73"/>
      <c r="B105" s="78"/>
      <c r="C105" s="51" t="s">
        <v>66</v>
      </c>
      <c r="D105" s="74"/>
      <c r="F105" s="52"/>
      <c r="G105" s="71"/>
      <c r="H105" s="52"/>
      <c r="I105" s="71"/>
      <c r="J105" s="52"/>
      <c r="K105" s="71"/>
      <c r="L105" s="33"/>
      <c r="M105" s="72"/>
      <c r="N105" s="52"/>
      <c r="O105" s="72"/>
      <c r="P105" s="52">
        <v>2346</v>
      </c>
      <c r="Q105" s="109">
        <v>2346</v>
      </c>
      <c r="R105" s="52">
        <v>507</v>
      </c>
      <c r="S105" s="109">
        <v>507</v>
      </c>
      <c r="T105" s="52">
        <v>155</v>
      </c>
      <c r="U105" s="109">
        <v>155</v>
      </c>
      <c r="V105" s="52">
        <v>633</v>
      </c>
      <c r="W105" s="109">
        <v>633</v>
      </c>
    </row>
    <row r="106" spans="1:23" s="2" customFormat="1" ht="12.75">
      <c r="A106" s="81"/>
      <c r="B106" s="128"/>
      <c r="C106" s="82" t="s">
        <v>130</v>
      </c>
      <c r="D106" s="83"/>
      <c r="E106" s="85"/>
      <c r="F106" s="95"/>
      <c r="G106" s="96"/>
      <c r="H106" s="95"/>
      <c r="I106" s="96"/>
      <c r="J106" s="95"/>
      <c r="K106" s="96"/>
      <c r="L106" s="34">
        <v>2272</v>
      </c>
      <c r="M106" s="84"/>
      <c r="N106" s="95">
        <v>5242</v>
      </c>
      <c r="O106" s="84"/>
      <c r="P106" s="95">
        <v>5238</v>
      </c>
      <c r="Q106" s="84"/>
      <c r="R106" s="95">
        <v>5314</v>
      </c>
      <c r="S106" s="84"/>
      <c r="T106" s="95">
        <v>5383</v>
      </c>
      <c r="U106" s="84"/>
      <c r="V106" s="95">
        <v>5447</v>
      </c>
      <c r="W106" s="84"/>
    </row>
    <row r="107" spans="1:23" s="2" customFormat="1" ht="12.75">
      <c r="A107" s="40" t="s">
        <v>111</v>
      </c>
      <c r="B107" s="41"/>
      <c r="C107" s="41"/>
      <c r="D107" s="42"/>
      <c r="E107" s="45"/>
      <c r="F107" s="49">
        <f>SUM(F108:F114)</f>
        <v>1306</v>
      </c>
      <c r="G107" s="49">
        <f aca="true" t="shared" si="14" ref="G107:U107">SUM(G108:G114)</f>
        <v>44</v>
      </c>
      <c r="H107" s="49">
        <f t="shared" si="14"/>
        <v>513</v>
      </c>
      <c r="I107" s="49">
        <f t="shared" si="14"/>
        <v>104</v>
      </c>
      <c r="J107" s="49">
        <f t="shared" si="14"/>
        <v>1248</v>
      </c>
      <c r="K107" s="49">
        <f t="shared" si="14"/>
        <v>239</v>
      </c>
      <c r="L107" s="49">
        <f t="shared" si="14"/>
        <v>879</v>
      </c>
      <c r="M107" s="49">
        <f t="shared" si="14"/>
        <v>166</v>
      </c>
      <c r="N107" s="49">
        <f t="shared" si="14"/>
        <v>2560</v>
      </c>
      <c r="O107" s="49">
        <f t="shared" si="14"/>
        <v>1789</v>
      </c>
      <c r="P107" s="49">
        <f t="shared" si="14"/>
        <v>1801</v>
      </c>
      <c r="Q107" s="49">
        <f t="shared" si="14"/>
        <v>1134</v>
      </c>
      <c r="R107" s="49">
        <f t="shared" si="14"/>
        <v>1907</v>
      </c>
      <c r="S107" s="49">
        <f t="shared" si="14"/>
        <v>1693</v>
      </c>
      <c r="T107" s="49">
        <f t="shared" si="14"/>
        <v>827</v>
      </c>
      <c r="U107" s="49">
        <f t="shared" si="14"/>
        <v>407</v>
      </c>
      <c r="V107" s="49">
        <f>SUM(V108:V114)</f>
        <v>601</v>
      </c>
      <c r="W107" s="49">
        <f>SUM(W108:W114)</f>
        <v>223</v>
      </c>
    </row>
    <row r="108" spans="1:23" s="2" customFormat="1" ht="12.75">
      <c r="A108" s="73"/>
      <c r="B108" s="51" t="s">
        <v>40</v>
      </c>
      <c r="C108" s="51"/>
      <c r="D108" s="74"/>
      <c r="F108" s="53"/>
      <c r="G108" s="65"/>
      <c r="H108" s="53"/>
      <c r="I108" s="65"/>
      <c r="J108" s="53"/>
      <c r="K108" s="65"/>
      <c r="L108" s="33"/>
      <c r="M108" s="72"/>
      <c r="N108" s="53">
        <v>207</v>
      </c>
      <c r="O108" s="109"/>
      <c r="P108" s="53">
        <v>207</v>
      </c>
      <c r="Q108" s="109"/>
      <c r="R108" s="53"/>
      <c r="S108" s="109"/>
      <c r="T108" s="53"/>
      <c r="U108" s="109"/>
      <c r="V108" s="53"/>
      <c r="W108" s="109"/>
    </row>
    <row r="109" spans="1:23" s="2" customFormat="1" ht="12.75">
      <c r="A109" s="73"/>
      <c r="B109" s="13" t="s">
        <v>31</v>
      </c>
      <c r="C109" s="51"/>
      <c r="D109" s="74"/>
      <c r="F109" s="33">
        <f>105+33+44</f>
        <v>182</v>
      </c>
      <c r="G109" s="26">
        <v>44</v>
      </c>
      <c r="H109" s="33">
        <f>18+64+82</f>
        <v>164</v>
      </c>
      <c r="I109" s="26">
        <v>82</v>
      </c>
      <c r="J109" s="33">
        <f>153+79+172</f>
        <v>404</v>
      </c>
      <c r="K109" s="26">
        <v>172</v>
      </c>
      <c r="L109" s="33">
        <f>546+56+166</f>
        <v>768</v>
      </c>
      <c r="M109" s="29">
        <v>166</v>
      </c>
      <c r="N109" s="33">
        <f>508+56+77</f>
        <v>641</v>
      </c>
      <c r="O109" s="29">
        <v>77</v>
      </c>
      <c r="P109" s="33">
        <f>155+28+146</f>
        <v>329</v>
      </c>
      <c r="Q109" s="29">
        <v>146</v>
      </c>
      <c r="R109" s="33">
        <f>163+134</f>
        <v>297</v>
      </c>
      <c r="S109" s="29">
        <v>134</v>
      </c>
      <c r="T109" s="33">
        <f>283+326</f>
        <v>609</v>
      </c>
      <c r="U109" s="29">
        <v>326</v>
      </c>
      <c r="V109" s="33">
        <f>325+221</f>
        <v>546</v>
      </c>
      <c r="W109" s="29">
        <v>221</v>
      </c>
    </row>
    <row r="110" spans="1:23" s="2" customFormat="1" ht="12.75">
      <c r="A110" s="73"/>
      <c r="B110" s="50" t="s">
        <v>26</v>
      </c>
      <c r="C110" s="51"/>
      <c r="D110" s="74"/>
      <c r="F110" s="33"/>
      <c r="G110" s="26"/>
      <c r="H110" s="33"/>
      <c r="I110" s="26"/>
      <c r="J110" s="33"/>
      <c r="K110" s="26"/>
      <c r="L110" s="33"/>
      <c r="M110" s="29"/>
      <c r="N110" s="33"/>
      <c r="O110" s="117"/>
      <c r="P110" s="33">
        <v>32</v>
      </c>
      <c r="Q110" s="117"/>
      <c r="R110" s="33">
        <v>51</v>
      </c>
      <c r="S110" s="117"/>
      <c r="T110" s="33">
        <v>29</v>
      </c>
      <c r="U110" s="117"/>
      <c r="V110" s="33"/>
      <c r="W110" s="117"/>
    </row>
    <row r="111" spans="1:23" s="2" customFormat="1" ht="12.75">
      <c r="A111" s="73"/>
      <c r="B111" s="51" t="s">
        <v>43</v>
      </c>
      <c r="C111" s="51"/>
      <c r="D111" s="74"/>
      <c r="F111" s="33">
        <v>2</v>
      </c>
      <c r="G111" s="26"/>
      <c r="H111" s="33">
        <v>2</v>
      </c>
      <c r="I111" s="26"/>
      <c r="J111" s="33">
        <v>2</v>
      </c>
      <c r="K111" s="26"/>
      <c r="L111" s="33"/>
      <c r="M111" s="29"/>
      <c r="N111" s="33"/>
      <c r="O111" s="29"/>
      <c r="P111" s="33"/>
      <c r="Q111" s="29"/>
      <c r="R111" s="33"/>
      <c r="S111" s="29"/>
      <c r="T111" s="33"/>
      <c r="U111" s="29"/>
      <c r="V111" s="33"/>
      <c r="W111" s="29"/>
    </row>
    <row r="112" spans="1:23" s="2" customFormat="1" ht="12.75">
      <c r="A112" s="73"/>
      <c r="B112" s="51" t="s">
        <v>135</v>
      </c>
      <c r="C112" s="51"/>
      <c r="D112" s="74"/>
      <c r="F112" s="33"/>
      <c r="G112" s="26"/>
      <c r="H112" s="33"/>
      <c r="I112" s="26"/>
      <c r="J112" s="33"/>
      <c r="K112" s="26"/>
      <c r="L112" s="33"/>
      <c r="M112" s="29"/>
      <c r="N112" s="33"/>
      <c r="O112" s="29"/>
      <c r="P112" s="33"/>
      <c r="Q112" s="29"/>
      <c r="R112" s="33"/>
      <c r="S112" s="29"/>
      <c r="T112" s="33"/>
      <c r="U112" s="29"/>
      <c r="V112" s="33">
        <v>2</v>
      </c>
      <c r="W112" s="29">
        <v>2</v>
      </c>
    </row>
    <row r="113" spans="1:23" s="2" customFormat="1" ht="12.75">
      <c r="A113" s="73"/>
      <c r="B113" s="51" t="s">
        <v>20</v>
      </c>
      <c r="C113" s="51"/>
      <c r="D113" s="74"/>
      <c r="F113" s="33"/>
      <c r="G113" s="26"/>
      <c r="H113" s="33">
        <v>56</v>
      </c>
      <c r="I113" s="26"/>
      <c r="J113" s="33"/>
      <c r="K113" s="26"/>
      <c r="L113" s="33">
        <v>111</v>
      </c>
      <c r="M113" s="29"/>
      <c r="N113" s="33">
        <v>117</v>
      </c>
      <c r="O113" s="117">
        <v>117</v>
      </c>
      <c r="P113" s="33"/>
      <c r="Q113" s="117"/>
      <c r="R113" s="33"/>
      <c r="S113" s="117"/>
      <c r="T113" s="33">
        <f>108+81</f>
        <v>189</v>
      </c>
      <c r="U113" s="117">
        <v>81</v>
      </c>
      <c r="V113" s="33">
        <v>53</v>
      </c>
      <c r="W113" s="117"/>
    </row>
    <row r="114" spans="1:23" s="2" customFormat="1" ht="12.75">
      <c r="A114" s="81"/>
      <c r="B114" s="82" t="s">
        <v>72</v>
      </c>
      <c r="C114" s="82"/>
      <c r="D114" s="83"/>
      <c r="E114" s="85"/>
      <c r="F114" s="34">
        <v>1122</v>
      </c>
      <c r="G114" s="140"/>
      <c r="H114" s="34">
        <f>269+22</f>
        <v>291</v>
      </c>
      <c r="I114" s="140">
        <v>22</v>
      </c>
      <c r="J114" s="34">
        <f>775+67</f>
        <v>842</v>
      </c>
      <c r="K114" s="140">
        <v>67</v>
      </c>
      <c r="L114" s="34"/>
      <c r="M114" s="30"/>
      <c r="N114" s="34">
        <v>1595</v>
      </c>
      <c r="O114" s="152">
        <v>1595</v>
      </c>
      <c r="P114" s="34">
        <f>245+988</f>
        <v>1233</v>
      </c>
      <c r="Q114" s="152">
        <v>988</v>
      </c>
      <c r="R114" s="34">
        <v>1559</v>
      </c>
      <c r="S114" s="152">
        <v>1559</v>
      </c>
      <c r="T114" s="34"/>
      <c r="U114" s="152"/>
      <c r="V114" s="34"/>
      <c r="W114" s="152"/>
    </row>
    <row r="115" spans="1:23" s="2" customFormat="1" ht="12.75">
      <c r="A115" s="130" t="s">
        <v>113</v>
      </c>
      <c r="B115" s="125"/>
      <c r="C115" s="125"/>
      <c r="D115" s="126"/>
      <c r="E115" s="127"/>
      <c r="F115" s="129">
        <f aca="true" t="shared" si="15" ref="F115:W115">+F116+F119+F129+F140</f>
        <v>25153</v>
      </c>
      <c r="G115" s="129">
        <f t="shared" si="15"/>
        <v>3773</v>
      </c>
      <c r="H115" s="129">
        <f t="shared" si="15"/>
        <v>28104</v>
      </c>
      <c r="I115" s="129">
        <f t="shared" si="15"/>
        <v>4562</v>
      </c>
      <c r="J115" s="129">
        <f t="shared" si="15"/>
        <v>26350</v>
      </c>
      <c r="K115" s="129">
        <f t="shared" si="15"/>
        <v>2211</v>
      </c>
      <c r="L115" s="129">
        <f t="shared" si="15"/>
        <v>32803</v>
      </c>
      <c r="M115" s="129">
        <f t="shared" si="15"/>
        <v>8678</v>
      </c>
      <c r="N115" s="129">
        <f t="shared" si="15"/>
        <v>37013</v>
      </c>
      <c r="O115" s="129">
        <f t="shared" si="15"/>
        <v>7241</v>
      </c>
      <c r="P115" s="129">
        <f t="shared" si="15"/>
        <v>35943</v>
      </c>
      <c r="Q115" s="129">
        <f t="shared" si="15"/>
        <v>6361</v>
      </c>
      <c r="R115" s="129">
        <f t="shared" si="15"/>
        <v>31903</v>
      </c>
      <c r="S115" s="129">
        <f t="shared" si="15"/>
        <v>7463</v>
      </c>
      <c r="T115" s="129">
        <f t="shared" si="15"/>
        <v>37919</v>
      </c>
      <c r="U115" s="129">
        <f t="shared" si="15"/>
        <v>11146</v>
      </c>
      <c r="V115" s="129">
        <f t="shared" si="15"/>
        <v>36195</v>
      </c>
      <c r="W115" s="129">
        <f t="shared" si="15"/>
        <v>10042</v>
      </c>
    </row>
    <row r="116" spans="1:23" s="157" customFormat="1" ht="12.75">
      <c r="A116" s="138"/>
      <c r="B116" s="78" t="s">
        <v>114</v>
      </c>
      <c r="D116" s="158"/>
      <c r="F116" s="87">
        <f>SUM(F117:F118)</f>
        <v>0</v>
      </c>
      <c r="G116" s="87">
        <f aca="true" t="shared" si="16" ref="G116:U116">SUM(G117:G118)</f>
        <v>0</v>
      </c>
      <c r="H116" s="87">
        <f t="shared" si="16"/>
        <v>0</v>
      </c>
      <c r="I116" s="87">
        <f t="shared" si="16"/>
        <v>0</v>
      </c>
      <c r="J116" s="87">
        <f t="shared" si="16"/>
        <v>0</v>
      </c>
      <c r="K116" s="87">
        <f t="shared" si="16"/>
        <v>0</v>
      </c>
      <c r="L116" s="87">
        <f t="shared" si="16"/>
        <v>0</v>
      </c>
      <c r="M116" s="87">
        <f t="shared" si="16"/>
        <v>0</v>
      </c>
      <c r="N116" s="87">
        <f t="shared" si="16"/>
        <v>0</v>
      </c>
      <c r="O116" s="87">
        <f t="shared" si="16"/>
        <v>0</v>
      </c>
      <c r="P116" s="87">
        <f t="shared" si="16"/>
        <v>0</v>
      </c>
      <c r="Q116" s="87">
        <f t="shared" si="16"/>
        <v>0</v>
      </c>
      <c r="R116" s="87">
        <f t="shared" si="16"/>
        <v>242</v>
      </c>
      <c r="S116" s="87">
        <f t="shared" si="16"/>
        <v>242</v>
      </c>
      <c r="T116" s="87">
        <f t="shared" si="16"/>
        <v>225</v>
      </c>
      <c r="U116" s="87">
        <f t="shared" si="16"/>
        <v>225</v>
      </c>
      <c r="V116" s="87">
        <f>SUM(V117:V118)</f>
        <v>55</v>
      </c>
      <c r="W116" s="87">
        <f>SUM(W117:W118)</f>
        <v>55</v>
      </c>
    </row>
    <row r="117" spans="1:23" s="2" customFormat="1" ht="12.75">
      <c r="A117" s="73"/>
      <c r="B117" s="51"/>
      <c r="C117" s="51" t="s">
        <v>135</v>
      </c>
      <c r="D117" s="74"/>
      <c r="F117" s="53"/>
      <c r="G117" s="65"/>
      <c r="H117" s="53"/>
      <c r="I117" s="65"/>
      <c r="J117" s="71"/>
      <c r="K117" s="71"/>
      <c r="L117" s="26"/>
      <c r="M117" s="72"/>
      <c r="N117" s="71"/>
      <c r="O117" s="109"/>
      <c r="P117" s="52"/>
      <c r="Q117" s="109"/>
      <c r="R117" s="71">
        <v>35</v>
      </c>
      <c r="S117" s="109">
        <v>35</v>
      </c>
      <c r="T117" s="71">
        <v>18</v>
      </c>
      <c r="U117" s="109">
        <v>18</v>
      </c>
      <c r="V117" s="71">
        <v>55</v>
      </c>
      <c r="W117" s="109">
        <v>55</v>
      </c>
    </row>
    <row r="118" spans="1:23" s="2" customFormat="1" ht="12.75">
      <c r="A118" s="73"/>
      <c r="B118" s="51"/>
      <c r="C118" s="51" t="s">
        <v>74</v>
      </c>
      <c r="D118" s="74"/>
      <c r="F118" s="53"/>
      <c r="G118" s="65"/>
      <c r="H118" s="53"/>
      <c r="I118" s="65"/>
      <c r="J118" s="71"/>
      <c r="K118" s="71"/>
      <c r="L118" s="26"/>
      <c r="M118" s="72"/>
      <c r="N118" s="71"/>
      <c r="O118" s="109"/>
      <c r="P118" s="52"/>
      <c r="Q118" s="109"/>
      <c r="R118" s="71">
        <v>207</v>
      </c>
      <c r="S118" s="109">
        <v>207</v>
      </c>
      <c r="T118" s="71">
        <v>207</v>
      </c>
      <c r="U118" s="109">
        <v>207</v>
      </c>
      <c r="V118" s="71"/>
      <c r="W118" s="109"/>
    </row>
    <row r="119" spans="1:23" s="2" customFormat="1" ht="12.75">
      <c r="A119" s="73"/>
      <c r="B119" s="78" t="s">
        <v>115</v>
      </c>
      <c r="C119" s="78"/>
      <c r="D119" s="74"/>
      <c r="F119" s="87">
        <f aca="true" t="shared" si="17" ref="F119:U119">SUM(F120:F128)</f>
        <v>7015</v>
      </c>
      <c r="G119" s="87">
        <f t="shared" si="17"/>
        <v>0</v>
      </c>
      <c r="H119" s="87">
        <f t="shared" si="17"/>
        <v>7386</v>
      </c>
      <c r="I119" s="87">
        <f t="shared" si="17"/>
        <v>0</v>
      </c>
      <c r="J119" s="87">
        <f t="shared" si="17"/>
        <v>7765</v>
      </c>
      <c r="K119" s="87">
        <f t="shared" si="17"/>
        <v>0</v>
      </c>
      <c r="L119" s="87">
        <f t="shared" si="17"/>
        <v>8212</v>
      </c>
      <c r="M119" s="87">
        <f t="shared" si="17"/>
        <v>0</v>
      </c>
      <c r="N119" s="87">
        <f t="shared" si="17"/>
        <v>8469</v>
      </c>
      <c r="O119" s="87">
        <f t="shared" si="17"/>
        <v>193</v>
      </c>
      <c r="P119" s="87">
        <f t="shared" si="17"/>
        <v>8515</v>
      </c>
      <c r="Q119" s="87">
        <f t="shared" si="17"/>
        <v>844</v>
      </c>
      <c r="R119" s="87">
        <f t="shared" si="17"/>
        <v>1103</v>
      </c>
      <c r="S119" s="87">
        <f t="shared" si="17"/>
        <v>830</v>
      </c>
      <c r="T119" s="87">
        <f t="shared" si="17"/>
        <v>875</v>
      </c>
      <c r="U119" s="87">
        <f t="shared" si="17"/>
        <v>739</v>
      </c>
      <c r="V119" s="87">
        <f>SUM(V120:V128)</f>
        <v>921</v>
      </c>
      <c r="W119" s="87">
        <f>SUM(W120:W128)</f>
        <v>892</v>
      </c>
    </row>
    <row r="120" spans="1:23" s="2" customFormat="1" ht="12.75">
      <c r="A120" s="73"/>
      <c r="B120" s="51"/>
      <c r="C120" s="7" t="s">
        <v>68</v>
      </c>
      <c r="D120" s="74"/>
      <c r="F120" s="35">
        <v>2713</v>
      </c>
      <c r="G120" s="61"/>
      <c r="H120" s="35">
        <v>3258</v>
      </c>
      <c r="I120" s="61"/>
      <c r="J120" s="35">
        <v>3206</v>
      </c>
      <c r="K120" s="61"/>
      <c r="L120" s="33">
        <v>2763</v>
      </c>
      <c r="M120" s="65"/>
      <c r="N120" s="35">
        <v>2868</v>
      </c>
      <c r="O120" s="65"/>
      <c r="P120" s="35">
        <v>3458</v>
      </c>
      <c r="Q120" s="65"/>
      <c r="R120" s="35"/>
      <c r="S120" s="65"/>
      <c r="T120" s="35"/>
      <c r="U120" s="65"/>
      <c r="V120" s="35"/>
      <c r="W120" s="65"/>
    </row>
    <row r="121" spans="1:23" s="2" customFormat="1" ht="12.75">
      <c r="A121" s="73"/>
      <c r="B121" s="51"/>
      <c r="C121" s="7" t="s">
        <v>69</v>
      </c>
      <c r="D121" s="74"/>
      <c r="F121" s="35">
        <v>2295</v>
      </c>
      <c r="G121" s="61"/>
      <c r="H121" s="35">
        <v>1644</v>
      </c>
      <c r="I121" s="61"/>
      <c r="J121" s="35">
        <v>1647</v>
      </c>
      <c r="K121" s="61"/>
      <c r="L121" s="33">
        <v>1455</v>
      </c>
      <c r="M121" s="65"/>
      <c r="N121" s="35">
        <v>1241</v>
      </c>
      <c r="O121" s="65"/>
      <c r="P121" s="35">
        <v>974</v>
      </c>
      <c r="Q121" s="65"/>
      <c r="R121" s="35"/>
      <c r="S121" s="65"/>
      <c r="T121" s="35"/>
      <c r="U121" s="65"/>
      <c r="V121" s="35"/>
      <c r="W121" s="65"/>
    </row>
    <row r="122" spans="1:23" s="2" customFormat="1" ht="12.75">
      <c r="A122" s="73"/>
      <c r="B122" s="51"/>
      <c r="C122" s="7" t="s">
        <v>70</v>
      </c>
      <c r="D122" s="74"/>
      <c r="F122" s="35">
        <v>13</v>
      </c>
      <c r="G122" s="61"/>
      <c r="H122" s="35">
        <v>573</v>
      </c>
      <c r="I122" s="61"/>
      <c r="J122" s="35">
        <v>573</v>
      </c>
      <c r="K122" s="61"/>
      <c r="L122" s="33">
        <v>688</v>
      </c>
      <c r="M122" s="65"/>
      <c r="N122" s="35">
        <v>989</v>
      </c>
      <c r="O122" s="65"/>
      <c r="P122" s="35">
        <f>296+808</f>
        <v>1104</v>
      </c>
      <c r="Q122" s="65">
        <v>808</v>
      </c>
      <c r="R122" s="35">
        <f>252+775</f>
        <v>1027</v>
      </c>
      <c r="S122" s="65">
        <v>775</v>
      </c>
      <c r="T122" s="35">
        <f>107+715</f>
        <v>822</v>
      </c>
      <c r="U122" s="65">
        <v>715</v>
      </c>
      <c r="V122" s="35">
        <v>765</v>
      </c>
      <c r="W122" s="65">
        <v>765</v>
      </c>
    </row>
    <row r="123" spans="1:23" s="2" customFormat="1" ht="12.75">
      <c r="A123" s="73"/>
      <c r="B123" s="51"/>
      <c r="C123" s="50" t="s">
        <v>71</v>
      </c>
      <c r="D123" s="74"/>
      <c r="F123" s="52">
        <v>1994</v>
      </c>
      <c r="G123" s="71"/>
      <c r="H123" s="52">
        <v>1911</v>
      </c>
      <c r="I123" s="71"/>
      <c r="J123" s="52">
        <v>2339</v>
      </c>
      <c r="K123" s="71"/>
      <c r="L123" s="33">
        <v>3306</v>
      </c>
      <c r="M123" s="65"/>
      <c r="N123" s="52">
        <v>3149</v>
      </c>
      <c r="O123" s="65"/>
      <c r="P123" s="52">
        <v>2942</v>
      </c>
      <c r="Q123" s="65"/>
      <c r="R123" s="52"/>
      <c r="S123" s="65"/>
      <c r="T123" s="52"/>
      <c r="U123" s="65"/>
      <c r="V123" s="52"/>
      <c r="W123" s="65"/>
    </row>
    <row r="124" spans="1:23" s="2" customFormat="1" ht="12.75">
      <c r="A124" s="73"/>
      <c r="B124" s="51"/>
      <c r="C124" s="51" t="s">
        <v>72</v>
      </c>
      <c r="D124" s="74"/>
      <c r="F124" s="52"/>
      <c r="G124" s="71"/>
      <c r="H124" s="52"/>
      <c r="I124" s="71"/>
      <c r="J124" s="52"/>
      <c r="K124" s="71"/>
      <c r="L124" s="33"/>
      <c r="M124" s="65"/>
      <c r="N124" s="52">
        <v>29</v>
      </c>
      <c r="O124" s="65"/>
      <c r="P124" s="52">
        <f>1+5</f>
        <v>6</v>
      </c>
      <c r="Q124" s="65">
        <v>5</v>
      </c>
      <c r="R124" s="52">
        <v>5</v>
      </c>
      <c r="S124" s="65">
        <v>5</v>
      </c>
      <c r="T124" s="52">
        <v>6</v>
      </c>
      <c r="U124" s="65">
        <v>6</v>
      </c>
      <c r="V124" s="52">
        <v>6</v>
      </c>
      <c r="W124" s="65">
        <v>6</v>
      </c>
    </row>
    <row r="125" spans="1:23" s="2" customFormat="1" ht="12.75">
      <c r="A125" s="73"/>
      <c r="B125" s="51"/>
      <c r="C125" s="51" t="s">
        <v>135</v>
      </c>
      <c r="D125" s="74"/>
      <c r="F125" s="52"/>
      <c r="G125" s="71"/>
      <c r="H125" s="52"/>
      <c r="I125" s="71"/>
      <c r="J125" s="52"/>
      <c r="K125" s="71"/>
      <c r="L125" s="33"/>
      <c r="M125" s="65"/>
      <c r="N125" s="52"/>
      <c r="O125" s="65"/>
      <c r="P125" s="52">
        <v>18</v>
      </c>
      <c r="Q125" s="65">
        <v>18</v>
      </c>
      <c r="R125" s="52"/>
      <c r="S125" s="65"/>
      <c r="T125" s="52"/>
      <c r="U125" s="65"/>
      <c r="V125" s="52"/>
      <c r="W125" s="65"/>
    </row>
    <row r="126" spans="1:23" s="2" customFormat="1" ht="12.75">
      <c r="A126" s="73"/>
      <c r="B126" s="51"/>
      <c r="C126" s="51" t="s">
        <v>80</v>
      </c>
      <c r="D126" s="74"/>
      <c r="F126" s="52"/>
      <c r="G126" s="71"/>
      <c r="H126" s="52"/>
      <c r="I126" s="71"/>
      <c r="J126" s="52"/>
      <c r="K126" s="71"/>
      <c r="L126" s="33"/>
      <c r="M126" s="65"/>
      <c r="N126" s="52">
        <v>38</v>
      </c>
      <c r="O126" s="65">
        <v>38</v>
      </c>
      <c r="P126" s="52">
        <v>13</v>
      </c>
      <c r="Q126" s="65">
        <v>13</v>
      </c>
      <c r="R126" s="52">
        <v>49</v>
      </c>
      <c r="S126" s="65">
        <v>49</v>
      </c>
      <c r="T126" s="52"/>
      <c r="U126" s="65"/>
      <c r="V126" s="52"/>
      <c r="W126" s="65"/>
    </row>
    <row r="127" spans="1:23" s="2" customFormat="1" ht="12.75">
      <c r="A127" s="73"/>
      <c r="B127" s="51"/>
      <c r="C127" s="51" t="s">
        <v>74</v>
      </c>
      <c r="D127" s="74"/>
      <c r="F127" s="52"/>
      <c r="G127" s="71"/>
      <c r="H127" s="52"/>
      <c r="I127" s="71"/>
      <c r="J127" s="52"/>
      <c r="K127" s="71"/>
      <c r="L127" s="33"/>
      <c r="M127" s="65"/>
      <c r="N127" s="52"/>
      <c r="O127" s="65"/>
      <c r="P127" s="52"/>
      <c r="Q127" s="65"/>
      <c r="R127" s="52">
        <v>21</v>
      </c>
      <c r="S127" s="65"/>
      <c r="T127" s="52">
        <v>29</v>
      </c>
      <c r="U127" s="65"/>
      <c r="V127" s="52">
        <v>29</v>
      </c>
      <c r="W127" s="65"/>
    </row>
    <row r="128" spans="1:23" s="2" customFormat="1" ht="12.75">
      <c r="A128" s="73"/>
      <c r="B128" s="51"/>
      <c r="C128" s="7" t="s">
        <v>75</v>
      </c>
      <c r="D128" s="74"/>
      <c r="F128" s="33"/>
      <c r="G128" s="26"/>
      <c r="H128" s="33"/>
      <c r="I128" s="26"/>
      <c r="J128" s="33"/>
      <c r="K128" s="26"/>
      <c r="L128" s="33"/>
      <c r="M128" s="29"/>
      <c r="N128" s="33">
        <v>155</v>
      </c>
      <c r="O128" s="117">
        <v>155</v>
      </c>
      <c r="P128" s="33"/>
      <c r="Q128" s="117"/>
      <c r="R128" s="33">
        <v>1</v>
      </c>
      <c r="S128" s="117">
        <v>1</v>
      </c>
      <c r="T128" s="33">
        <v>18</v>
      </c>
      <c r="U128" s="117">
        <v>18</v>
      </c>
      <c r="V128" s="33">
        <v>121</v>
      </c>
      <c r="W128" s="117">
        <v>121</v>
      </c>
    </row>
    <row r="129" spans="1:23" s="2" customFormat="1" ht="12.75">
      <c r="A129" s="73"/>
      <c r="B129" s="78" t="s">
        <v>116</v>
      </c>
      <c r="C129" s="78"/>
      <c r="D129" s="74"/>
      <c r="F129" s="87">
        <f aca="true" t="shared" si="18" ref="F129:W129">SUM(F130:F139)</f>
        <v>4611</v>
      </c>
      <c r="G129" s="87">
        <f t="shared" si="18"/>
        <v>2113</v>
      </c>
      <c r="H129" s="87">
        <f t="shared" si="18"/>
        <v>5517</v>
      </c>
      <c r="I129" s="87">
        <f t="shared" si="18"/>
        <v>3011</v>
      </c>
      <c r="J129" s="87">
        <f t="shared" si="18"/>
        <v>4359</v>
      </c>
      <c r="K129" s="87">
        <f t="shared" si="18"/>
        <v>1495</v>
      </c>
      <c r="L129" s="87">
        <f t="shared" si="18"/>
        <v>10520</v>
      </c>
      <c r="M129" s="87">
        <f t="shared" si="18"/>
        <v>7547</v>
      </c>
      <c r="N129" s="87">
        <f t="shared" si="18"/>
        <v>10851</v>
      </c>
      <c r="O129" s="87">
        <f t="shared" si="18"/>
        <v>5831</v>
      </c>
      <c r="P129" s="87">
        <f t="shared" si="18"/>
        <v>9542</v>
      </c>
      <c r="Q129" s="87">
        <f t="shared" si="18"/>
        <v>4155</v>
      </c>
      <c r="R129" s="87">
        <f t="shared" si="18"/>
        <v>11338</v>
      </c>
      <c r="S129" s="87">
        <f t="shared" si="18"/>
        <v>5135</v>
      </c>
      <c r="T129" s="87">
        <f t="shared" si="18"/>
        <v>15091</v>
      </c>
      <c r="U129" s="87">
        <f t="shared" si="18"/>
        <v>8612</v>
      </c>
      <c r="V129" s="87">
        <f t="shared" si="18"/>
        <v>13627</v>
      </c>
      <c r="W129" s="87">
        <f t="shared" si="18"/>
        <v>7620</v>
      </c>
    </row>
    <row r="130" spans="1:23" s="2" customFormat="1" ht="12.75">
      <c r="A130" s="73"/>
      <c r="B130" s="51"/>
      <c r="C130" s="7" t="s">
        <v>75</v>
      </c>
      <c r="D130" s="74"/>
      <c r="F130" s="52">
        <v>24</v>
      </c>
      <c r="G130" s="71">
        <v>24</v>
      </c>
      <c r="H130" s="52">
        <v>17</v>
      </c>
      <c r="I130" s="71">
        <v>17</v>
      </c>
      <c r="J130" s="52">
        <f>31+46</f>
        <v>77</v>
      </c>
      <c r="K130" s="71">
        <f>31+46</f>
        <v>77</v>
      </c>
      <c r="L130" s="33">
        <v>2</v>
      </c>
      <c r="M130" s="65">
        <v>2</v>
      </c>
      <c r="N130" s="52">
        <v>5</v>
      </c>
      <c r="O130" s="53">
        <v>5</v>
      </c>
      <c r="P130" s="52">
        <v>1018</v>
      </c>
      <c r="Q130" s="53">
        <v>1018</v>
      </c>
      <c r="R130" s="52">
        <v>1011</v>
      </c>
      <c r="S130" s="53">
        <v>1011</v>
      </c>
      <c r="T130" s="52">
        <v>1436</v>
      </c>
      <c r="U130" s="53">
        <v>1436</v>
      </c>
      <c r="V130" s="52">
        <f>52+3140</f>
        <v>3192</v>
      </c>
      <c r="W130" s="53">
        <f>52+3140</f>
        <v>3192</v>
      </c>
    </row>
    <row r="131" spans="1:23" s="2" customFormat="1" ht="12.75">
      <c r="A131" s="73"/>
      <c r="B131" s="51"/>
      <c r="C131" s="51" t="s">
        <v>30</v>
      </c>
      <c r="D131" s="74"/>
      <c r="F131" s="52">
        <f>781+97</f>
        <v>878</v>
      </c>
      <c r="G131" s="71"/>
      <c r="H131" s="52">
        <f>517+128</f>
        <v>645</v>
      </c>
      <c r="I131" s="71"/>
      <c r="J131" s="52">
        <f>460+148</f>
        <v>608</v>
      </c>
      <c r="K131" s="71"/>
      <c r="L131" s="33">
        <v>507</v>
      </c>
      <c r="M131" s="65"/>
      <c r="N131" s="52">
        <v>2083</v>
      </c>
      <c r="O131" s="65"/>
      <c r="P131" s="52">
        <v>2066</v>
      </c>
      <c r="Q131" s="65"/>
      <c r="R131" s="52">
        <v>2212</v>
      </c>
      <c r="S131" s="65"/>
      <c r="T131" s="52">
        <v>2521</v>
      </c>
      <c r="U131" s="65"/>
      <c r="V131" s="52">
        <v>1685</v>
      </c>
      <c r="W131" s="65"/>
    </row>
    <row r="132" spans="1:23" s="2" customFormat="1" ht="12.75">
      <c r="A132" s="73"/>
      <c r="B132" s="51"/>
      <c r="C132" s="51" t="s">
        <v>135</v>
      </c>
      <c r="D132" s="74"/>
      <c r="F132" s="52">
        <f>967+76+371+2</f>
        <v>1416</v>
      </c>
      <c r="G132" s="71">
        <f>967+76+371+2</f>
        <v>1416</v>
      </c>
      <c r="H132" s="52">
        <f>123+62+461</f>
        <v>646</v>
      </c>
      <c r="I132" s="71">
        <f>123+62+461</f>
        <v>646</v>
      </c>
      <c r="J132" s="52">
        <f>15+247+271</f>
        <v>533</v>
      </c>
      <c r="K132" s="71">
        <f>15+247+271</f>
        <v>533</v>
      </c>
      <c r="L132" s="33">
        <f>23+295+712+5268</f>
        <v>6298</v>
      </c>
      <c r="M132" s="65">
        <f>23+295+712+5268</f>
        <v>6298</v>
      </c>
      <c r="N132" s="52">
        <v>4903</v>
      </c>
      <c r="O132" s="53">
        <v>4903</v>
      </c>
      <c r="P132" s="52">
        <v>2364</v>
      </c>
      <c r="Q132" s="53">
        <v>2364</v>
      </c>
      <c r="R132" s="52">
        <v>3490</v>
      </c>
      <c r="S132" s="53">
        <v>3490</v>
      </c>
      <c r="T132" s="52">
        <v>2737</v>
      </c>
      <c r="U132" s="53">
        <v>2737</v>
      </c>
      <c r="V132" s="52">
        <v>3411</v>
      </c>
      <c r="W132" s="53">
        <v>3411</v>
      </c>
    </row>
    <row r="133" spans="1:23" s="2" customFormat="1" ht="12.75">
      <c r="A133" s="73"/>
      <c r="B133" s="51"/>
      <c r="C133" s="51" t="s">
        <v>74</v>
      </c>
      <c r="D133" s="74"/>
      <c r="F133" s="52">
        <f>23+648</f>
        <v>671</v>
      </c>
      <c r="G133" s="71">
        <f>23+648</f>
        <v>671</v>
      </c>
      <c r="H133" s="52">
        <f>310+968+356</f>
        <v>1634</v>
      </c>
      <c r="I133" s="71">
        <f>310+968+356</f>
        <v>1634</v>
      </c>
      <c r="J133" s="52">
        <v>65</v>
      </c>
      <c r="K133" s="71">
        <v>65</v>
      </c>
      <c r="L133" s="33">
        <v>389</v>
      </c>
      <c r="M133" s="65">
        <v>389</v>
      </c>
      <c r="N133" s="52">
        <v>258</v>
      </c>
      <c r="O133" s="53">
        <v>258</v>
      </c>
      <c r="P133" s="52"/>
      <c r="Q133" s="53"/>
      <c r="R133" s="52"/>
      <c r="S133" s="53"/>
      <c r="T133" s="52">
        <v>309</v>
      </c>
      <c r="U133" s="53">
        <v>309</v>
      </c>
      <c r="V133" s="52">
        <v>239</v>
      </c>
      <c r="W133" s="53">
        <v>239</v>
      </c>
    </row>
    <row r="134" spans="1:23" s="2" customFormat="1" ht="12.75">
      <c r="A134" s="73"/>
      <c r="B134" s="51"/>
      <c r="C134" s="50" t="s">
        <v>131</v>
      </c>
      <c r="D134" s="74"/>
      <c r="F134" s="52">
        <v>1026</v>
      </c>
      <c r="G134" s="52">
        <v>0</v>
      </c>
      <c r="H134" s="52">
        <v>1241</v>
      </c>
      <c r="I134" s="52">
        <v>0</v>
      </c>
      <c r="J134" s="52">
        <v>1437</v>
      </c>
      <c r="K134" s="52">
        <v>0</v>
      </c>
      <c r="L134" s="52">
        <v>1862</v>
      </c>
      <c r="M134" s="52">
        <v>0</v>
      </c>
      <c r="N134" s="52">
        <v>1773</v>
      </c>
      <c r="O134" s="52">
        <v>0</v>
      </c>
      <c r="P134" s="52">
        <v>2154</v>
      </c>
      <c r="Q134" s="52"/>
      <c r="R134" s="52">
        <v>2327</v>
      </c>
      <c r="S134" s="52"/>
      <c r="T134" s="52">
        <v>2302</v>
      </c>
      <c r="U134" s="52"/>
      <c r="V134" s="52">
        <v>2746</v>
      </c>
      <c r="W134" s="52"/>
    </row>
    <row r="135" spans="1:23" s="2" customFormat="1" ht="12.75">
      <c r="A135" s="73"/>
      <c r="B135" s="51"/>
      <c r="C135" s="50" t="s">
        <v>103</v>
      </c>
      <c r="D135" s="74"/>
      <c r="F135" s="52"/>
      <c r="G135" s="71"/>
      <c r="H135" s="52"/>
      <c r="I135" s="71"/>
      <c r="J135" s="52"/>
      <c r="K135" s="71"/>
      <c r="L135" s="33"/>
      <c r="M135" s="65"/>
      <c r="N135" s="52"/>
      <c r="O135" s="65"/>
      <c r="P135" s="52"/>
      <c r="Q135" s="65"/>
      <c r="R135" s="52">
        <v>380</v>
      </c>
      <c r="S135" s="65"/>
      <c r="T135" s="52">
        <v>361</v>
      </c>
      <c r="U135" s="65"/>
      <c r="V135" s="52">
        <v>300</v>
      </c>
      <c r="W135" s="65"/>
    </row>
    <row r="136" spans="1:23" s="2" customFormat="1" ht="12.75">
      <c r="A136" s="73"/>
      <c r="B136" s="51"/>
      <c r="C136" s="51" t="s">
        <v>54</v>
      </c>
      <c r="D136" s="74"/>
      <c r="F136" s="52"/>
      <c r="G136" s="71"/>
      <c r="H136" s="52"/>
      <c r="I136" s="71"/>
      <c r="J136" s="52"/>
      <c r="K136" s="71"/>
      <c r="L136" s="33"/>
      <c r="M136" s="65"/>
      <c r="N136" s="52"/>
      <c r="O136" s="65"/>
      <c r="P136" s="52"/>
      <c r="Q136" s="65"/>
      <c r="R136" s="52"/>
      <c r="S136" s="65"/>
      <c r="T136" s="52"/>
      <c r="U136" s="65"/>
      <c r="V136" s="52"/>
      <c r="W136" s="65"/>
    </row>
    <row r="137" spans="1:23" s="2" customFormat="1" ht="12.75">
      <c r="A137" s="73"/>
      <c r="B137" s="51"/>
      <c r="C137" s="51" t="s">
        <v>23</v>
      </c>
      <c r="D137" s="74"/>
      <c r="F137" s="52">
        <v>387</v>
      </c>
      <c r="G137" s="71"/>
      <c r="H137" s="52">
        <f>516+664</f>
        <v>1180</v>
      </c>
      <c r="I137" s="71">
        <v>664</v>
      </c>
      <c r="J137" s="52">
        <f>638+820</f>
        <v>1458</v>
      </c>
      <c r="K137" s="71">
        <v>820</v>
      </c>
      <c r="L137" s="53">
        <f>516+668</f>
        <v>1184</v>
      </c>
      <c r="M137" s="65">
        <v>668</v>
      </c>
      <c r="N137" s="52">
        <f>697+665</f>
        <v>1362</v>
      </c>
      <c r="O137" s="65">
        <v>665</v>
      </c>
      <c r="P137" s="52">
        <f>697+603</f>
        <v>1300</v>
      </c>
      <c r="Q137" s="65">
        <v>603</v>
      </c>
      <c r="R137" s="52">
        <f>490+634</f>
        <v>1124</v>
      </c>
      <c r="S137" s="65">
        <v>634</v>
      </c>
      <c r="T137" s="52">
        <f>550+4127</f>
        <v>4677</v>
      </c>
      <c r="U137" s="65">
        <v>4127</v>
      </c>
      <c r="V137" s="52">
        <f>425+753</f>
        <v>1178</v>
      </c>
      <c r="W137" s="65">
        <v>753</v>
      </c>
    </row>
    <row r="138" spans="1:23" s="2" customFormat="1" ht="12.75">
      <c r="A138" s="73"/>
      <c r="B138" s="51"/>
      <c r="C138" s="50" t="s">
        <v>24</v>
      </c>
      <c r="D138" s="74"/>
      <c r="F138" s="52"/>
      <c r="G138" s="71"/>
      <c r="H138" s="52">
        <v>50</v>
      </c>
      <c r="I138" s="71">
        <v>50</v>
      </c>
      <c r="J138" s="52"/>
      <c r="K138" s="71"/>
      <c r="L138" s="33">
        <f>78+112</f>
        <v>190</v>
      </c>
      <c r="M138" s="65">
        <f>78+112</f>
        <v>190</v>
      </c>
      <c r="N138" s="52"/>
      <c r="O138" s="65"/>
      <c r="P138" s="52">
        <v>170</v>
      </c>
      <c r="Q138" s="65">
        <v>170</v>
      </c>
      <c r="R138" s="52"/>
      <c r="S138" s="65"/>
      <c r="T138" s="52">
        <v>3</v>
      </c>
      <c r="U138" s="65">
        <v>3</v>
      </c>
      <c r="V138" s="52">
        <v>25</v>
      </c>
      <c r="W138" s="65">
        <v>25</v>
      </c>
    </row>
    <row r="139" spans="1:23" s="2" customFormat="1" ht="12.75">
      <c r="A139" s="73"/>
      <c r="B139" s="51"/>
      <c r="C139" s="13" t="s">
        <v>73</v>
      </c>
      <c r="D139" s="74"/>
      <c r="E139" s="55"/>
      <c r="F139" s="52">
        <f>207+2</f>
        <v>209</v>
      </c>
      <c r="G139" s="71">
        <v>2</v>
      </c>
      <c r="H139" s="52">
        <v>104</v>
      </c>
      <c r="I139" s="71"/>
      <c r="J139" s="52">
        <v>181</v>
      </c>
      <c r="K139" s="71"/>
      <c r="L139" s="33">
        <v>88</v>
      </c>
      <c r="M139" s="65"/>
      <c r="N139" s="52">
        <v>467</v>
      </c>
      <c r="O139" s="65"/>
      <c r="P139" s="52">
        <v>470</v>
      </c>
      <c r="Q139" s="65"/>
      <c r="R139" s="52">
        <v>794</v>
      </c>
      <c r="S139" s="65"/>
      <c r="T139" s="52">
        <v>745</v>
      </c>
      <c r="U139" s="65"/>
      <c r="V139" s="52">
        <v>851</v>
      </c>
      <c r="W139" s="65"/>
    </row>
    <row r="140" spans="1:23" s="2" customFormat="1" ht="12.75">
      <c r="A140" s="73"/>
      <c r="B140" s="78" t="s">
        <v>15</v>
      </c>
      <c r="C140" s="78"/>
      <c r="D140" s="74"/>
      <c r="F140" s="87">
        <f aca="true" t="shared" si="19" ref="F140:W140">SUM(F141:F152)</f>
        <v>13527</v>
      </c>
      <c r="G140" s="87">
        <f t="shared" si="19"/>
        <v>1660</v>
      </c>
      <c r="H140" s="87">
        <f t="shared" si="19"/>
        <v>15201</v>
      </c>
      <c r="I140" s="87">
        <f t="shared" si="19"/>
        <v>1551</v>
      </c>
      <c r="J140" s="87">
        <f t="shared" si="19"/>
        <v>14226</v>
      </c>
      <c r="K140" s="87">
        <f t="shared" si="19"/>
        <v>716</v>
      </c>
      <c r="L140" s="87">
        <f t="shared" si="19"/>
        <v>14071</v>
      </c>
      <c r="M140" s="87">
        <f t="shared" si="19"/>
        <v>1131</v>
      </c>
      <c r="N140" s="87">
        <f t="shared" si="19"/>
        <v>17693</v>
      </c>
      <c r="O140" s="87">
        <f t="shared" si="19"/>
        <v>1217</v>
      </c>
      <c r="P140" s="87">
        <f t="shared" si="19"/>
        <v>17886</v>
      </c>
      <c r="Q140" s="87">
        <f t="shared" si="19"/>
        <v>1362</v>
      </c>
      <c r="R140" s="87">
        <f t="shared" si="19"/>
        <v>19220</v>
      </c>
      <c r="S140" s="87">
        <f t="shared" si="19"/>
        <v>1256</v>
      </c>
      <c r="T140" s="87">
        <f t="shared" si="19"/>
        <v>21728</v>
      </c>
      <c r="U140" s="87">
        <f t="shared" si="19"/>
        <v>1570</v>
      </c>
      <c r="V140" s="87">
        <f t="shared" si="19"/>
        <v>21592</v>
      </c>
      <c r="W140" s="87">
        <f t="shared" si="19"/>
        <v>1475</v>
      </c>
    </row>
    <row r="141" spans="1:23" s="2" customFormat="1" ht="12.75">
      <c r="A141" s="73"/>
      <c r="B141" s="51"/>
      <c r="C141" s="7" t="s">
        <v>75</v>
      </c>
      <c r="D141" s="74"/>
      <c r="F141" s="94">
        <f>176+37</f>
        <v>213</v>
      </c>
      <c r="G141" s="97">
        <v>37</v>
      </c>
      <c r="H141" s="53">
        <v>85</v>
      </c>
      <c r="I141" s="65">
        <v>85</v>
      </c>
      <c r="J141" s="94">
        <v>38</v>
      </c>
      <c r="K141" s="97">
        <v>38</v>
      </c>
      <c r="L141" s="33">
        <v>187</v>
      </c>
      <c r="M141" s="53">
        <v>187</v>
      </c>
      <c r="N141" s="93">
        <v>33</v>
      </c>
      <c r="O141" s="53">
        <v>33</v>
      </c>
      <c r="P141" s="93">
        <v>6</v>
      </c>
      <c r="Q141" s="53">
        <v>6</v>
      </c>
      <c r="R141" s="93">
        <v>25</v>
      </c>
      <c r="S141" s="53">
        <v>25</v>
      </c>
      <c r="T141" s="93">
        <v>18</v>
      </c>
      <c r="U141" s="53">
        <v>18</v>
      </c>
      <c r="V141" s="93">
        <v>29</v>
      </c>
      <c r="W141" s="53">
        <v>29</v>
      </c>
    </row>
    <row r="142" spans="1:23" s="2" customFormat="1" ht="12.75">
      <c r="A142" s="73"/>
      <c r="B142" s="51"/>
      <c r="C142" s="50" t="s">
        <v>24</v>
      </c>
      <c r="D142" s="74"/>
      <c r="F142" s="94"/>
      <c r="G142" s="97"/>
      <c r="H142" s="53"/>
      <c r="I142" s="65"/>
      <c r="J142" s="94"/>
      <c r="K142" s="97"/>
      <c r="L142" s="33"/>
      <c r="M142" s="53"/>
      <c r="N142" s="93"/>
      <c r="O142" s="53"/>
      <c r="P142" s="93">
        <v>17</v>
      </c>
      <c r="Q142" s="53">
        <v>17</v>
      </c>
      <c r="R142" s="93">
        <v>13</v>
      </c>
      <c r="S142" s="53">
        <v>13</v>
      </c>
      <c r="T142" s="93">
        <v>10</v>
      </c>
      <c r="U142" s="53">
        <v>10</v>
      </c>
      <c r="V142" s="93">
        <v>20</v>
      </c>
      <c r="W142" s="53">
        <v>20</v>
      </c>
    </row>
    <row r="143" spans="1:23" s="2" customFormat="1" ht="12.75">
      <c r="A143" s="73"/>
      <c r="B143" s="51"/>
      <c r="C143" s="51" t="s">
        <v>135</v>
      </c>
      <c r="D143" s="74"/>
      <c r="F143" s="94">
        <f>104+92</f>
        <v>196</v>
      </c>
      <c r="G143" s="97">
        <f>104+92</f>
        <v>196</v>
      </c>
      <c r="H143" s="94">
        <f>182+67</f>
        <v>249</v>
      </c>
      <c r="I143" s="97">
        <f>182+67</f>
        <v>249</v>
      </c>
      <c r="J143" s="94">
        <f>117+45</f>
        <v>162</v>
      </c>
      <c r="K143" s="97">
        <f>117+45</f>
        <v>162</v>
      </c>
      <c r="L143" s="33">
        <f>151+345</f>
        <v>496</v>
      </c>
      <c r="M143" s="53">
        <f>151+345</f>
        <v>496</v>
      </c>
      <c r="N143" s="93">
        <v>645</v>
      </c>
      <c r="O143" s="53">
        <v>645</v>
      </c>
      <c r="P143" s="93">
        <v>854</v>
      </c>
      <c r="Q143" s="53">
        <v>854</v>
      </c>
      <c r="R143" s="93">
        <v>775</v>
      </c>
      <c r="S143" s="53">
        <v>775</v>
      </c>
      <c r="T143" s="116">
        <v>1542</v>
      </c>
      <c r="U143" s="53">
        <v>1542</v>
      </c>
      <c r="V143" s="116">
        <v>1426</v>
      </c>
      <c r="W143" s="53">
        <v>1426</v>
      </c>
    </row>
    <row r="144" spans="1:23" s="2" customFormat="1" ht="12.75">
      <c r="A144" s="73"/>
      <c r="B144" s="51"/>
      <c r="C144" s="50" t="s">
        <v>29</v>
      </c>
      <c r="D144" s="74"/>
      <c r="F144" s="107">
        <f>3099</f>
        <v>3099</v>
      </c>
      <c r="G144" s="97"/>
      <c r="H144" s="107">
        <f>3770+82</f>
        <v>3852</v>
      </c>
      <c r="I144" s="97"/>
      <c r="J144" s="107">
        <f>3564+118</f>
        <v>3682</v>
      </c>
      <c r="K144" s="97"/>
      <c r="L144" s="33">
        <f>2934+53</f>
        <v>2987</v>
      </c>
      <c r="M144" s="53"/>
      <c r="N144" s="116">
        <f>2841+8</f>
        <v>2849</v>
      </c>
      <c r="O144" s="53"/>
      <c r="P144" s="116">
        <v>2993</v>
      </c>
      <c r="Q144" s="53"/>
      <c r="R144" s="116">
        <v>2900</v>
      </c>
      <c r="S144" s="53"/>
      <c r="T144" s="116">
        <v>3100</v>
      </c>
      <c r="U144" s="53"/>
      <c r="V144" s="116">
        <v>3450</v>
      </c>
      <c r="W144" s="53"/>
    </row>
    <row r="145" spans="1:23" s="2" customFormat="1" ht="12.75">
      <c r="A145" s="73"/>
      <c r="B145" s="51"/>
      <c r="C145" s="51" t="s">
        <v>74</v>
      </c>
      <c r="D145" s="74"/>
      <c r="F145" s="94">
        <v>168</v>
      </c>
      <c r="G145" s="97"/>
      <c r="H145" s="94">
        <v>168</v>
      </c>
      <c r="I145" s="97"/>
      <c r="J145" s="94">
        <v>156</v>
      </c>
      <c r="K145" s="97"/>
      <c r="L145" s="33">
        <f>168+448</f>
        <v>616</v>
      </c>
      <c r="M145" s="53">
        <v>448</v>
      </c>
      <c r="N145" s="116">
        <v>2276</v>
      </c>
      <c r="O145" s="53"/>
      <c r="P145" s="116">
        <f>2320+54</f>
        <v>2374</v>
      </c>
      <c r="Q145" s="53"/>
      <c r="R145" s="116">
        <v>3104</v>
      </c>
      <c r="S145" s="53"/>
      <c r="T145" s="116">
        <v>5115</v>
      </c>
      <c r="U145" s="53"/>
      <c r="V145" s="116">
        <v>3409</v>
      </c>
      <c r="W145" s="53"/>
    </row>
    <row r="146" spans="1:23" s="2" customFormat="1" ht="12.75">
      <c r="A146" s="73"/>
      <c r="B146" s="51"/>
      <c r="C146" s="51" t="s">
        <v>30</v>
      </c>
      <c r="D146" s="74"/>
      <c r="F146" s="94">
        <v>382</v>
      </c>
      <c r="G146" s="97"/>
      <c r="H146" s="94">
        <v>362</v>
      </c>
      <c r="I146" s="97"/>
      <c r="J146" s="94"/>
      <c r="K146" s="97"/>
      <c r="L146" s="33"/>
      <c r="M146" s="53"/>
      <c r="N146" s="116"/>
      <c r="O146" s="53"/>
      <c r="P146" s="116"/>
      <c r="Q146" s="53"/>
      <c r="R146" s="116"/>
      <c r="S146" s="53"/>
      <c r="T146" s="116"/>
      <c r="U146" s="53"/>
      <c r="V146" s="116">
        <v>350</v>
      </c>
      <c r="W146" s="53"/>
    </row>
    <row r="147" spans="1:23" s="2" customFormat="1" ht="12.75">
      <c r="A147" s="73"/>
      <c r="B147" s="51"/>
      <c r="C147" s="50" t="s">
        <v>76</v>
      </c>
      <c r="D147" s="74"/>
      <c r="F147" s="94">
        <v>762</v>
      </c>
      <c r="G147" s="97"/>
      <c r="H147" s="94">
        <f>5+825</f>
        <v>830</v>
      </c>
      <c r="I147" s="97"/>
      <c r="J147" s="94">
        <f>10+982</f>
        <v>992</v>
      </c>
      <c r="K147" s="97"/>
      <c r="L147" s="33">
        <f>5+899</f>
        <v>904</v>
      </c>
      <c r="M147" s="53"/>
      <c r="N147" s="116">
        <v>864</v>
      </c>
      <c r="O147" s="53"/>
      <c r="P147" s="116">
        <v>897</v>
      </c>
      <c r="Q147" s="53"/>
      <c r="R147" s="116">
        <v>949</v>
      </c>
      <c r="S147" s="53"/>
      <c r="T147" s="116">
        <v>885</v>
      </c>
      <c r="U147" s="53"/>
      <c r="V147" s="116">
        <v>960</v>
      </c>
      <c r="W147" s="53"/>
    </row>
    <row r="148" spans="1:23" s="2" customFormat="1" ht="12.75">
      <c r="A148" s="73"/>
      <c r="B148" s="51"/>
      <c r="C148" s="51" t="s">
        <v>23</v>
      </c>
      <c r="D148" s="74"/>
      <c r="F148" s="94"/>
      <c r="G148" s="97"/>
      <c r="H148" s="94">
        <v>306</v>
      </c>
      <c r="I148" s="97"/>
      <c r="J148" s="94">
        <v>310</v>
      </c>
      <c r="K148" s="97"/>
      <c r="L148" s="33"/>
      <c r="M148" s="53"/>
      <c r="N148" s="116">
        <f>310+539</f>
        <v>849</v>
      </c>
      <c r="O148" s="53">
        <v>539</v>
      </c>
      <c r="P148" s="116">
        <f>310+485</f>
        <v>795</v>
      </c>
      <c r="Q148" s="53">
        <v>485</v>
      </c>
      <c r="R148" s="116">
        <f>436+443</f>
        <v>879</v>
      </c>
      <c r="S148" s="53">
        <v>443</v>
      </c>
      <c r="T148" s="116">
        <v>444</v>
      </c>
      <c r="U148" s="53"/>
      <c r="V148" s="116">
        <v>423</v>
      </c>
      <c r="W148" s="53"/>
    </row>
    <row r="149" spans="1:23" s="2" customFormat="1" ht="12.75">
      <c r="A149" s="73"/>
      <c r="B149" s="51"/>
      <c r="C149" s="51" t="s">
        <v>77</v>
      </c>
      <c r="D149" s="74"/>
      <c r="F149" s="107">
        <f>159+1127</f>
        <v>1286</v>
      </c>
      <c r="G149" s="97">
        <f>159+1127</f>
        <v>1286</v>
      </c>
      <c r="H149" s="107">
        <v>1114</v>
      </c>
      <c r="I149" s="108">
        <v>1114</v>
      </c>
      <c r="J149" s="94">
        <v>516</v>
      </c>
      <c r="K149" s="97">
        <v>516</v>
      </c>
      <c r="L149" s="33"/>
      <c r="M149" s="53"/>
      <c r="N149" s="116"/>
      <c r="O149" s="53"/>
      <c r="P149" s="116"/>
      <c r="Q149" s="53"/>
      <c r="R149" s="116"/>
      <c r="S149" s="53"/>
      <c r="T149" s="116"/>
      <c r="U149" s="53"/>
      <c r="V149" s="116"/>
      <c r="W149" s="53"/>
    </row>
    <row r="150" spans="1:23" s="2" customFormat="1" ht="12.75">
      <c r="A150" s="73"/>
      <c r="B150" s="51"/>
      <c r="C150" s="50" t="s">
        <v>78</v>
      </c>
      <c r="D150" s="74"/>
      <c r="F150" s="107">
        <v>7179</v>
      </c>
      <c r="G150" s="108"/>
      <c r="H150" s="107">
        <v>8031</v>
      </c>
      <c r="I150" s="97"/>
      <c r="J150" s="94">
        <v>8326</v>
      </c>
      <c r="K150" s="97"/>
      <c r="L150" s="33">
        <v>8881</v>
      </c>
      <c r="M150" s="53"/>
      <c r="N150" s="116">
        <v>9296</v>
      </c>
      <c r="O150" s="53"/>
      <c r="P150" s="116">
        <v>9640</v>
      </c>
      <c r="Q150" s="53"/>
      <c r="R150" s="116">
        <v>10270</v>
      </c>
      <c r="S150" s="53"/>
      <c r="T150" s="116">
        <v>10270</v>
      </c>
      <c r="U150" s="53"/>
      <c r="V150" s="116">
        <v>11150</v>
      </c>
      <c r="W150" s="53"/>
    </row>
    <row r="151" spans="1:23" s="2" customFormat="1" ht="12.75">
      <c r="A151" s="73"/>
      <c r="B151" s="51"/>
      <c r="C151" s="51" t="s">
        <v>72</v>
      </c>
      <c r="D151" s="74"/>
      <c r="F151" s="107">
        <f>101+141</f>
        <v>242</v>
      </c>
      <c r="G151" s="108">
        <v>141</v>
      </c>
      <c r="H151" s="107">
        <f>101+103</f>
        <v>204</v>
      </c>
      <c r="I151" s="97">
        <v>103</v>
      </c>
      <c r="J151" s="94">
        <v>44</v>
      </c>
      <c r="K151" s="97"/>
      <c r="L151" s="33"/>
      <c r="M151" s="53"/>
      <c r="N151" s="116"/>
      <c r="O151" s="53"/>
      <c r="P151" s="116"/>
      <c r="Q151" s="53"/>
      <c r="R151" s="116"/>
      <c r="S151" s="53"/>
      <c r="T151" s="116"/>
      <c r="U151" s="53"/>
      <c r="V151" s="116"/>
      <c r="W151" s="53"/>
    </row>
    <row r="152" spans="1:23" s="2" customFormat="1" ht="12.75">
      <c r="A152" s="81"/>
      <c r="B152" s="82"/>
      <c r="C152" s="23" t="s">
        <v>73</v>
      </c>
      <c r="D152" s="83"/>
      <c r="E152" s="85"/>
      <c r="F152" s="98"/>
      <c r="G152" s="99"/>
      <c r="H152" s="98"/>
      <c r="I152" s="99"/>
      <c r="J152" s="98"/>
      <c r="K152" s="99"/>
      <c r="L152" s="34"/>
      <c r="M152" s="54"/>
      <c r="N152" s="147">
        <v>881</v>
      </c>
      <c r="O152" s="54"/>
      <c r="P152" s="147">
        <v>310</v>
      </c>
      <c r="Q152" s="54"/>
      <c r="R152" s="147">
        <v>305</v>
      </c>
      <c r="S152" s="54"/>
      <c r="T152" s="147">
        <v>344</v>
      </c>
      <c r="U152" s="54"/>
      <c r="V152" s="147">
        <v>375</v>
      </c>
      <c r="W152" s="54"/>
    </row>
    <row r="153" spans="1:23" s="2" customFormat="1" ht="12.75">
      <c r="A153" s="124" t="s">
        <v>117</v>
      </c>
      <c r="B153" s="154"/>
      <c r="C153" s="154"/>
      <c r="D153" s="155"/>
      <c r="E153" s="127"/>
      <c r="F153" s="129">
        <f aca="true" t="shared" si="20" ref="F153:W153">F154+F157+F169+F178</f>
        <v>4193</v>
      </c>
      <c r="G153" s="129">
        <f t="shared" si="20"/>
        <v>1676</v>
      </c>
      <c r="H153" s="129">
        <f t="shared" si="20"/>
        <v>6930</v>
      </c>
      <c r="I153" s="129">
        <f t="shared" si="20"/>
        <v>2029</v>
      </c>
      <c r="J153" s="129">
        <f t="shared" si="20"/>
        <v>6960</v>
      </c>
      <c r="K153" s="129">
        <f t="shared" si="20"/>
        <v>4612</v>
      </c>
      <c r="L153" s="129">
        <f t="shared" si="20"/>
        <v>5870</v>
      </c>
      <c r="M153" s="129">
        <f t="shared" si="20"/>
        <v>3493</v>
      </c>
      <c r="N153" s="129">
        <f t="shared" si="20"/>
        <v>7978</v>
      </c>
      <c r="O153" s="129">
        <f t="shared" si="20"/>
        <v>5956</v>
      </c>
      <c r="P153" s="129">
        <f t="shared" si="20"/>
        <v>6747</v>
      </c>
      <c r="Q153" s="129">
        <f t="shared" si="20"/>
        <v>3126</v>
      </c>
      <c r="R153" s="129">
        <f t="shared" si="20"/>
        <v>9283</v>
      </c>
      <c r="S153" s="129">
        <f t="shared" si="20"/>
        <v>5012</v>
      </c>
      <c r="T153" s="129">
        <f t="shared" si="20"/>
        <v>7014</v>
      </c>
      <c r="U153" s="129">
        <f t="shared" si="20"/>
        <v>2207</v>
      </c>
      <c r="V153" s="129">
        <f t="shared" si="20"/>
        <v>10383</v>
      </c>
      <c r="W153" s="129">
        <f t="shared" si="20"/>
        <v>4970</v>
      </c>
    </row>
    <row r="154" spans="1:23" s="157" customFormat="1" ht="12.75">
      <c r="A154" s="138"/>
      <c r="B154" s="78" t="s">
        <v>97</v>
      </c>
      <c r="C154" s="78"/>
      <c r="D154" s="18"/>
      <c r="F154" s="111">
        <f>SUM(F155:F156)</f>
        <v>0</v>
      </c>
      <c r="G154" s="111">
        <f aca="true" t="shared" si="21" ref="G154:U154">SUM(G155:G156)</f>
        <v>0</v>
      </c>
      <c r="H154" s="111">
        <f t="shared" si="21"/>
        <v>0</v>
      </c>
      <c r="I154" s="111">
        <f t="shared" si="21"/>
        <v>0</v>
      </c>
      <c r="J154" s="111">
        <f t="shared" si="21"/>
        <v>0</v>
      </c>
      <c r="K154" s="111">
        <f t="shared" si="21"/>
        <v>0</v>
      </c>
      <c r="L154" s="111">
        <f t="shared" si="21"/>
        <v>0</v>
      </c>
      <c r="M154" s="111">
        <f t="shared" si="21"/>
        <v>0</v>
      </c>
      <c r="N154" s="111">
        <f t="shared" si="21"/>
        <v>0</v>
      </c>
      <c r="O154" s="111">
        <f t="shared" si="21"/>
        <v>0</v>
      </c>
      <c r="P154" s="111">
        <f t="shared" si="21"/>
        <v>0</v>
      </c>
      <c r="Q154" s="111">
        <f t="shared" si="21"/>
        <v>0</v>
      </c>
      <c r="R154" s="111">
        <f t="shared" si="21"/>
        <v>203</v>
      </c>
      <c r="S154" s="111">
        <f t="shared" si="21"/>
        <v>203</v>
      </c>
      <c r="T154" s="111">
        <f t="shared" si="21"/>
        <v>211</v>
      </c>
      <c r="U154" s="111">
        <f t="shared" si="21"/>
        <v>211</v>
      </c>
      <c r="V154" s="111">
        <f>SUM(V155:V156)</f>
        <v>0</v>
      </c>
      <c r="W154" s="111">
        <f>SUM(W155:W156)</f>
        <v>0</v>
      </c>
    </row>
    <row r="155" spans="1:23" s="77" customFormat="1" ht="12.75">
      <c r="A155" s="156"/>
      <c r="B155" s="148"/>
      <c r="C155" s="50" t="s">
        <v>72</v>
      </c>
      <c r="D155" s="28"/>
      <c r="F155" s="33"/>
      <c r="G155" s="26"/>
      <c r="H155" s="33"/>
      <c r="I155" s="26"/>
      <c r="J155" s="33"/>
      <c r="K155" s="26"/>
      <c r="L155" s="33"/>
      <c r="M155" s="29"/>
      <c r="N155" s="33"/>
      <c r="O155" s="29"/>
      <c r="P155" s="33"/>
      <c r="Q155" s="29"/>
      <c r="R155" s="33"/>
      <c r="S155" s="29"/>
      <c r="T155" s="33">
        <v>150</v>
      </c>
      <c r="U155" s="29">
        <v>150</v>
      </c>
      <c r="V155" s="33"/>
      <c r="W155" s="29"/>
    </row>
    <row r="156" spans="1:23" s="77" customFormat="1" ht="12.75">
      <c r="A156" s="156"/>
      <c r="B156" s="148"/>
      <c r="C156" s="50" t="s">
        <v>24</v>
      </c>
      <c r="D156" s="28"/>
      <c r="F156" s="33"/>
      <c r="G156" s="26"/>
      <c r="H156" s="33"/>
      <c r="I156" s="26"/>
      <c r="J156" s="33"/>
      <c r="K156" s="26"/>
      <c r="L156" s="33"/>
      <c r="M156" s="29"/>
      <c r="N156" s="33"/>
      <c r="O156" s="29"/>
      <c r="P156" s="33"/>
      <c r="Q156" s="29"/>
      <c r="R156" s="33">
        <v>203</v>
      </c>
      <c r="S156" s="29">
        <v>203</v>
      </c>
      <c r="T156" s="33">
        <v>61</v>
      </c>
      <c r="U156" s="29">
        <v>61</v>
      </c>
      <c r="V156" s="33"/>
      <c r="W156" s="29"/>
    </row>
    <row r="157" spans="1:23" s="2" customFormat="1" ht="12.75">
      <c r="A157" s="73"/>
      <c r="B157" s="78" t="s">
        <v>16</v>
      </c>
      <c r="C157" s="78"/>
      <c r="D157" s="18"/>
      <c r="F157" s="32">
        <f aca="true" t="shared" si="22" ref="F157:O157">SUM(F158:F168)</f>
        <v>467</v>
      </c>
      <c r="G157" s="32">
        <f t="shared" si="22"/>
        <v>103</v>
      </c>
      <c r="H157" s="32">
        <f t="shared" si="22"/>
        <v>3320</v>
      </c>
      <c r="I157" s="32">
        <f t="shared" si="22"/>
        <v>305</v>
      </c>
      <c r="J157" s="32">
        <f t="shared" si="22"/>
        <v>1028</v>
      </c>
      <c r="K157" s="32">
        <f t="shared" si="22"/>
        <v>690</v>
      </c>
      <c r="L157" s="32">
        <f t="shared" si="22"/>
        <v>810</v>
      </c>
      <c r="M157" s="32">
        <f t="shared" si="22"/>
        <v>326</v>
      </c>
      <c r="N157" s="32">
        <f t="shared" si="22"/>
        <v>1958</v>
      </c>
      <c r="O157" s="32">
        <f t="shared" si="22"/>
        <v>1629</v>
      </c>
      <c r="P157" s="32">
        <f aca="true" t="shared" si="23" ref="P157:U157">SUM(P158:P168)</f>
        <v>2302</v>
      </c>
      <c r="Q157" s="32">
        <f t="shared" si="23"/>
        <v>542</v>
      </c>
      <c r="R157" s="32">
        <f t="shared" si="23"/>
        <v>4664</v>
      </c>
      <c r="S157" s="32">
        <f t="shared" si="23"/>
        <v>1840</v>
      </c>
      <c r="T157" s="32">
        <f t="shared" si="23"/>
        <v>4592</v>
      </c>
      <c r="U157" s="32">
        <f t="shared" si="23"/>
        <v>1419</v>
      </c>
      <c r="V157" s="32">
        <f>SUM(V158:V168)</f>
        <v>5267</v>
      </c>
      <c r="W157" s="32">
        <f>SUM(W158:W168)</f>
        <v>1911</v>
      </c>
    </row>
    <row r="158" spans="1:23" s="2" customFormat="1" ht="12.75">
      <c r="A158" s="73"/>
      <c r="B158" s="78"/>
      <c r="C158" s="51" t="s">
        <v>74</v>
      </c>
      <c r="D158" s="18"/>
      <c r="F158" s="94"/>
      <c r="G158" s="97"/>
      <c r="H158" s="53"/>
      <c r="I158" s="65"/>
      <c r="J158" s="94">
        <v>52</v>
      </c>
      <c r="K158" s="97">
        <v>52</v>
      </c>
      <c r="L158" s="33"/>
      <c r="M158" s="72"/>
      <c r="N158" s="107"/>
      <c r="O158" s="53"/>
      <c r="P158" s="107"/>
      <c r="Q158" s="53"/>
      <c r="R158" s="107">
        <v>669</v>
      </c>
      <c r="S158" s="53">
        <v>669</v>
      </c>
      <c r="T158" s="107">
        <v>194</v>
      </c>
      <c r="U158" s="53">
        <v>194</v>
      </c>
      <c r="V158" s="107"/>
      <c r="W158" s="53"/>
    </row>
    <row r="159" spans="1:23" s="2" customFormat="1" ht="12.75">
      <c r="A159" s="73"/>
      <c r="B159" s="78"/>
      <c r="C159" s="51" t="s">
        <v>79</v>
      </c>
      <c r="D159" s="18"/>
      <c r="F159" s="94">
        <f>45+11+104+79+4</f>
        <v>243</v>
      </c>
      <c r="G159" s="97"/>
      <c r="H159" s="53">
        <f>34+9+95+83+5</f>
        <v>226</v>
      </c>
      <c r="I159" s="97"/>
      <c r="J159" s="94">
        <f>65+10+91+59+5</f>
        <v>230</v>
      </c>
      <c r="K159" s="97"/>
      <c r="L159" s="33">
        <v>236</v>
      </c>
      <c r="M159" s="72"/>
      <c r="N159" s="107">
        <v>314</v>
      </c>
      <c r="O159" s="53"/>
      <c r="P159" s="107">
        <v>157</v>
      </c>
      <c r="Q159" s="53"/>
      <c r="R159" s="107">
        <v>185</v>
      </c>
      <c r="S159" s="53"/>
      <c r="T159" s="107">
        <v>205</v>
      </c>
      <c r="U159" s="53"/>
      <c r="V159" s="107">
        <v>225</v>
      </c>
      <c r="W159" s="53"/>
    </row>
    <row r="160" spans="1:23" s="2" customFormat="1" ht="12.75">
      <c r="A160" s="73"/>
      <c r="B160" s="78"/>
      <c r="C160" s="51" t="s">
        <v>135</v>
      </c>
      <c r="D160" s="18"/>
      <c r="F160" s="94">
        <v>4</v>
      </c>
      <c r="G160" s="97">
        <v>4</v>
      </c>
      <c r="H160" s="53">
        <v>134</v>
      </c>
      <c r="I160" s="97">
        <v>134</v>
      </c>
      <c r="J160" s="107"/>
      <c r="K160" s="108"/>
      <c r="L160" s="33"/>
      <c r="M160" s="109"/>
      <c r="N160" s="94">
        <v>57</v>
      </c>
      <c r="O160" s="53">
        <v>57</v>
      </c>
      <c r="P160" s="107">
        <v>125</v>
      </c>
      <c r="Q160" s="116">
        <v>125</v>
      </c>
      <c r="R160" s="107">
        <v>146</v>
      </c>
      <c r="S160" s="116">
        <v>146</v>
      </c>
      <c r="T160" s="107">
        <v>44</v>
      </c>
      <c r="U160" s="116">
        <v>44</v>
      </c>
      <c r="V160" s="107">
        <v>107</v>
      </c>
      <c r="W160" s="116">
        <v>107</v>
      </c>
    </row>
    <row r="161" spans="1:23" s="2" customFormat="1" ht="12.75">
      <c r="A161" s="73"/>
      <c r="B161" s="78"/>
      <c r="C161" s="7" t="s">
        <v>75</v>
      </c>
      <c r="D161" s="18"/>
      <c r="F161" s="94">
        <f>121+96</f>
        <v>217</v>
      </c>
      <c r="G161" s="97">
        <v>96</v>
      </c>
      <c r="H161" s="53">
        <f>2789+95</f>
        <v>2884</v>
      </c>
      <c r="I161" s="97">
        <v>95</v>
      </c>
      <c r="J161" s="107">
        <f>108+627</f>
        <v>735</v>
      </c>
      <c r="K161" s="108">
        <v>627</v>
      </c>
      <c r="L161" s="33">
        <f>248+324</f>
        <v>572</v>
      </c>
      <c r="M161" s="109">
        <v>324</v>
      </c>
      <c r="N161" s="94">
        <f>15+332</f>
        <v>347</v>
      </c>
      <c r="O161" s="53">
        <v>332</v>
      </c>
      <c r="P161" s="107">
        <f>1032+126</f>
        <v>1158</v>
      </c>
      <c r="Q161" s="53">
        <v>126</v>
      </c>
      <c r="R161" s="107">
        <f>1432+944</f>
        <v>2376</v>
      </c>
      <c r="S161" s="53">
        <v>944</v>
      </c>
      <c r="T161" s="107">
        <f>1522+1153</f>
        <v>2675</v>
      </c>
      <c r="U161" s="53">
        <v>1153</v>
      </c>
      <c r="V161" s="107">
        <f>1150+1781</f>
        <v>2931</v>
      </c>
      <c r="W161" s="53">
        <v>1781</v>
      </c>
    </row>
    <row r="162" spans="1:23" s="2" customFormat="1" ht="12.75">
      <c r="A162" s="73"/>
      <c r="B162" s="78"/>
      <c r="C162" s="50" t="s">
        <v>24</v>
      </c>
      <c r="D162" s="18"/>
      <c r="F162" s="94"/>
      <c r="G162" s="97"/>
      <c r="H162" s="53">
        <v>70</v>
      </c>
      <c r="I162" s="97">
        <v>70</v>
      </c>
      <c r="J162" s="94">
        <v>8</v>
      </c>
      <c r="K162" s="97">
        <v>8</v>
      </c>
      <c r="L162" s="33"/>
      <c r="M162" s="72"/>
      <c r="N162" s="94"/>
      <c r="O162" s="53"/>
      <c r="P162" s="94"/>
      <c r="Q162" s="53"/>
      <c r="R162" s="94"/>
      <c r="S162" s="53"/>
      <c r="T162" s="94"/>
      <c r="U162" s="53"/>
      <c r="V162" s="94"/>
      <c r="W162" s="53"/>
    </row>
    <row r="163" spans="1:23" s="2" customFormat="1" ht="12.75">
      <c r="A163" s="73"/>
      <c r="B163" s="78"/>
      <c r="C163" s="51" t="s">
        <v>60</v>
      </c>
      <c r="D163" s="18"/>
      <c r="F163" s="94"/>
      <c r="G163" s="97"/>
      <c r="H163" s="53"/>
      <c r="I163" s="97"/>
      <c r="J163" s="94"/>
      <c r="K163" s="97"/>
      <c r="L163" s="33"/>
      <c r="M163" s="72"/>
      <c r="N163" s="94"/>
      <c r="O163" s="53"/>
      <c r="P163" s="94">
        <v>19</v>
      </c>
      <c r="Q163" s="53">
        <v>19</v>
      </c>
      <c r="R163" s="94">
        <v>19</v>
      </c>
      <c r="S163" s="53">
        <v>19</v>
      </c>
      <c r="T163" s="94">
        <v>22</v>
      </c>
      <c r="U163" s="53">
        <v>22</v>
      </c>
      <c r="V163" s="94">
        <v>11</v>
      </c>
      <c r="W163" s="53">
        <v>11</v>
      </c>
    </row>
    <row r="164" spans="1:23" s="2" customFormat="1" ht="12.75">
      <c r="A164" s="73"/>
      <c r="B164" s="78"/>
      <c r="C164" s="51" t="s">
        <v>137</v>
      </c>
      <c r="D164" s="18"/>
      <c r="F164" s="94"/>
      <c r="G164" s="97"/>
      <c r="H164" s="53"/>
      <c r="I164" s="97"/>
      <c r="J164" s="94"/>
      <c r="K164" s="97"/>
      <c r="L164" s="33"/>
      <c r="M164" s="72"/>
      <c r="N164" s="94"/>
      <c r="O164" s="53"/>
      <c r="P164" s="94">
        <v>270</v>
      </c>
      <c r="Q164" s="53">
        <v>270</v>
      </c>
      <c r="R164" s="94">
        <v>59</v>
      </c>
      <c r="S164" s="53">
        <v>59</v>
      </c>
      <c r="T164" s="94"/>
      <c r="U164" s="53"/>
      <c r="V164" s="94"/>
      <c r="W164" s="53"/>
    </row>
    <row r="165" spans="1:23" s="2" customFormat="1" ht="12.75">
      <c r="A165" s="73"/>
      <c r="B165" s="78"/>
      <c r="C165" s="51" t="s">
        <v>80</v>
      </c>
      <c r="D165" s="18"/>
      <c r="F165" s="94">
        <v>3</v>
      </c>
      <c r="G165" s="97">
        <v>3</v>
      </c>
      <c r="H165" s="53">
        <v>6</v>
      </c>
      <c r="I165" s="97">
        <v>6</v>
      </c>
      <c r="J165" s="94">
        <v>3</v>
      </c>
      <c r="K165" s="97">
        <v>3</v>
      </c>
      <c r="L165" s="33">
        <v>2</v>
      </c>
      <c r="M165" s="72">
        <v>2</v>
      </c>
      <c r="N165" s="107">
        <v>1</v>
      </c>
      <c r="O165" s="53">
        <v>1</v>
      </c>
      <c r="P165" s="94">
        <f>516+2</f>
        <v>518</v>
      </c>
      <c r="Q165" s="53">
        <v>2</v>
      </c>
      <c r="R165" s="94">
        <f>517+3</f>
        <v>520</v>
      </c>
      <c r="S165" s="53">
        <v>3</v>
      </c>
      <c r="T165" s="94">
        <f>516+6</f>
        <v>522</v>
      </c>
      <c r="U165" s="53">
        <v>6</v>
      </c>
      <c r="V165" s="94">
        <f>515+12</f>
        <v>527</v>
      </c>
      <c r="W165" s="53">
        <v>12</v>
      </c>
    </row>
    <row r="166" spans="1:23" s="2" customFormat="1" ht="12.75">
      <c r="A166" s="73"/>
      <c r="B166" s="78"/>
      <c r="C166" s="13" t="s">
        <v>73</v>
      </c>
      <c r="D166" s="18"/>
      <c r="F166" s="94"/>
      <c r="G166" s="97"/>
      <c r="H166" s="53"/>
      <c r="I166" s="97"/>
      <c r="J166" s="94"/>
      <c r="K166" s="97"/>
      <c r="L166" s="33"/>
      <c r="M166" s="72"/>
      <c r="N166" s="107"/>
      <c r="O166" s="53"/>
      <c r="P166" s="107">
        <v>55</v>
      </c>
      <c r="Q166" s="53"/>
      <c r="R166" s="107">
        <v>90</v>
      </c>
      <c r="S166" s="53"/>
      <c r="T166" s="107">
        <v>181</v>
      </c>
      <c r="U166" s="53"/>
      <c r="V166" s="107"/>
      <c r="W166" s="53"/>
    </row>
    <row r="167" spans="1:23" s="2" customFormat="1" ht="12.75">
      <c r="A167" s="73"/>
      <c r="B167" s="78"/>
      <c r="C167" s="13" t="s">
        <v>104</v>
      </c>
      <c r="D167" s="18"/>
      <c r="F167" s="94"/>
      <c r="G167" s="97"/>
      <c r="H167" s="53"/>
      <c r="I167" s="97"/>
      <c r="J167" s="94"/>
      <c r="K167" s="97"/>
      <c r="L167" s="33"/>
      <c r="M167" s="72"/>
      <c r="N167" s="107"/>
      <c r="O167" s="53"/>
      <c r="P167" s="107"/>
      <c r="Q167" s="53"/>
      <c r="R167" s="107">
        <v>600</v>
      </c>
      <c r="S167" s="53"/>
      <c r="T167" s="107">
        <v>749</v>
      </c>
      <c r="U167" s="53"/>
      <c r="V167" s="107">
        <v>1466</v>
      </c>
      <c r="W167" s="53"/>
    </row>
    <row r="168" spans="1:23" s="2" customFormat="1" ht="12.75">
      <c r="A168" s="81"/>
      <c r="B168" s="128"/>
      <c r="C168" s="82" t="s">
        <v>81</v>
      </c>
      <c r="D168" s="177"/>
      <c r="E168" s="85"/>
      <c r="F168" s="98"/>
      <c r="G168" s="99"/>
      <c r="H168" s="54"/>
      <c r="I168" s="99"/>
      <c r="J168" s="98"/>
      <c r="K168" s="99"/>
      <c r="L168" s="34"/>
      <c r="M168" s="84"/>
      <c r="N168" s="178">
        <v>1239</v>
      </c>
      <c r="O168" s="54">
        <v>1239</v>
      </c>
      <c r="P168" s="178"/>
      <c r="Q168" s="54"/>
      <c r="R168" s="178"/>
      <c r="S168" s="54"/>
      <c r="T168" s="178"/>
      <c r="U168" s="54"/>
      <c r="V168" s="178"/>
      <c r="W168" s="54"/>
    </row>
    <row r="169" spans="1:23" s="2" customFormat="1" ht="12.75">
      <c r="A169" s="73"/>
      <c r="B169" s="123" t="s">
        <v>118</v>
      </c>
      <c r="C169" s="123"/>
      <c r="D169" s="18"/>
      <c r="F169" s="32">
        <f aca="true" t="shared" si="24" ref="F169:O169">SUM(F170:F177)</f>
        <v>1572</v>
      </c>
      <c r="G169" s="32">
        <f t="shared" si="24"/>
        <v>1566</v>
      </c>
      <c r="H169" s="32">
        <f t="shared" si="24"/>
        <v>1712</v>
      </c>
      <c r="I169" s="32">
        <f t="shared" si="24"/>
        <v>1711</v>
      </c>
      <c r="J169" s="32">
        <f t="shared" si="24"/>
        <v>3919</v>
      </c>
      <c r="K169" s="32">
        <f t="shared" si="24"/>
        <v>3919</v>
      </c>
      <c r="L169" s="32">
        <f t="shared" si="24"/>
        <v>3162</v>
      </c>
      <c r="M169" s="32">
        <f t="shared" si="24"/>
        <v>3162</v>
      </c>
      <c r="N169" s="32">
        <f t="shared" si="24"/>
        <v>4314</v>
      </c>
      <c r="O169" s="32">
        <f t="shared" si="24"/>
        <v>4314</v>
      </c>
      <c r="P169" s="32">
        <f aca="true" t="shared" si="25" ref="P169:U169">SUM(P170:P177)</f>
        <v>2483</v>
      </c>
      <c r="Q169" s="32">
        <f t="shared" si="25"/>
        <v>2483</v>
      </c>
      <c r="R169" s="32">
        <f t="shared" si="25"/>
        <v>2883</v>
      </c>
      <c r="S169" s="32">
        <f t="shared" si="25"/>
        <v>2883</v>
      </c>
      <c r="T169" s="32">
        <f t="shared" si="25"/>
        <v>521</v>
      </c>
      <c r="U169" s="32">
        <f t="shared" si="25"/>
        <v>521</v>
      </c>
      <c r="V169" s="32">
        <f>SUM(V170:V177)</f>
        <v>3310</v>
      </c>
      <c r="W169" s="32">
        <f>SUM(W170:W177)</f>
        <v>2996</v>
      </c>
    </row>
    <row r="170" spans="1:23" s="2" customFormat="1" ht="12.75">
      <c r="A170" s="73"/>
      <c r="B170" s="78"/>
      <c r="C170" s="51" t="s">
        <v>72</v>
      </c>
      <c r="D170" s="18"/>
      <c r="F170" s="46">
        <v>26</v>
      </c>
      <c r="G170" s="29">
        <v>26</v>
      </c>
      <c r="H170" s="33">
        <v>34</v>
      </c>
      <c r="I170" s="26">
        <v>34</v>
      </c>
      <c r="J170" s="48">
        <f>15+31</f>
        <v>46</v>
      </c>
      <c r="K170" s="64">
        <f>15+31</f>
        <v>46</v>
      </c>
      <c r="L170" s="33">
        <f>49+41</f>
        <v>90</v>
      </c>
      <c r="M170" s="26">
        <f>49+41</f>
        <v>90</v>
      </c>
      <c r="N170" s="46">
        <v>40</v>
      </c>
      <c r="O170" s="33">
        <v>40</v>
      </c>
      <c r="P170" s="46"/>
      <c r="Q170" s="33"/>
      <c r="R170" s="46"/>
      <c r="S170" s="33"/>
      <c r="T170" s="46"/>
      <c r="U170" s="33"/>
      <c r="V170" s="46"/>
      <c r="W170" s="33"/>
    </row>
    <row r="171" spans="1:23" s="2" customFormat="1" ht="12.75">
      <c r="A171" s="73"/>
      <c r="B171" s="78"/>
      <c r="C171" s="51" t="s">
        <v>74</v>
      </c>
      <c r="D171" s="18"/>
      <c r="F171" s="53"/>
      <c r="G171" s="65"/>
      <c r="H171" s="53"/>
      <c r="I171" s="65"/>
      <c r="J171" s="52">
        <f>1349+27</f>
        <v>1376</v>
      </c>
      <c r="K171" s="71">
        <f>1349+27</f>
        <v>1376</v>
      </c>
      <c r="L171" s="33">
        <v>225</v>
      </c>
      <c r="M171" s="65">
        <v>225</v>
      </c>
      <c r="N171" s="53">
        <v>2453</v>
      </c>
      <c r="O171" s="53">
        <v>2453</v>
      </c>
      <c r="P171" s="53">
        <v>2084</v>
      </c>
      <c r="Q171" s="53">
        <v>2084</v>
      </c>
      <c r="R171" s="53">
        <v>2438</v>
      </c>
      <c r="S171" s="53">
        <v>2438</v>
      </c>
      <c r="T171" s="53"/>
      <c r="U171" s="53"/>
      <c r="V171" s="53">
        <v>2283</v>
      </c>
      <c r="W171" s="53">
        <v>2283</v>
      </c>
    </row>
    <row r="172" spans="1:23" s="2" customFormat="1" ht="12.75">
      <c r="A172" s="73"/>
      <c r="B172" s="78"/>
      <c r="C172" s="51" t="s">
        <v>77</v>
      </c>
      <c r="D172" s="18"/>
      <c r="F172" s="93">
        <f>221+14</f>
        <v>235</v>
      </c>
      <c r="G172" s="72">
        <f>221+14</f>
        <v>235</v>
      </c>
      <c r="H172" s="93">
        <f>218+17</f>
        <v>235</v>
      </c>
      <c r="I172" s="93">
        <f>218+17</f>
        <v>235</v>
      </c>
      <c r="J172" s="94">
        <f>221+10</f>
        <v>231</v>
      </c>
      <c r="K172" s="94">
        <f>221+10</f>
        <v>231</v>
      </c>
      <c r="L172" s="33">
        <v>34</v>
      </c>
      <c r="M172" s="65">
        <v>34</v>
      </c>
      <c r="N172" s="93"/>
      <c r="O172" s="53"/>
      <c r="P172" s="93"/>
      <c r="Q172" s="53"/>
      <c r="R172" s="93"/>
      <c r="S172" s="53"/>
      <c r="T172" s="93"/>
      <c r="U172" s="53"/>
      <c r="V172" s="93"/>
      <c r="W172" s="53"/>
    </row>
    <row r="173" spans="1:23" s="2" customFormat="1" ht="12.75">
      <c r="A173" s="73"/>
      <c r="B173" s="78"/>
      <c r="C173" s="51" t="s">
        <v>135</v>
      </c>
      <c r="D173" s="18"/>
      <c r="F173" s="93">
        <v>46</v>
      </c>
      <c r="G173" s="72">
        <v>46</v>
      </c>
      <c r="H173" s="93">
        <v>134</v>
      </c>
      <c r="I173" s="72">
        <v>134</v>
      </c>
      <c r="J173" s="94">
        <f>77+21</f>
        <v>98</v>
      </c>
      <c r="K173" s="94">
        <f>77+21</f>
        <v>98</v>
      </c>
      <c r="L173" s="33">
        <f>313+164</f>
        <v>477</v>
      </c>
      <c r="M173" s="33">
        <f>313+164</f>
        <v>477</v>
      </c>
      <c r="N173" s="93">
        <v>406</v>
      </c>
      <c r="O173" s="53">
        <v>406</v>
      </c>
      <c r="P173" s="93">
        <v>396</v>
      </c>
      <c r="Q173" s="53">
        <v>396</v>
      </c>
      <c r="R173" s="93">
        <v>423</v>
      </c>
      <c r="S173" s="53">
        <v>423</v>
      </c>
      <c r="T173" s="93">
        <v>424</v>
      </c>
      <c r="U173" s="53">
        <v>424</v>
      </c>
      <c r="V173" s="93">
        <v>418</v>
      </c>
      <c r="W173" s="53">
        <v>418</v>
      </c>
    </row>
    <row r="174" spans="1:23" s="2" customFormat="1" ht="12.75">
      <c r="A174" s="73"/>
      <c r="B174" s="51"/>
      <c r="C174" s="50" t="s">
        <v>24</v>
      </c>
      <c r="D174" s="74"/>
      <c r="F174" s="93">
        <f>765+424</f>
        <v>1189</v>
      </c>
      <c r="G174" s="93">
        <f>765+424</f>
        <v>1189</v>
      </c>
      <c r="H174" s="93">
        <f>572+620</f>
        <v>1192</v>
      </c>
      <c r="I174" s="93">
        <f>572+620</f>
        <v>1192</v>
      </c>
      <c r="J174" s="94">
        <f>864+1299</f>
        <v>2163</v>
      </c>
      <c r="K174" s="94">
        <f>864+1299</f>
        <v>2163</v>
      </c>
      <c r="L174" s="33">
        <f>593+1697</f>
        <v>2290</v>
      </c>
      <c r="M174" s="33">
        <f>593+1697</f>
        <v>2290</v>
      </c>
      <c r="N174" s="116">
        <v>1411</v>
      </c>
      <c r="O174" s="53">
        <v>1411</v>
      </c>
      <c r="P174" s="116"/>
      <c r="Q174" s="53"/>
      <c r="R174" s="116"/>
      <c r="S174" s="53"/>
      <c r="T174" s="116"/>
      <c r="U174" s="53"/>
      <c r="V174" s="116"/>
      <c r="W174" s="53"/>
    </row>
    <row r="175" spans="1:23" s="2" customFormat="1" ht="12.75">
      <c r="A175" s="73"/>
      <c r="B175" s="51"/>
      <c r="C175" s="13" t="s">
        <v>73</v>
      </c>
      <c r="D175" s="74"/>
      <c r="F175" s="93">
        <v>6</v>
      </c>
      <c r="G175" s="72"/>
      <c r="H175" s="93">
        <v>1</v>
      </c>
      <c r="I175" s="72"/>
      <c r="J175" s="94"/>
      <c r="K175" s="97"/>
      <c r="L175" s="33"/>
      <c r="M175" s="65"/>
      <c r="N175" s="93"/>
      <c r="O175" s="53"/>
      <c r="P175" s="93">
        <v>3</v>
      </c>
      <c r="Q175" s="53">
        <v>3</v>
      </c>
      <c r="R175" s="93">
        <v>22</v>
      </c>
      <c r="S175" s="53">
        <v>22</v>
      </c>
      <c r="T175" s="93">
        <v>86</v>
      </c>
      <c r="U175" s="53">
        <v>86</v>
      </c>
      <c r="V175" s="93">
        <f>314+107</f>
        <v>421</v>
      </c>
      <c r="W175" s="53">
        <v>107</v>
      </c>
    </row>
    <row r="176" spans="1:23" s="2" customFormat="1" ht="12.75">
      <c r="A176" s="73"/>
      <c r="B176" s="51"/>
      <c r="C176" s="51" t="s">
        <v>80</v>
      </c>
      <c r="D176" s="74"/>
      <c r="F176" s="93">
        <v>70</v>
      </c>
      <c r="G176" s="72">
        <v>70</v>
      </c>
      <c r="H176" s="93">
        <v>116</v>
      </c>
      <c r="I176" s="72">
        <v>116</v>
      </c>
      <c r="J176" s="94"/>
      <c r="K176" s="97"/>
      <c r="L176" s="33"/>
      <c r="M176" s="65"/>
      <c r="N176" s="93"/>
      <c r="O176" s="53"/>
      <c r="P176" s="93"/>
      <c r="Q176" s="53"/>
      <c r="R176" s="93"/>
      <c r="S176" s="53"/>
      <c r="T176" s="93">
        <v>11</v>
      </c>
      <c r="U176" s="53">
        <v>11</v>
      </c>
      <c r="V176" s="93">
        <v>143</v>
      </c>
      <c r="W176" s="53">
        <v>143</v>
      </c>
    </row>
    <row r="177" spans="1:23" s="2" customFormat="1" ht="12.75">
      <c r="A177" s="73"/>
      <c r="B177" s="51"/>
      <c r="C177" s="51" t="s">
        <v>75</v>
      </c>
      <c r="D177" s="74"/>
      <c r="F177" s="53"/>
      <c r="G177" s="65"/>
      <c r="H177" s="53"/>
      <c r="I177" s="65"/>
      <c r="J177" s="71">
        <v>5</v>
      </c>
      <c r="K177" s="71">
        <v>5</v>
      </c>
      <c r="L177" s="26">
        <v>46</v>
      </c>
      <c r="M177" s="72">
        <v>46</v>
      </c>
      <c r="N177" s="71">
        <v>4</v>
      </c>
      <c r="O177" s="109">
        <v>4</v>
      </c>
      <c r="P177" s="107"/>
      <c r="Q177" s="109"/>
      <c r="R177" s="108"/>
      <c r="S177" s="109"/>
      <c r="T177" s="108"/>
      <c r="U177" s="109"/>
      <c r="V177" s="108">
        <v>45</v>
      </c>
      <c r="W177" s="109">
        <v>45</v>
      </c>
    </row>
    <row r="178" spans="1:23" s="2" customFormat="1" ht="12.75">
      <c r="A178" s="73"/>
      <c r="B178" s="123" t="s">
        <v>17</v>
      </c>
      <c r="C178" s="123"/>
      <c r="D178" s="74"/>
      <c r="F178" s="87">
        <f aca="true" t="shared" si="26" ref="F178:U178">SUM(F179:F185)</f>
        <v>2154</v>
      </c>
      <c r="G178" s="87">
        <f t="shared" si="26"/>
        <v>7</v>
      </c>
      <c r="H178" s="87">
        <f t="shared" si="26"/>
        <v>1898</v>
      </c>
      <c r="I178" s="87">
        <f t="shared" si="26"/>
        <v>13</v>
      </c>
      <c r="J178" s="87">
        <f t="shared" si="26"/>
        <v>2013</v>
      </c>
      <c r="K178" s="87">
        <f t="shared" si="26"/>
        <v>3</v>
      </c>
      <c r="L178" s="87">
        <f t="shared" si="26"/>
        <v>1898</v>
      </c>
      <c r="M178" s="87">
        <f t="shared" si="26"/>
        <v>5</v>
      </c>
      <c r="N178" s="87">
        <f t="shared" si="26"/>
        <v>1706</v>
      </c>
      <c r="O178" s="87">
        <f t="shared" si="26"/>
        <v>13</v>
      </c>
      <c r="P178" s="87">
        <f t="shared" si="26"/>
        <v>1962</v>
      </c>
      <c r="Q178" s="87">
        <f t="shared" si="26"/>
        <v>101</v>
      </c>
      <c r="R178" s="87">
        <f t="shared" si="26"/>
        <v>1533</v>
      </c>
      <c r="S178" s="87">
        <f t="shared" si="26"/>
        <v>86</v>
      </c>
      <c r="T178" s="87">
        <f t="shared" si="26"/>
        <v>1690</v>
      </c>
      <c r="U178" s="87">
        <f t="shared" si="26"/>
        <v>56</v>
      </c>
      <c r="V178" s="87">
        <f>SUM(V179:V185)</f>
        <v>1806</v>
      </c>
      <c r="W178" s="87">
        <f>SUM(W179:W185)</f>
        <v>63</v>
      </c>
    </row>
    <row r="179" spans="1:23" s="2" customFormat="1" ht="12.75">
      <c r="A179" s="73"/>
      <c r="B179" s="51"/>
      <c r="C179" s="51" t="s">
        <v>74</v>
      </c>
      <c r="D179" s="74"/>
      <c r="F179" s="53">
        <v>3</v>
      </c>
      <c r="G179" s="65">
        <v>3</v>
      </c>
      <c r="H179" s="53">
        <v>3</v>
      </c>
      <c r="I179" s="65">
        <v>3</v>
      </c>
      <c r="J179" s="71">
        <v>3</v>
      </c>
      <c r="K179" s="71">
        <v>3</v>
      </c>
      <c r="L179" s="26">
        <v>5</v>
      </c>
      <c r="M179" s="72">
        <v>5</v>
      </c>
      <c r="N179" s="71">
        <v>5</v>
      </c>
      <c r="O179" s="109">
        <v>5</v>
      </c>
      <c r="P179" s="107">
        <v>5</v>
      </c>
      <c r="Q179" s="109">
        <v>5</v>
      </c>
      <c r="R179" s="108">
        <v>5</v>
      </c>
      <c r="S179" s="109">
        <v>5</v>
      </c>
      <c r="T179" s="108">
        <v>5</v>
      </c>
      <c r="U179" s="109">
        <v>5</v>
      </c>
      <c r="V179" s="108">
        <v>5</v>
      </c>
      <c r="W179" s="109">
        <v>5</v>
      </c>
    </row>
    <row r="180" spans="1:23" s="2" customFormat="1" ht="12.75">
      <c r="A180" s="73"/>
      <c r="B180" s="51"/>
      <c r="C180" s="51" t="s">
        <v>135</v>
      </c>
      <c r="D180" s="74"/>
      <c r="F180" s="94">
        <v>4</v>
      </c>
      <c r="G180" s="97">
        <v>4</v>
      </c>
      <c r="H180" s="94">
        <v>10</v>
      </c>
      <c r="I180" s="97">
        <v>10</v>
      </c>
      <c r="J180" s="94"/>
      <c r="K180" s="97"/>
      <c r="L180" s="33"/>
      <c r="M180" s="53"/>
      <c r="N180" s="93"/>
      <c r="O180" s="53"/>
      <c r="P180" s="116">
        <v>21</v>
      </c>
      <c r="Q180" s="116">
        <v>21</v>
      </c>
      <c r="R180" s="116"/>
      <c r="S180" s="116"/>
      <c r="T180" s="116">
        <v>8</v>
      </c>
      <c r="U180" s="116">
        <v>8</v>
      </c>
      <c r="V180" s="116">
        <v>30</v>
      </c>
      <c r="W180" s="116">
        <v>30</v>
      </c>
    </row>
    <row r="181" spans="1:23" s="2" customFormat="1" ht="12.75">
      <c r="A181" s="73"/>
      <c r="B181" s="51"/>
      <c r="C181" s="7" t="s">
        <v>75</v>
      </c>
      <c r="D181" s="74"/>
      <c r="F181" s="94"/>
      <c r="G181" s="97"/>
      <c r="H181" s="94"/>
      <c r="I181" s="97"/>
      <c r="J181" s="94"/>
      <c r="K181" s="97"/>
      <c r="L181" s="33"/>
      <c r="M181" s="53"/>
      <c r="N181" s="93">
        <v>8</v>
      </c>
      <c r="O181" s="53">
        <v>8</v>
      </c>
      <c r="P181" s="116">
        <v>66</v>
      </c>
      <c r="Q181" s="116">
        <v>66</v>
      </c>
      <c r="R181" s="116">
        <v>71</v>
      </c>
      <c r="S181" s="116">
        <v>71</v>
      </c>
      <c r="T181" s="116">
        <v>28</v>
      </c>
      <c r="U181" s="116">
        <v>28</v>
      </c>
      <c r="V181" s="116">
        <v>23</v>
      </c>
      <c r="W181" s="116">
        <v>23</v>
      </c>
    </row>
    <row r="182" spans="1:23" s="2" customFormat="1" ht="12.75">
      <c r="A182" s="73"/>
      <c r="B182" s="51"/>
      <c r="C182" s="51" t="s">
        <v>83</v>
      </c>
      <c r="D182" s="74"/>
      <c r="F182" s="94">
        <v>828</v>
      </c>
      <c r="G182" s="97"/>
      <c r="H182" s="94">
        <v>868</v>
      </c>
      <c r="I182" s="97"/>
      <c r="J182" s="94">
        <v>853</v>
      </c>
      <c r="K182" s="97"/>
      <c r="L182" s="33">
        <v>803</v>
      </c>
      <c r="M182" s="53"/>
      <c r="N182" s="93">
        <v>880</v>
      </c>
      <c r="O182" s="53"/>
      <c r="P182" s="116">
        <v>1100</v>
      </c>
      <c r="Q182" s="116"/>
      <c r="R182" s="116">
        <v>884</v>
      </c>
      <c r="S182" s="116"/>
      <c r="T182" s="116">
        <v>989</v>
      </c>
      <c r="U182" s="116"/>
      <c r="V182" s="116">
        <v>962</v>
      </c>
      <c r="W182" s="116"/>
    </row>
    <row r="183" spans="1:23" s="2" customFormat="1" ht="12.75">
      <c r="A183" s="73"/>
      <c r="B183" s="51"/>
      <c r="C183" s="50" t="s">
        <v>82</v>
      </c>
      <c r="D183" s="74"/>
      <c r="F183" s="94">
        <v>549</v>
      </c>
      <c r="G183" s="97"/>
      <c r="H183" s="94">
        <v>236</v>
      </c>
      <c r="I183" s="97"/>
      <c r="J183" s="94">
        <v>1045</v>
      </c>
      <c r="K183" s="97"/>
      <c r="L183" s="33">
        <v>991</v>
      </c>
      <c r="M183" s="53"/>
      <c r="N183" s="116">
        <v>742</v>
      </c>
      <c r="O183" s="53"/>
      <c r="P183" s="116">
        <v>689</v>
      </c>
      <c r="Q183" s="116"/>
      <c r="R183" s="116">
        <v>501</v>
      </c>
      <c r="S183" s="116"/>
      <c r="T183" s="116">
        <v>571</v>
      </c>
      <c r="U183" s="116"/>
      <c r="V183" s="116">
        <v>721</v>
      </c>
      <c r="W183" s="116"/>
    </row>
    <row r="184" spans="1:23" s="2" customFormat="1" ht="12.75">
      <c r="A184" s="73"/>
      <c r="B184" s="51"/>
      <c r="C184" s="50" t="s">
        <v>24</v>
      </c>
      <c r="D184" s="74"/>
      <c r="F184" s="94"/>
      <c r="G184" s="97"/>
      <c r="H184" s="94"/>
      <c r="I184" s="97"/>
      <c r="J184" s="94"/>
      <c r="K184" s="97"/>
      <c r="L184" s="33"/>
      <c r="M184" s="53"/>
      <c r="N184" s="116"/>
      <c r="O184" s="53"/>
      <c r="P184" s="116">
        <v>9</v>
      </c>
      <c r="Q184" s="116">
        <v>9</v>
      </c>
      <c r="R184" s="116">
        <v>10</v>
      </c>
      <c r="S184" s="116">
        <v>10</v>
      </c>
      <c r="T184" s="116">
        <v>15</v>
      </c>
      <c r="U184" s="116">
        <v>15</v>
      </c>
      <c r="V184" s="116">
        <v>5</v>
      </c>
      <c r="W184" s="116">
        <v>5</v>
      </c>
    </row>
    <row r="185" spans="1:23" s="2" customFormat="1" ht="12.75">
      <c r="A185" s="81"/>
      <c r="B185" s="82"/>
      <c r="C185" s="23" t="s">
        <v>73</v>
      </c>
      <c r="D185" s="83"/>
      <c r="E185" s="85"/>
      <c r="F185" s="98">
        <v>770</v>
      </c>
      <c r="G185" s="99"/>
      <c r="H185" s="98">
        <v>781</v>
      </c>
      <c r="I185" s="99"/>
      <c r="J185" s="98">
        <v>112</v>
      </c>
      <c r="K185" s="99"/>
      <c r="L185" s="34">
        <v>99</v>
      </c>
      <c r="M185" s="54"/>
      <c r="N185" s="147">
        <v>71</v>
      </c>
      <c r="O185" s="54"/>
      <c r="P185" s="147">
        <v>72</v>
      </c>
      <c r="Q185" s="147"/>
      <c r="R185" s="147">
        <v>62</v>
      </c>
      <c r="S185" s="147"/>
      <c r="T185" s="147">
        <v>74</v>
      </c>
      <c r="U185" s="147"/>
      <c r="V185" s="147">
        <v>60</v>
      </c>
      <c r="W185" s="147"/>
    </row>
    <row r="186" spans="1:23" s="127" customFormat="1" ht="12.75">
      <c r="A186" s="130" t="s">
        <v>119</v>
      </c>
      <c r="B186" s="125"/>
      <c r="C186" s="125"/>
      <c r="D186" s="126"/>
      <c r="F186" s="129">
        <f aca="true" t="shared" si="27" ref="F186:W186">+F190+F199+F208+F213+F187</f>
        <v>8435</v>
      </c>
      <c r="G186" s="129">
        <f t="shared" si="27"/>
        <v>94</v>
      </c>
      <c r="H186" s="129">
        <f t="shared" si="27"/>
        <v>11522</v>
      </c>
      <c r="I186" s="129">
        <f t="shared" si="27"/>
        <v>302</v>
      </c>
      <c r="J186" s="129">
        <f t="shared" si="27"/>
        <v>12305</v>
      </c>
      <c r="K186" s="129">
        <f t="shared" si="27"/>
        <v>450</v>
      </c>
      <c r="L186" s="129">
        <f t="shared" si="27"/>
        <v>13271</v>
      </c>
      <c r="M186" s="129">
        <f t="shared" si="27"/>
        <v>2549</v>
      </c>
      <c r="N186" s="129">
        <f t="shared" si="27"/>
        <v>11475</v>
      </c>
      <c r="O186" s="129">
        <f t="shared" si="27"/>
        <v>151</v>
      </c>
      <c r="P186" s="129">
        <f t="shared" si="27"/>
        <v>17556</v>
      </c>
      <c r="Q186" s="129">
        <f t="shared" si="27"/>
        <v>11239</v>
      </c>
      <c r="R186" s="129">
        <f t="shared" si="27"/>
        <v>16461</v>
      </c>
      <c r="S186" s="129">
        <f t="shared" si="27"/>
        <v>11118</v>
      </c>
      <c r="T186" s="129">
        <f t="shared" si="27"/>
        <v>18809</v>
      </c>
      <c r="U186" s="129">
        <f t="shared" si="27"/>
        <v>14199</v>
      </c>
      <c r="V186" s="129">
        <f t="shared" si="27"/>
        <v>21824</v>
      </c>
      <c r="W186" s="129">
        <f t="shared" si="27"/>
        <v>15907</v>
      </c>
    </row>
    <row r="187" spans="1:23" s="2" customFormat="1" ht="12.75">
      <c r="A187" s="73"/>
      <c r="B187" s="78" t="s">
        <v>132</v>
      </c>
      <c r="C187" s="78"/>
      <c r="D187" s="74"/>
      <c r="F187" s="87">
        <f aca="true" t="shared" si="28" ref="F187:O187">SUM(F188:F189)</f>
        <v>32</v>
      </c>
      <c r="G187" s="87">
        <f t="shared" si="28"/>
        <v>0</v>
      </c>
      <c r="H187" s="87">
        <f t="shared" si="28"/>
        <v>283</v>
      </c>
      <c r="I187" s="87">
        <f t="shared" si="28"/>
        <v>281</v>
      </c>
      <c r="J187" s="87">
        <f t="shared" si="28"/>
        <v>132</v>
      </c>
      <c r="K187" s="87">
        <f t="shared" si="28"/>
        <v>121</v>
      </c>
      <c r="L187" s="87">
        <f t="shared" si="28"/>
        <v>253</v>
      </c>
      <c r="M187" s="87">
        <f t="shared" si="28"/>
        <v>247</v>
      </c>
      <c r="N187" s="87">
        <f t="shared" si="28"/>
        <v>116</v>
      </c>
      <c r="O187" s="87">
        <f t="shared" si="28"/>
        <v>106</v>
      </c>
      <c r="P187" s="87">
        <f>SUM(P188:P189)</f>
        <v>10</v>
      </c>
      <c r="Q187" s="87">
        <f aca="true" t="shared" si="29" ref="Q187:W187">SUM(Q188:Q189)</f>
        <v>0</v>
      </c>
      <c r="R187" s="87">
        <f t="shared" si="29"/>
        <v>12</v>
      </c>
      <c r="S187" s="87">
        <f t="shared" si="29"/>
        <v>0</v>
      </c>
      <c r="T187" s="87">
        <f t="shared" si="29"/>
        <v>230</v>
      </c>
      <c r="U187" s="87">
        <f t="shared" si="29"/>
        <v>220</v>
      </c>
      <c r="V187" s="87">
        <f t="shared" si="29"/>
        <v>511</v>
      </c>
      <c r="W187" s="87">
        <f t="shared" si="29"/>
        <v>500</v>
      </c>
    </row>
    <row r="188" spans="1:23" s="2" customFormat="1" ht="12.75">
      <c r="A188" s="73"/>
      <c r="B188" s="17"/>
      <c r="C188" s="51" t="s">
        <v>72</v>
      </c>
      <c r="D188" s="74"/>
      <c r="F188" s="52">
        <f>6+26</f>
        <v>32</v>
      </c>
      <c r="G188" s="71"/>
      <c r="H188" s="52">
        <v>2</v>
      </c>
      <c r="I188" s="71"/>
      <c r="J188" s="52">
        <v>11</v>
      </c>
      <c r="K188" s="71"/>
      <c r="L188" s="33">
        <v>6</v>
      </c>
      <c r="M188" s="65"/>
      <c r="N188" s="52">
        <v>10</v>
      </c>
      <c r="O188" s="53"/>
      <c r="P188" s="52">
        <v>10</v>
      </c>
      <c r="Q188" s="53"/>
      <c r="R188" s="52">
        <v>12</v>
      </c>
      <c r="S188" s="53"/>
      <c r="T188" s="52">
        <v>10</v>
      </c>
      <c r="U188" s="53"/>
      <c r="V188" s="52">
        <v>11</v>
      </c>
      <c r="W188" s="53"/>
    </row>
    <row r="189" spans="1:23" s="2" customFormat="1" ht="12.75">
      <c r="A189" s="73"/>
      <c r="B189" s="17"/>
      <c r="C189" s="7" t="s">
        <v>75</v>
      </c>
      <c r="D189" s="74"/>
      <c r="F189" s="52"/>
      <c r="G189" s="71"/>
      <c r="H189" s="52">
        <v>281</v>
      </c>
      <c r="I189" s="71">
        <v>281</v>
      </c>
      <c r="J189" s="52">
        <v>121</v>
      </c>
      <c r="K189" s="71">
        <v>121</v>
      </c>
      <c r="L189" s="33">
        <v>247</v>
      </c>
      <c r="M189" s="65">
        <v>247</v>
      </c>
      <c r="N189" s="52">
        <v>106</v>
      </c>
      <c r="O189" s="65">
        <v>106</v>
      </c>
      <c r="P189" s="52"/>
      <c r="Q189" s="65"/>
      <c r="R189" s="52"/>
      <c r="S189" s="65"/>
      <c r="T189" s="52">
        <v>220</v>
      </c>
      <c r="U189" s="65">
        <v>220</v>
      </c>
      <c r="V189" s="52">
        <v>500</v>
      </c>
      <c r="W189" s="65">
        <v>500</v>
      </c>
    </row>
    <row r="190" spans="1:23" s="2" customFormat="1" ht="12.75">
      <c r="A190" s="73"/>
      <c r="B190" s="78" t="s">
        <v>120</v>
      </c>
      <c r="C190" s="78"/>
      <c r="D190" s="74"/>
      <c r="F190" s="87">
        <f>SUM(F191:F198)</f>
        <v>1767</v>
      </c>
      <c r="G190" s="87">
        <f aca="true" t="shared" si="30" ref="G190:U190">SUM(G191:G198)</f>
        <v>88</v>
      </c>
      <c r="H190" s="87">
        <f t="shared" si="30"/>
        <v>2188</v>
      </c>
      <c r="I190" s="87">
        <f t="shared" si="30"/>
        <v>15</v>
      </c>
      <c r="J190" s="87">
        <f t="shared" si="30"/>
        <v>2010</v>
      </c>
      <c r="K190" s="87">
        <f t="shared" si="30"/>
        <v>323</v>
      </c>
      <c r="L190" s="87">
        <f t="shared" si="30"/>
        <v>2440</v>
      </c>
      <c r="M190" s="87">
        <f t="shared" si="30"/>
        <v>1716</v>
      </c>
      <c r="N190" s="87">
        <f t="shared" si="30"/>
        <v>756</v>
      </c>
      <c r="O190" s="87">
        <f t="shared" si="30"/>
        <v>39</v>
      </c>
      <c r="P190" s="87">
        <f t="shared" si="30"/>
        <v>746</v>
      </c>
      <c r="Q190" s="87">
        <f t="shared" si="30"/>
        <v>1</v>
      </c>
      <c r="R190" s="87">
        <f t="shared" si="30"/>
        <v>760</v>
      </c>
      <c r="S190" s="87">
        <f t="shared" si="30"/>
        <v>0</v>
      </c>
      <c r="T190" s="87">
        <f t="shared" si="30"/>
        <v>1062</v>
      </c>
      <c r="U190" s="87">
        <f t="shared" si="30"/>
        <v>381</v>
      </c>
      <c r="V190" s="87">
        <f>SUM(V191:V198)</f>
        <v>548</v>
      </c>
      <c r="W190" s="87">
        <f>SUM(W191:W198)</f>
        <v>0</v>
      </c>
    </row>
    <row r="191" spans="1:23" s="2" customFormat="1" ht="12.75">
      <c r="A191" s="73"/>
      <c r="B191" s="17"/>
      <c r="C191" s="50" t="s">
        <v>24</v>
      </c>
      <c r="D191" s="74"/>
      <c r="F191" s="52">
        <v>36</v>
      </c>
      <c r="G191" s="71">
        <v>36</v>
      </c>
      <c r="H191" s="52"/>
      <c r="I191" s="71"/>
      <c r="J191" s="52"/>
      <c r="K191" s="71"/>
      <c r="L191" s="33">
        <v>31</v>
      </c>
      <c r="M191" s="65">
        <v>31</v>
      </c>
      <c r="N191" s="52">
        <v>31</v>
      </c>
      <c r="O191" s="65">
        <v>31</v>
      </c>
      <c r="P191" s="52"/>
      <c r="Q191" s="65"/>
      <c r="R191" s="52"/>
      <c r="S191" s="65"/>
      <c r="T191" s="52"/>
      <c r="U191" s="65"/>
      <c r="V191" s="52"/>
      <c r="W191" s="65"/>
    </row>
    <row r="192" spans="1:23" s="2" customFormat="1" ht="12.75">
      <c r="A192" s="73"/>
      <c r="B192" s="17"/>
      <c r="C192" s="51" t="s">
        <v>72</v>
      </c>
      <c r="D192" s="74"/>
      <c r="F192" s="52"/>
      <c r="G192" s="71"/>
      <c r="H192" s="52">
        <v>15</v>
      </c>
      <c r="I192" s="71">
        <v>15</v>
      </c>
      <c r="J192" s="52">
        <v>50</v>
      </c>
      <c r="K192" s="71">
        <v>50</v>
      </c>
      <c r="L192" s="33">
        <v>37</v>
      </c>
      <c r="M192" s="65">
        <v>37</v>
      </c>
      <c r="N192" s="52">
        <v>8</v>
      </c>
      <c r="O192" s="65">
        <v>8</v>
      </c>
      <c r="P192" s="52"/>
      <c r="Q192" s="65"/>
      <c r="R192" s="52"/>
      <c r="S192" s="65"/>
      <c r="T192" s="52"/>
      <c r="U192" s="65"/>
      <c r="V192" s="52"/>
      <c r="W192" s="65"/>
    </row>
    <row r="193" spans="1:23" s="2" customFormat="1" ht="12.75">
      <c r="A193" s="73"/>
      <c r="B193" s="17"/>
      <c r="C193" s="7" t="s">
        <v>75</v>
      </c>
      <c r="D193" s="74"/>
      <c r="F193" s="52">
        <v>66</v>
      </c>
      <c r="G193" s="71"/>
      <c r="H193" s="52"/>
      <c r="I193" s="71"/>
      <c r="J193" s="52"/>
      <c r="K193" s="71"/>
      <c r="L193" s="33"/>
      <c r="M193" s="65"/>
      <c r="N193" s="52"/>
      <c r="O193" s="65"/>
      <c r="P193" s="52"/>
      <c r="Q193" s="65"/>
      <c r="R193" s="52">
        <v>136</v>
      </c>
      <c r="S193" s="65"/>
      <c r="T193" s="52"/>
      <c r="U193" s="65"/>
      <c r="V193" s="52"/>
      <c r="W193" s="65"/>
    </row>
    <row r="194" spans="1:23" s="2" customFormat="1" ht="12.75">
      <c r="A194" s="73"/>
      <c r="B194" s="17"/>
      <c r="C194" s="51" t="s">
        <v>74</v>
      </c>
      <c r="D194" s="74"/>
      <c r="F194" s="52"/>
      <c r="G194" s="71"/>
      <c r="H194" s="52"/>
      <c r="I194" s="71"/>
      <c r="J194" s="52">
        <v>232</v>
      </c>
      <c r="K194" s="71">
        <v>232</v>
      </c>
      <c r="L194" s="33">
        <v>1575</v>
      </c>
      <c r="M194" s="65">
        <v>1575</v>
      </c>
      <c r="N194" s="52"/>
      <c r="O194" s="65"/>
      <c r="P194" s="52"/>
      <c r="Q194" s="65"/>
      <c r="R194" s="52"/>
      <c r="S194" s="65"/>
      <c r="T194" s="52"/>
      <c r="U194" s="65"/>
      <c r="V194" s="52"/>
      <c r="W194" s="65"/>
    </row>
    <row r="195" spans="1:23" s="2" customFormat="1" ht="12.75">
      <c r="A195" s="73"/>
      <c r="B195" s="17"/>
      <c r="C195" s="51" t="s">
        <v>135</v>
      </c>
      <c r="D195" s="74"/>
      <c r="F195" s="52">
        <v>52</v>
      </c>
      <c r="G195" s="71">
        <v>52</v>
      </c>
      <c r="H195" s="52"/>
      <c r="I195" s="71"/>
      <c r="J195" s="52">
        <v>41</v>
      </c>
      <c r="K195" s="71">
        <v>41</v>
      </c>
      <c r="L195" s="33">
        <f>21+52</f>
        <v>73</v>
      </c>
      <c r="M195" s="33">
        <f>21+52</f>
        <v>73</v>
      </c>
      <c r="N195" s="52"/>
      <c r="O195" s="65"/>
      <c r="P195" s="52"/>
      <c r="Q195" s="65"/>
      <c r="R195" s="52"/>
      <c r="S195" s="65"/>
      <c r="T195" s="52"/>
      <c r="U195" s="65"/>
      <c r="V195" s="52"/>
      <c r="W195" s="65"/>
    </row>
    <row r="196" spans="1:23" s="2" customFormat="1" ht="12.75">
      <c r="A196" s="73"/>
      <c r="B196" s="17"/>
      <c r="C196" s="13" t="s">
        <v>73</v>
      </c>
      <c r="D196" s="74"/>
      <c r="F196" s="52"/>
      <c r="G196" s="71"/>
      <c r="H196" s="52"/>
      <c r="I196" s="71"/>
      <c r="J196" s="52"/>
      <c r="K196" s="71"/>
      <c r="L196" s="33"/>
      <c r="M196" s="26"/>
      <c r="N196" s="52"/>
      <c r="O196" s="65"/>
      <c r="P196" s="52">
        <v>1</v>
      </c>
      <c r="Q196" s="65">
        <v>1</v>
      </c>
      <c r="R196" s="52"/>
      <c r="S196" s="65"/>
      <c r="T196" s="52">
        <v>103</v>
      </c>
      <c r="U196" s="65">
        <v>103</v>
      </c>
      <c r="V196" s="52"/>
      <c r="W196" s="65"/>
    </row>
    <row r="197" spans="1:23" s="2" customFormat="1" ht="12.75">
      <c r="A197" s="73"/>
      <c r="B197" s="17"/>
      <c r="C197" s="13" t="s">
        <v>133</v>
      </c>
      <c r="D197" s="74"/>
      <c r="F197" s="52"/>
      <c r="G197" s="71"/>
      <c r="H197" s="52"/>
      <c r="I197" s="71"/>
      <c r="J197" s="52"/>
      <c r="K197" s="71"/>
      <c r="L197" s="33"/>
      <c r="M197" s="26"/>
      <c r="N197" s="52"/>
      <c r="O197" s="65"/>
      <c r="P197" s="52"/>
      <c r="Q197" s="65"/>
      <c r="R197" s="52"/>
      <c r="S197" s="65"/>
      <c r="T197" s="52">
        <v>278</v>
      </c>
      <c r="U197" s="65">
        <v>278</v>
      </c>
      <c r="V197" s="52"/>
      <c r="W197" s="65"/>
    </row>
    <row r="198" spans="1:23" s="2" customFormat="1" ht="12.75">
      <c r="A198" s="73"/>
      <c r="B198" s="17"/>
      <c r="C198" s="50" t="s">
        <v>84</v>
      </c>
      <c r="D198" s="74"/>
      <c r="F198" s="52">
        <v>1613</v>
      </c>
      <c r="G198" s="71"/>
      <c r="H198" s="52">
        <v>2173</v>
      </c>
      <c r="I198" s="71"/>
      <c r="J198" s="52">
        <v>1687</v>
      </c>
      <c r="K198" s="71"/>
      <c r="L198" s="33">
        <v>724</v>
      </c>
      <c r="M198" s="65"/>
      <c r="N198" s="52">
        <f>7+710</f>
        <v>717</v>
      </c>
      <c r="O198" s="65"/>
      <c r="P198" s="52">
        <v>745</v>
      </c>
      <c r="Q198" s="65"/>
      <c r="R198" s="52">
        <v>624</v>
      </c>
      <c r="S198" s="65"/>
      <c r="T198" s="52">
        <v>681</v>
      </c>
      <c r="U198" s="65"/>
      <c r="V198" s="52">
        <v>548</v>
      </c>
      <c r="W198" s="65"/>
    </row>
    <row r="199" spans="1:23" s="2" customFormat="1" ht="12.75">
      <c r="A199" s="73"/>
      <c r="B199" s="17" t="s">
        <v>93</v>
      </c>
      <c r="C199" s="17"/>
      <c r="D199" s="74"/>
      <c r="F199" s="87">
        <f>SUM(F200:F207)</f>
        <v>569</v>
      </c>
      <c r="G199" s="87">
        <f aca="true" t="shared" si="31" ref="G199:U199">SUM(G200:G207)</f>
        <v>0</v>
      </c>
      <c r="H199" s="87">
        <f t="shared" si="31"/>
        <v>1405</v>
      </c>
      <c r="I199" s="87">
        <f t="shared" si="31"/>
        <v>0</v>
      </c>
      <c r="J199" s="87">
        <f t="shared" si="31"/>
        <v>3027</v>
      </c>
      <c r="K199" s="87">
        <f t="shared" si="31"/>
        <v>0</v>
      </c>
      <c r="L199" s="87">
        <f t="shared" si="31"/>
        <v>3809</v>
      </c>
      <c r="M199" s="87">
        <f t="shared" si="31"/>
        <v>580</v>
      </c>
      <c r="N199" s="87">
        <f t="shared" si="31"/>
        <v>3939</v>
      </c>
      <c r="O199" s="87">
        <f t="shared" si="31"/>
        <v>0</v>
      </c>
      <c r="P199" s="87">
        <f t="shared" si="31"/>
        <v>5042</v>
      </c>
      <c r="Q199" s="87">
        <f t="shared" si="31"/>
        <v>137</v>
      </c>
      <c r="R199" s="87">
        <f t="shared" si="31"/>
        <v>5137</v>
      </c>
      <c r="S199" s="87">
        <f t="shared" si="31"/>
        <v>1274</v>
      </c>
      <c r="T199" s="87">
        <f t="shared" si="31"/>
        <v>4063</v>
      </c>
      <c r="U199" s="87">
        <f t="shared" si="31"/>
        <v>952</v>
      </c>
      <c r="V199" s="87">
        <f>SUM(V200:V207)</f>
        <v>4265</v>
      </c>
      <c r="W199" s="87">
        <f>SUM(W200:W207)</f>
        <v>0</v>
      </c>
    </row>
    <row r="200" spans="1:23" s="2" customFormat="1" ht="12.75">
      <c r="A200" s="73"/>
      <c r="B200" s="17"/>
      <c r="C200" s="13" t="s">
        <v>73</v>
      </c>
      <c r="D200" s="74"/>
      <c r="F200" s="52"/>
      <c r="G200" s="67"/>
      <c r="H200" s="52"/>
      <c r="I200" s="67"/>
      <c r="J200" s="52">
        <v>50</v>
      </c>
      <c r="K200" s="67"/>
      <c r="L200" s="33">
        <v>2</v>
      </c>
      <c r="M200" s="93"/>
      <c r="N200" s="53">
        <v>32</v>
      </c>
      <c r="O200" s="93"/>
      <c r="P200" s="53">
        <v>10</v>
      </c>
      <c r="Q200" s="93"/>
      <c r="R200" s="53">
        <v>2</v>
      </c>
      <c r="S200" s="93"/>
      <c r="T200" s="53"/>
      <c r="U200" s="93"/>
      <c r="V200" s="53"/>
      <c r="W200" s="93"/>
    </row>
    <row r="201" spans="1:23" s="2" customFormat="1" ht="12.75">
      <c r="A201" s="73"/>
      <c r="B201" s="17"/>
      <c r="C201" s="51" t="s">
        <v>72</v>
      </c>
      <c r="D201" s="74"/>
      <c r="F201" s="52"/>
      <c r="G201" s="67"/>
      <c r="H201" s="52"/>
      <c r="I201" s="67"/>
      <c r="J201" s="52"/>
      <c r="K201" s="67"/>
      <c r="L201" s="33"/>
      <c r="M201" s="93"/>
      <c r="N201" s="53">
        <v>1</v>
      </c>
      <c r="O201" s="93"/>
      <c r="P201" s="53">
        <v>1</v>
      </c>
      <c r="Q201" s="93"/>
      <c r="R201" s="53">
        <v>1</v>
      </c>
      <c r="S201" s="93"/>
      <c r="T201" s="53">
        <v>1</v>
      </c>
      <c r="U201" s="93"/>
      <c r="V201" s="53">
        <v>1</v>
      </c>
      <c r="W201" s="93"/>
    </row>
    <row r="202" spans="1:23" s="2" customFormat="1" ht="12.75">
      <c r="A202" s="73"/>
      <c r="B202" s="17"/>
      <c r="C202" s="51" t="s">
        <v>133</v>
      </c>
      <c r="D202" s="74"/>
      <c r="F202" s="52"/>
      <c r="G202" s="67"/>
      <c r="H202" s="52"/>
      <c r="I202" s="67"/>
      <c r="J202" s="52"/>
      <c r="K202" s="67"/>
      <c r="L202" s="33"/>
      <c r="M202" s="93"/>
      <c r="N202" s="53"/>
      <c r="O202" s="93"/>
      <c r="P202" s="53"/>
      <c r="Q202" s="93"/>
      <c r="R202" s="53"/>
      <c r="S202" s="93"/>
      <c r="T202" s="53"/>
      <c r="U202" s="93"/>
      <c r="V202" s="53">
        <v>7</v>
      </c>
      <c r="W202" s="93"/>
    </row>
    <row r="203" spans="1:23" s="2" customFormat="1" ht="12.75">
      <c r="A203" s="73"/>
      <c r="B203" s="17"/>
      <c r="C203" s="51" t="s">
        <v>138</v>
      </c>
      <c r="D203" s="74"/>
      <c r="F203" s="52"/>
      <c r="G203" s="67"/>
      <c r="H203" s="52"/>
      <c r="I203" s="67"/>
      <c r="J203" s="52"/>
      <c r="K203" s="52"/>
      <c r="L203" s="26">
        <v>580</v>
      </c>
      <c r="M203" s="53">
        <v>580</v>
      </c>
      <c r="N203" s="53">
        <f>3435-3434-1</f>
        <v>0</v>
      </c>
      <c r="O203" s="53">
        <f>3435-3434-1</f>
        <v>0</v>
      </c>
      <c r="P203" s="53">
        <v>137</v>
      </c>
      <c r="Q203" s="53">
        <v>137</v>
      </c>
      <c r="R203" s="53">
        <f>401+10</f>
        <v>411</v>
      </c>
      <c r="S203" s="53">
        <f>88+313</f>
        <v>401</v>
      </c>
      <c r="T203" s="53">
        <v>172</v>
      </c>
      <c r="U203" s="53">
        <v>172</v>
      </c>
      <c r="V203" s="53"/>
      <c r="W203" s="53"/>
    </row>
    <row r="204" spans="1:23" s="2" customFormat="1" ht="12.75">
      <c r="A204" s="73"/>
      <c r="B204" s="17"/>
      <c r="C204" s="51" t="s">
        <v>139</v>
      </c>
      <c r="D204" s="74"/>
      <c r="F204" s="52"/>
      <c r="G204" s="67"/>
      <c r="H204" s="52"/>
      <c r="I204" s="67"/>
      <c r="J204" s="52"/>
      <c r="K204" s="52"/>
      <c r="L204" s="15"/>
      <c r="M204" s="53"/>
      <c r="N204" s="53">
        <f>34206-34206</f>
        <v>0</v>
      </c>
      <c r="O204" s="53">
        <f>34206-34206</f>
        <v>0</v>
      </c>
      <c r="P204" s="53"/>
      <c r="Q204" s="53"/>
      <c r="R204" s="53"/>
      <c r="S204" s="53"/>
      <c r="T204" s="53"/>
      <c r="U204" s="53"/>
      <c r="V204" s="53"/>
      <c r="W204" s="53"/>
    </row>
    <row r="205" spans="1:23" s="2" customFormat="1" ht="12.75">
      <c r="A205" s="73"/>
      <c r="B205" s="17"/>
      <c r="C205" s="51" t="s">
        <v>80</v>
      </c>
      <c r="D205" s="74"/>
      <c r="F205" s="52"/>
      <c r="G205" s="67"/>
      <c r="H205" s="52"/>
      <c r="I205" s="67"/>
      <c r="J205" s="52"/>
      <c r="K205" s="52"/>
      <c r="L205" s="15">
        <v>10</v>
      </c>
      <c r="M205" s="53"/>
      <c r="N205" s="53">
        <v>11</v>
      </c>
      <c r="O205" s="53"/>
      <c r="P205" s="53">
        <v>11</v>
      </c>
      <c r="Q205" s="53"/>
      <c r="R205" s="53">
        <v>11</v>
      </c>
      <c r="S205" s="53"/>
      <c r="T205" s="53">
        <v>11</v>
      </c>
      <c r="U205" s="53"/>
      <c r="V205" s="53">
        <v>11</v>
      </c>
      <c r="W205" s="53"/>
    </row>
    <row r="206" spans="1:23" s="2" customFormat="1" ht="12.75">
      <c r="A206" s="73"/>
      <c r="B206" s="17"/>
      <c r="C206" s="7" t="s">
        <v>75</v>
      </c>
      <c r="D206" s="74"/>
      <c r="F206" s="52"/>
      <c r="G206" s="67"/>
      <c r="H206" s="52"/>
      <c r="I206" s="67"/>
      <c r="J206" s="52"/>
      <c r="K206" s="52"/>
      <c r="L206" s="15"/>
      <c r="M206" s="53"/>
      <c r="N206" s="53"/>
      <c r="O206" s="53"/>
      <c r="P206" s="53">
        <v>1033</v>
      </c>
      <c r="Q206" s="53"/>
      <c r="R206" s="53">
        <f>873+160</f>
        <v>1033</v>
      </c>
      <c r="S206" s="53">
        <v>873</v>
      </c>
      <c r="T206" s="53">
        <v>780</v>
      </c>
      <c r="U206" s="53">
        <v>780</v>
      </c>
      <c r="V206" s="53">
        <v>40</v>
      </c>
      <c r="W206" s="53"/>
    </row>
    <row r="207" spans="1:23" s="2" customFormat="1" ht="12.75">
      <c r="A207" s="73"/>
      <c r="B207" s="17"/>
      <c r="C207" s="7" t="s">
        <v>85</v>
      </c>
      <c r="D207" s="74"/>
      <c r="F207" s="52">
        <v>569</v>
      </c>
      <c r="G207" s="67"/>
      <c r="H207" s="52">
        <v>1405</v>
      </c>
      <c r="I207" s="67"/>
      <c r="J207" s="52">
        <v>2977</v>
      </c>
      <c r="K207" s="52"/>
      <c r="L207" s="15">
        <v>3217</v>
      </c>
      <c r="M207" s="53"/>
      <c r="N207" s="53">
        <v>3895</v>
      </c>
      <c r="O207" s="53"/>
      <c r="P207" s="53">
        <v>3850</v>
      </c>
      <c r="Q207" s="53"/>
      <c r="R207" s="53">
        <v>3679</v>
      </c>
      <c r="S207" s="53"/>
      <c r="T207" s="53">
        <v>3099</v>
      </c>
      <c r="U207" s="53"/>
      <c r="V207" s="53">
        <v>4206</v>
      </c>
      <c r="W207" s="53"/>
    </row>
    <row r="208" spans="1:23" s="2" customFormat="1" ht="12.75">
      <c r="A208" s="73"/>
      <c r="B208" s="17" t="s">
        <v>121</v>
      </c>
      <c r="C208" s="17"/>
      <c r="D208" s="74"/>
      <c r="F208" s="87">
        <f>SUM(F209:F212)</f>
        <v>6067</v>
      </c>
      <c r="G208" s="87">
        <f aca="true" t="shared" si="32" ref="G208:W208">SUM(G209:G212)</f>
        <v>6</v>
      </c>
      <c r="H208" s="87">
        <f t="shared" si="32"/>
        <v>7646</v>
      </c>
      <c r="I208" s="87">
        <f t="shared" si="32"/>
        <v>6</v>
      </c>
      <c r="J208" s="87">
        <f t="shared" si="32"/>
        <v>7136</v>
      </c>
      <c r="K208" s="87">
        <f t="shared" si="32"/>
        <v>6</v>
      </c>
      <c r="L208" s="87">
        <f t="shared" si="32"/>
        <v>6769</v>
      </c>
      <c r="M208" s="87">
        <f t="shared" si="32"/>
        <v>6</v>
      </c>
      <c r="N208" s="87">
        <f t="shared" si="32"/>
        <v>6664</v>
      </c>
      <c r="O208" s="87">
        <f t="shared" si="32"/>
        <v>6</v>
      </c>
      <c r="P208" s="87">
        <f t="shared" si="32"/>
        <v>11607</v>
      </c>
      <c r="Q208" s="87">
        <f t="shared" si="32"/>
        <v>10950</v>
      </c>
      <c r="R208" s="87">
        <f t="shared" si="32"/>
        <v>10074</v>
      </c>
      <c r="S208" s="87">
        <f t="shared" si="32"/>
        <v>9380</v>
      </c>
      <c r="T208" s="87">
        <f t="shared" si="32"/>
        <v>13108</v>
      </c>
      <c r="U208" s="87">
        <f t="shared" si="32"/>
        <v>12339</v>
      </c>
      <c r="V208" s="87">
        <f t="shared" si="32"/>
        <v>15856</v>
      </c>
      <c r="W208" s="87">
        <f t="shared" si="32"/>
        <v>14782</v>
      </c>
    </row>
    <row r="209" spans="1:23" s="2" customFormat="1" ht="12.75">
      <c r="A209" s="73"/>
      <c r="B209" s="17"/>
      <c r="C209" s="51" t="s">
        <v>135</v>
      </c>
      <c r="D209" s="74"/>
      <c r="F209" s="52"/>
      <c r="G209" s="67"/>
      <c r="H209" s="52"/>
      <c r="I209" s="67"/>
      <c r="J209" s="52"/>
      <c r="K209" s="52"/>
      <c r="L209" s="15"/>
      <c r="M209" s="53"/>
      <c r="N209" s="53"/>
      <c r="O209" s="53"/>
      <c r="P209" s="53">
        <v>4764</v>
      </c>
      <c r="Q209" s="53">
        <v>4764</v>
      </c>
      <c r="R209" s="53">
        <v>3024</v>
      </c>
      <c r="S209" s="53">
        <v>3024</v>
      </c>
      <c r="T209" s="53">
        <v>5322</v>
      </c>
      <c r="U209" s="53">
        <v>5322</v>
      </c>
      <c r="V209" s="53">
        <v>4892</v>
      </c>
      <c r="W209" s="53">
        <v>4892</v>
      </c>
    </row>
    <row r="210" spans="1:23" s="2" customFormat="1" ht="12.75">
      <c r="A210" s="73"/>
      <c r="B210" s="78"/>
      <c r="C210" s="51" t="s">
        <v>99</v>
      </c>
      <c r="D210" s="74"/>
      <c r="F210" s="52">
        <v>413</v>
      </c>
      <c r="G210" s="71"/>
      <c r="H210" s="52">
        <v>609</v>
      </c>
      <c r="I210" s="71"/>
      <c r="J210" s="52">
        <v>664</v>
      </c>
      <c r="K210" s="71"/>
      <c r="L210" s="33">
        <v>629</v>
      </c>
      <c r="M210" s="72"/>
      <c r="N210" s="52">
        <v>647</v>
      </c>
      <c r="O210" s="72"/>
      <c r="P210" s="52">
        <v>652</v>
      </c>
      <c r="Q210" s="72"/>
      <c r="R210" s="52">
        <v>689</v>
      </c>
      <c r="S210" s="72"/>
      <c r="T210" s="52">
        <v>764</v>
      </c>
      <c r="U210" s="72"/>
      <c r="V210" s="52">
        <v>1069</v>
      </c>
      <c r="W210" s="72"/>
    </row>
    <row r="211" spans="1:23" s="2" customFormat="1" ht="12.75">
      <c r="A211" s="73"/>
      <c r="B211" s="78"/>
      <c r="C211" s="51" t="s">
        <v>65</v>
      </c>
      <c r="D211" s="74"/>
      <c r="F211" s="52">
        <f>5648+6</f>
        <v>5654</v>
      </c>
      <c r="G211" s="71">
        <v>6</v>
      </c>
      <c r="H211" s="52">
        <f>7031+6</f>
        <v>7037</v>
      </c>
      <c r="I211" s="71">
        <v>6</v>
      </c>
      <c r="J211" s="52">
        <f>6466+6</f>
        <v>6472</v>
      </c>
      <c r="K211" s="71">
        <v>6</v>
      </c>
      <c r="L211" s="33">
        <f>6134+6</f>
        <v>6140</v>
      </c>
      <c r="M211" s="72">
        <v>6</v>
      </c>
      <c r="N211" s="52">
        <f>6011+6</f>
        <v>6017</v>
      </c>
      <c r="O211" s="72">
        <v>6</v>
      </c>
      <c r="P211" s="52">
        <f>5+6</f>
        <v>11</v>
      </c>
      <c r="Q211" s="72">
        <v>6</v>
      </c>
      <c r="R211" s="52">
        <f>5+6</f>
        <v>11</v>
      </c>
      <c r="S211" s="72">
        <v>6</v>
      </c>
      <c r="T211" s="52">
        <f>5+6</f>
        <v>11</v>
      </c>
      <c r="U211" s="72">
        <v>6</v>
      </c>
      <c r="V211" s="52">
        <f>5+5</f>
        <v>10</v>
      </c>
      <c r="W211" s="72">
        <v>5</v>
      </c>
    </row>
    <row r="212" spans="1:23" s="2" customFormat="1" ht="12.75">
      <c r="A212" s="73"/>
      <c r="B212" s="78"/>
      <c r="C212" s="51" t="s">
        <v>140</v>
      </c>
      <c r="D212" s="74"/>
      <c r="F212" s="52"/>
      <c r="G212" s="71"/>
      <c r="H212" s="52"/>
      <c r="I212" s="71"/>
      <c r="J212" s="52"/>
      <c r="K212" s="71"/>
      <c r="L212" s="33"/>
      <c r="M212" s="72"/>
      <c r="N212" s="52"/>
      <c r="O212" s="72"/>
      <c r="P212" s="52">
        <v>6180</v>
      </c>
      <c r="Q212" s="109">
        <v>6180</v>
      </c>
      <c r="R212" s="52">
        <v>6350</v>
      </c>
      <c r="S212" s="109">
        <v>6350</v>
      </c>
      <c r="T212" s="52">
        <v>7011</v>
      </c>
      <c r="U212" s="109">
        <v>7011</v>
      </c>
      <c r="V212" s="52">
        <v>9885</v>
      </c>
      <c r="W212" s="109">
        <v>9885</v>
      </c>
    </row>
    <row r="213" spans="1:23" s="2" customFormat="1" ht="12.75">
      <c r="A213" s="73"/>
      <c r="B213" s="17" t="s">
        <v>122</v>
      </c>
      <c r="C213" s="17"/>
      <c r="D213" s="74"/>
      <c r="F213" s="87">
        <f aca="true" t="shared" si="33" ref="F213:W213">SUM(F214:F219)</f>
        <v>0</v>
      </c>
      <c r="G213" s="87">
        <f t="shared" si="33"/>
        <v>0</v>
      </c>
      <c r="H213" s="87">
        <f t="shared" si="33"/>
        <v>0</v>
      </c>
      <c r="I213" s="87">
        <f t="shared" si="33"/>
        <v>0</v>
      </c>
      <c r="J213" s="87">
        <f t="shared" si="33"/>
        <v>0</v>
      </c>
      <c r="K213" s="87">
        <f t="shared" si="33"/>
        <v>0</v>
      </c>
      <c r="L213" s="87">
        <f t="shared" si="33"/>
        <v>0</v>
      </c>
      <c r="M213" s="87">
        <f t="shared" si="33"/>
        <v>0</v>
      </c>
      <c r="N213" s="87">
        <f t="shared" si="33"/>
        <v>0</v>
      </c>
      <c r="O213" s="87">
        <f t="shared" si="33"/>
        <v>0</v>
      </c>
      <c r="P213" s="87">
        <f t="shared" si="33"/>
        <v>151</v>
      </c>
      <c r="Q213" s="87">
        <f t="shared" si="33"/>
        <v>151</v>
      </c>
      <c r="R213" s="87">
        <f t="shared" si="33"/>
        <v>478</v>
      </c>
      <c r="S213" s="87">
        <f t="shared" si="33"/>
        <v>464</v>
      </c>
      <c r="T213" s="87">
        <f t="shared" si="33"/>
        <v>346</v>
      </c>
      <c r="U213" s="87">
        <f t="shared" si="33"/>
        <v>307</v>
      </c>
      <c r="V213" s="87">
        <f t="shared" si="33"/>
        <v>644</v>
      </c>
      <c r="W213" s="87">
        <f t="shared" si="33"/>
        <v>625</v>
      </c>
    </row>
    <row r="214" spans="1:23" s="2" customFormat="1" ht="12.75">
      <c r="A214" s="73"/>
      <c r="B214" s="17"/>
      <c r="C214" s="51" t="s">
        <v>135</v>
      </c>
      <c r="D214" s="74"/>
      <c r="F214" s="52"/>
      <c r="G214" s="67"/>
      <c r="H214" s="52"/>
      <c r="I214" s="67"/>
      <c r="J214" s="52"/>
      <c r="K214" s="52"/>
      <c r="L214" s="15"/>
      <c r="M214" s="53"/>
      <c r="N214" s="53"/>
      <c r="O214" s="53"/>
      <c r="P214" s="53"/>
      <c r="Q214" s="53"/>
      <c r="R214" s="53">
        <v>259</v>
      </c>
      <c r="S214" s="53">
        <v>259</v>
      </c>
      <c r="T214" s="53"/>
      <c r="U214" s="53"/>
      <c r="V214" s="53">
        <v>6</v>
      </c>
      <c r="W214" s="53">
        <v>6</v>
      </c>
    </row>
    <row r="215" spans="1:23" s="2" customFormat="1" ht="12.75">
      <c r="A215" s="73"/>
      <c r="B215" s="17"/>
      <c r="C215" s="50" t="s">
        <v>24</v>
      </c>
      <c r="D215" s="74"/>
      <c r="F215" s="52"/>
      <c r="G215" s="67"/>
      <c r="H215" s="52"/>
      <c r="I215" s="67"/>
      <c r="J215" s="52"/>
      <c r="K215" s="52"/>
      <c r="L215" s="15"/>
      <c r="M215" s="53"/>
      <c r="N215" s="53"/>
      <c r="O215" s="53"/>
      <c r="P215" s="53">
        <v>16</v>
      </c>
      <c r="Q215" s="53">
        <v>16</v>
      </c>
      <c r="R215" s="53">
        <v>32</v>
      </c>
      <c r="S215" s="53">
        <v>32</v>
      </c>
      <c r="T215" s="53">
        <v>12</v>
      </c>
      <c r="U215" s="53">
        <v>12</v>
      </c>
      <c r="V215" s="53">
        <v>19</v>
      </c>
      <c r="W215" s="53">
        <v>19</v>
      </c>
    </row>
    <row r="216" spans="1:23" s="2" customFormat="1" ht="12.75">
      <c r="A216" s="73"/>
      <c r="B216" s="17"/>
      <c r="C216" s="51" t="s">
        <v>80</v>
      </c>
      <c r="D216" s="74"/>
      <c r="F216" s="52"/>
      <c r="G216" s="67"/>
      <c r="H216" s="52"/>
      <c r="I216" s="67"/>
      <c r="J216" s="52"/>
      <c r="K216" s="52"/>
      <c r="L216" s="15"/>
      <c r="M216" s="53"/>
      <c r="N216" s="53"/>
      <c r="O216" s="53"/>
      <c r="P216" s="53"/>
      <c r="Q216" s="53"/>
      <c r="R216" s="53">
        <v>14</v>
      </c>
      <c r="S216" s="53"/>
      <c r="T216" s="53"/>
      <c r="U216" s="53"/>
      <c r="V216" s="53"/>
      <c r="W216" s="53"/>
    </row>
    <row r="217" spans="1:23" s="2" customFormat="1" ht="12.75">
      <c r="A217" s="73"/>
      <c r="B217" s="17"/>
      <c r="C217" s="51" t="s">
        <v>25</v>
      </c>
      <c r="D217" s="74"/>
      <c r="F217" s="52"/>
      <c r="G217" s="67"/>
      <c r="H217" s="52"/>
      <c r="I217" s="67"/>
      <c r="J217" s="52"/>
      <c r="K217" s="52"/>
      <c r="L217" s="15"/>
      <c r="M217" s="53"/>
      <c r="N217" s="53"/>
      <c r="O217" s="53"/>
      <c r="P217" s="53"/>
      <c r="Q217" s="53"/>
      <c r="R217" s="53">
        <v>79</v>
      </c>
      <c r="S217" s="53">
        <v>79</v>
      </c>
      <c r="T217" s="53">
        <v>204</v>
      </c>
      <c r="U217" s="53">
        <v>204</v>
      </c>
      <c r="V217" s="53">
        <v>300</v>
      </c>
      <c r="W217" s="53">
        <v>300</v>
      </c>
    </row>
    <row r="218" spans="1:23" s="2" customFormat="1" ht="12.75">
      <c r="A218" s="73"/>
      <c r="B218" s="17"/>
      <c r="C218" s="7" t="s">
        <v>75</v>
      </c>
      <c r="D218" s="74"/>
      <c r="F218" s="52"/>
      <c r="G218" s="67"/>
      <c r="H218" s="52"/>
      <c r="I218" s="67"/>
      <c r="J218" s="52"/>
      <c r="K218" s="52"/>
      <c r="L218" s="15"/>
      <c r="M218" s="53"/>
      <c r="N218" s="53"/>
      <c r="O218" s="53"/>
      <c r="P218" s="53">
        <v>135</v>
      </c>
      <c r="Q218" s="53">
        <v>135</v>
      </c>
      <c r="R218" s="53">
        <v>68</v>
      </c>
      <c r="S218" s="53">
        <v>68</v>
      </c>
      <c r="T218" s="53">
        <f>39+91</f>
        <v>130</v>
      </c>
      <c r="U218" s="53">
        <v>91</v>
      </c>
      <c r="V218" s="53">
        <f>19+300</f>
        <v>319</v>
      </c>
      <c r="W218" s="53">
        <v>300</v>
      </c>
    </row>
    <row r="219" spans="1:24" s="2" customFormat="1" ht="12.75">
      <c r="A219" s="81"/>
      <c r="B219" s="165"/>
      <c r="C219" s="82" t="s">
        <v>137</v>
      </c>
      <c r="D219" s="83"/>
      <c r="E219" s="85"/>
      <c r="F219" s="95"/>
      <c r="G219" s="171"/>
      <c r="H219" s="95"/>
      <c r="I219" s="171"/>
      <c r="J219" s="95"/>
      <c r="K219" s="95"/>
      <c r="L219" s="172"/>
      <c r="M219" s="54"/>
      <c r="N219" s="54"/>
      <c r="O219" s="54"/>
      <c r="P219" s="54"/>
      <c r="Q219" s="54"/>
      <c r="R219" s="54">
        <v>26</v>
      </c>
      <c r="S219" s="54">
        <v>26</v>
      </c>
      <c r="T219" s="54"/>
      <c r="U219" s="54"/>
      <c r="V219" s="54"/>
      <c r="W219" s="54"/>
      <c r="X219" s="161"/>
    </row>
    <row r="220" spans="1:23" s="127" customFormat="1" ht="12.75">
      <c r="A220" s="130" t="s">
        <v>18</v>
      </c>
      <c r="B220" s="125"/>
      <c r="C220" s="125"/>
      <c r="D220" s="126"/>
      <c r="F220" s="129">
        <f>+F221+F225+F230</f>
        <v>800</v>
      </c>
      <c r="G220" s="129">
        <f aca="true" t="shared" si="34" ref="G220:U220">+G221+G225+G230</f>
        <v>0</v>
      </c>
      <c r="H220" s="129">
        <f t="shared" si="34"/>
        <v>855</v>
      </c>
      <c r="I220" s="129">
        <f t="shared" si="34"/>
        <v>44</v>
      </c>
      <c r="J220" s="129">
        <f t="shared" si="34"/>
        <v>845</v>
      </c>
      <c r="K220" s="129">
        <f t="shared" si="34"/>
        <v>49</v>
      </c>
      <c r="L220" s="129">
        <f t="shared" si="34"/>
        <v>729</v>
      </c>
      <c r="M220" s="129">
        <f t="shared" si="34"/>
        <v>81</v>
      </c>
      <c r="N220" s="129">
        <f t="shared" si="34"/>
        <v>803</v>
      </c>
      <c r="O220" s="129">
        <f t="shared" si="34"/>
        <v>220</v>
      </c>
      <c r="P220" s="129">
        <f t="shared" si="34"/>
        <v>565</v>
      </c>
      <c r="Q220" s="129">
        <f t="shared" si="34"/>
        <v>21</v>
      </c>
      <c r="R220" s="129">
        <f t="shared" si="34"/>
        <v>570</v>
      </c>
      <c r="S220" s="129">
        <f t="shared" si="34"/>
        <v>21</v>
      </c>
      <c r="T220" s="129">
        <f t="shared" si="34"/>
        <v>639</v>
      </c>
      <c r="U220" s="129">
        <f t="shared" si="34"/>
        <v>23</v>
      </c>
      <c r="V220" s="129">
        <f>+V221+V225+V230</f>
        <v>599</v>
      </c>
      <c r="W220" s="129">
        <f>+W221+W225+W230</f>
        <v>53</v>
      </c>
    </row>
    <row r="221" spans="1:23" s="2" customFormat="1" ht="12.75">
      <c r="A221" s="73"/>
      <c r="B221" s="78" t="s">
        <v>123</v>
      </c>
      <c r="C221" s="78"/>
      <c r="D221" s="74"/>
      <c r="F221" s="135">
        <f aca="true" t="shared" si="35" ref="F221:O221">SUM(F222:F223)</f>
        <v>0</v>
      </c>
      <c r="G221" s="135">
        <f t="shared" si="35"/>
        <v>0</v>
      </c>
      <c r="H221" s="135">
        <f t="shared" si="35"/>
        <v>44</v>
      </c>
      <c r="I221" s="135">
        <f t="shared" si="35"/>
        <v>44</v>
      </c>
      <c r="J221" s="135">
        <f t="shared" si="35"/>
        <v>49</v>
      </c>
      <c r="K221" s="135">
        <f t="shared" si="35"/>
        <v>49</v>
      </c>
      <c r="L221" s="135">
        <f t="shared" si="35"/>
        <v>81</v>
      </c>
      <c r="M221" s="135">
        <f t="shared" si="35"/>
        <v>81</v>
      </c>
      <c r="N221" s="135">
        <f t="shared" si="35"/>
        <v>202</v>
      </c>
      <c r="O221" s="135">
        <f t="shared" si="35"/>
        <v>202</v>
      </c>
      <c r="P221" s="135">
        <f aca="true" t="shared" si="36" ref="P221:V221">SUM(P222:P224)</f>
        <v>21</v>
      </c>
      <c r="Q221" s="135">
        <f t="shared" si="36"/>
        <v>21</v>
      </c>
      <c r="R221" s="135">
        <f t="shared" si="36"/>
        <v>20</v>
      </c>
      <c r="S221" s="135">
        <f t="shared" si="36"/>
        <v>20</v>
      </c>
      <c r="T221" s="135">
        <f t="shared" si="36"/>
        <v>23</v>
      </c>
      <c r="U221" s="135">
        <f t="shared" si="36"/>
        <v>23</v>
      </c>
      <c r="V221" s="135">
        <f t="shared" si="36"/>
        <v>53</v>
      </c>
      <c r="W221" s="135">
        <f>SUM(W222:W224)</f>
        <v>53</v>
      </c>
    </row>
    <row r="222" spans="1:23" s="2" customFormat="1" ht="12.75">
      <c r="A222" s="12"/>
      <c r="B222" s="7"/>
      <c r="C222" s="50" t="s">
        <v>24</v>
      </c>
      <c r="D222" s="25"/>
      <c r="E222"/>
      <c r="F222" s="39"/>
      <c r="G222" s="63"/>
      <c r="H222" s="35">
        <v>44</v>
      </c>
      <c r="I222" s="61">
        <v>44</v>
      </c>
      <c r="J222" s="35">
        <v>25</v>
      </c>
      <c r="K222" s="61">
        <v>25</v>
      </c>
      <c r="L222" s="33">
        <v>81</v>
      </c>
      <c r="M222" s="29">
        <v>81</v>
      </c>
      <c r="N222" s="35">
        <v>195</v>
      </c>
      <c r="O222" s="117">
        <v>195</v>
      </c>
      <c r="P222" s="35">
        <v>20</v>
      </c>
      <c r="Q222" s="117">
        <v>20</v>
      </c>
      <c r="R222" s="35">
        <v>20</v>
      </c>
      <c r="S222" s="117">
        <v>20</v>
      </c>
      <c r="T222" s="35">
        <v>20</v>
      </c>
      <c r="U222" s="117">
        <v>20</v>
      </c>
      <c r="V222" s="35"/>
      <c r="W222" s="117"/>
    </row>
    <row r="223" spans="1:23" s="2" customFormat="1" ht="12.75">
      <c r="A223" s="12"/>
      <c r="B223" s="7"/>
      <c r="C223" s="51" t="s">
        <v>74</v>
      </c>
      <c r="D223" s="25"/>
      <c r="E223"/>
      <c r="F223" s="39"/>
      <c r="G223" s="63"/>
      <c r="H223" s="35"/>
      <c r="I223" s="61"/>
      <c r="J223" s="35">
        <v>24</v>
      </c>
      <c r="K223" s="61">
        <v>24</v>
      </c>
      <c r="L223" s="33"/>
      <c r="M223" s="29"/>
      <c r="N223" s="35">
        <v>7</v>
      </c>
      <c r="O223" s="33">
        <v>7</v>
      </c>
      <c r="P223" s="35">
        <v>1</v>
      </c>
      <c r="Q223" s="33">
        <v>1</v>
      </c>
      <c r="R223" s="35"/>
      <c r="S223" s="33"/>
      <c r="T223" s="35">
        <v>3</v>
      </c>
      <c r="U223" s="33">
        <v>3</v>
      </c>
      <c r="V223" s="35">
        <v>1</v>
      </c>
      <c r="W223" s="33">
        <v>1</v>
      </c>
    </row>
    <row r="224" spans="1:23" s="2" customFormat="1" ht="12.75">
      <c r="A224" s="12"/>
      <c r="B224" s="7"/>
      <c r="C224" s="51" t="s">
        <v>80</v>
      </c>
      <c r="D224" s="25"/>
      <c r="E224"/>
      <c r="F224" s="39"/>
      <c r="G224" s="63"/>
      <c r="H224" s="35"/>
      <c r="I224" s="61"/>
      <c r="J224" s="35"/>
      <c r="K224" s="61"/>
      <c r="L224" s="33"/>
      <c r="M224" s="29"/>
      <c r="N224" s="35"/>
      <c r="O224" s="33"/>
      <c r="P224" s="35"/>
      <c r="Q224" s="33"/>
      <c r="R224" s="35"/>
      <c r="S224" s="33"/>
      <c r="T224" s="35"/>
      <c r="U224" s="33"/>
      <c r="V224" s="35">
        <v>52</v>
      </c>
      <c r="W224" s="33">
        <v>52</v>
      </c>
    </row>
    <row r="225" spans="1:23" s="2" customFormat="1" ht="12.75">
      <c r="A225" s="73"/>
      <c r="B225" s="78" t="s">
        <v>124</v>
      </c>
      <c r="C225" s="78"/>
      <c r="D225" s="74"/>
      <c r="F225" s="135">
        <f>SUM(F226:F229)</f>
        <v>800</v>
      </c>
      <c r="G225" s="135">
        <f aca="true" t="shared" si="37" ref="G225:U225">SUM(G226:G229)</f>
        <v>0</v>
      </c>
      <c r="H225" s="135">
        <f t="shared" si="37"/>
        <v>811</v>
      </c>
      <c r="I225" s="135">
        <f t="shared" si="37"/>
        <v>0</v>
      </c>
      <c r="J225" s="135">
        <f t="shared" si="37"/>
        <v>796</v>
      </c>
      <c r="K225" s="135">
        <f t="shared" si="37"/>
        <v>0</v>
      </c>
      <c r="L225" s="135">
        <f t="shared" si="37"/>
        <v>648</v>
      </c>
      <c r="M225" s="135">
        <f t="shared" si="37"/>
        <v>0</v>
      </c>
      <c r="N225" s="135">
        <f t="shared" si="37"/>
        <v>583</v>
      </c>
      <c r="O225" s="135">
        <f t="shared" si="37"/>
        <v>0</v>
      </c>
      <c r="P225" s="135">
        <f t="shared" si="37"/>
        <v>544</v>
      </c>
      <c r="Q225" s="135">
        <f t="shared" si="37"/>
        <v>0</v>
      </c>
      <c r="R225" s="135">
        <f t="shared" si="37"/>
        <v>549</v>
      </c>
      <c r="S225" s="135">
        <f t="shared" si="37"/>
        <v>0</v>
      </c>
      <c r="T225" s="135">
        <f t="shared" si="37"/>
        <v>572</v>
      </c>
      <c r="U225" s="135">
        <f t="shared" si="37"/>
        <v>0</v>
      </c>
      <c r="V225" s="135">
        <f>SUM(V226:V229)</f>
        <v>504</v>
      </c>
      <c r="W225" s="135">
        <f>SUM(W226:W229)</f>
        <v>0</v>
      </c>
    </row>
    <row r="226" spans="1:23" s="2" customFormat="1" ht="12.75">
      <c r="A226" s="12"/>
      <c r="B226" s="7"/>
      <c r="C226" s="51" t="s">
        <v>43</v>
      </c>
      <c r="D226" s="25"/>
      <c r="E226"/>
      <c r="F226" s="53">
        <v>63</v>
      </c>
      <c r="G226" s="65"/>
      <c r="H226" s="53">
        <v>77</v>
      </c>
      <c r="I226" s="65"/>
      <c r="J226" s="52">
        <v>207</v>
      </c>
      <c r="K226" s="71"/>
      <c r="L226" s="33">
        <v>176</v>
      </c>
      <c r="M226" s="72"/>
      <c r="N226" s="53">
        <v>148</v>
      </c>
      <c r="O226" s="72"/>
      <c r="P226" s="53">
        <v>120</v>
      </c>
      <c r="Q226" s="72"/>
      <c r="R226" s="53">
        <v>91</v>
      </c>
      <c r="S226" s="72"/>
      <c r="T226" s="53">
        <v>83</v>
      </c>
      <c r="U226" s="72"/>
      <c r="V226" s="53">
        <v>58</v>
      </c>
      <c r="W226" s="72"/>
    </row>
    <row r="227" spans="1:23" s="2" customFormat="1" ht="12.75">
      <c r="A227" s="12"/>
      <c r="B227" s="7"/>
      <c r="C227" s="7" t="s">
        <v>86</v>
      </c>
      <c r="D227" s="25"/>
      <c r="E227"/>
      <c r="F227" s="35">
        <f>17+720</f>
        <v>737</v>
      </c>
      <c r="G227" s="63"/>
      <c r="H227" s="35">
        <f>15+629</f>
        <v>644</v>
      </c>
      <c r="I227" s="61"/>
      <c r="J227" s="35">
        <f>8+521</f>
        <v>529</v>
      </c>
      <c r="K227" s="61"/>
      <c r="L227" s="33">
        <f>12+443</f>
        <v>455</v>
      </c>
      <c r="M227" s="29"/>
      <c r="N227" s="35">
        <v>435</v>
      </c>
      <c r="O227" s="33"/>
      <c r="P227" s="35">
        <v>424</v>
      </c>
      <c r="Q227" s="33"/>
      <c r="R227" s="35">
        <v>454</v>
      </c>
      <c r="S227" s="33"/>
      <c r="T227" s="35">
        <v>489</v>
      </c>
      <c r="U227" s="33"/>
      <c r="V227" s="35">
        <v>446</v>
      </c>
      <c r="W227" s="33"/>
    </row>
    <row r="228" spans="1:23" s="2" customFormat="1" ht="12.75">
      <c r="A228" s="12"/>
      <c r="B228" s="7"/>
      <c r="C228" s="13" t="s">
        <v>25</v>
      </c>
      <c r="D228" s="25"/>
      <c r="E228"/>
      <c r="F228" s="35"/>
      <c r="G228" s="63"/>
      <c r="H228" s="33">
        <v>90</v>
      </c>
      <c r="I228" s="26"/>
      <c r="J228" s="35">
        <v>60</v>
      </c>
      <c r="K228" s="61"/>
      <c r="L228" s="33">
        <v>17</v>
      </c>
      <c r="M228" s="29"/>
      <c r="N228" s="35"/>
      <c r="O228" s="29"/>
      <c r="P228" s="35"/>
      <c r="Q228" s="29"/>
      <c r="R228" s="35"/>
      <c r="S228" s="29"/>
      <c r="T228" s="35"/>
      <c r="U228" s="29"/>
      <c r="V228" s="35"/>
      <c r="W228" s="29"/>
    </row>
    <row r="229" spans="1:23" s="2" customFormat="1" ht="12.75">
      <c r="A229" s="24"/>
      <c r="B229" s="133"/>
      <c r="C229" s="133" t="s">
        <v>75</v>
      </c>
      <c r="D229" s="134"/>
      <c r="E229" s="31"/>
      <c r="F229" s="143"/>
      <c r="G229" s="144"/>
      <c r="H229" s="36"/>
      <c r="I229" s="62"/>
      <c r="J229" s="36"/>
      <c r="K229" s="62"/>
      <c r="L229" s="34"/>
      <c r="M229" s="30"/>
      <c r="N229" s="36"/>
      <c r="O229" s="34"/>
      <c r="P229" s="36"/>
      <c r="Q229" s="34"/>
      <c r="R229" s="36">
        <v>4</v>
      </c>
      <c r="S229" s="34"/>
      <c r="T229" s="36"/>
      <c r="U229" s="34"/>
      <c r="V229" s="36"/>
      <c r="W229" s="34"/>
    </row>
    <row r="230" spans="1:23" s="2" customFormat="1" ht="12.75">
      <c r="A230" s="12"/>
      <c r="B230" s="17" t="s">
        <v>125</v>
      </c>
      <c r="C230" s="17"/>
      <c r="D230" s="25"/>
      <c r="E230"/>
      <c r="F230" s="131">
        <f aca="true" t="shared" si="38" ref="F230:U230">SUM(F231:F233)</f>
        <v>0</v>
      </c>
      <c r="G230" s="131">
        <f t="shared" si="38"/>
        <v>0</v>
      </c>
      <c r="H230" s="131">
        <f t="shared" si="38"/>
        <v>0</v>
      </c>
      <c r="I230" s="131">
        <f t="shared" si="38"/>
        <v>0</v>
      </c>
      <c r="J230" s="131">
        <f t="shared" si="38"/>
        <v>0</v>
      </c>
      <c r="K230" s="131">
        <f t="shared" si="38"/>
        <v>0</v>
      </c>
      <c r="L230" s="131">
        <f t="shared" si="38"/>
        <v>0</v>
      </c>
      <c r="M230" s="131">
        <f t="shared" si="38"/>
        <v>0</v>
      </c>
      <c r="N230" s="131">
        <f t="shared" si="38"/>
        <v>18</v>
      </c>
      <c r="O230" s="131">
        <f t="shared" si="38"/>
        <v>18</v>
      </c>
      <c r="P230" s="131">
        <f t="shared" si="38"/>
        <v>0</v>
      </c>
      <c r="Q230" s="131">
        <f t="shared" si="38"/>
        <v>0</v>
      </c>
      <c r="R230" s="131">
        <f t="shared" si="38"/>
        <v>1</v>
      </c>
      <c r="S230" s="131">
        <f t="shared" si="38"/>
        <v>1</v>
      </c>
      <c r="T230" s="131">
        <f t="shared" si="38"/>
        <v>44</v>
      </c>
      <c r="U230" s="131">
        <f t="shared" si="38"/>
        <v>0</v>
      </c>
      <c r="V230" s="131">
        <f>SUM(V231:V233)</f>
        <v>42</v>
      </c>
      <c r="W230" s="131">
        <f>SUM(W231:W233)</f>
        <v>0</v>
      </c>
    </row>
    <row r="231" spans="1:23" s="2" customFormat="1" ht="12.75">
      <c r="A231" s="12"/>
      <c r="B231" s="17"/>
      <c r="C231" s="51" t="s">
        <v>77</v>
      </c>
      <c r="D231" s="25"/>
      <c r="E231"/>
      <c r="F231" s="131"/>
      <c r="G231" s="132"/>
      <c r="H231" s="35"/>
      <c r="I231" s="61"/>
      <c r="J231" s="35"/>
      <c r="K231" s="61"/>
      <c r="L231" s="131"/>
      <c r="M231" s="119"/>
      <c r="N231" s="35">
        <v>18</v>
      </c>
      <c r="O231" s="29">
        <v>18</v>
      </c>
      <c r="P231" s="35"/>
      <c r="Q231" s="29"/>
      <c r="R231" s="35"/>
      <c r="S231" s="29"/>
      <c r="T231" s="35"/>
      <c r="U231" s="29"/>
      <c r="V231" s="35"/>
      <c r="W231" s="29"/>
    </row>
    <row r="232" spans="1:23" s="2" customFormat="1" ht="12.75">
      <c r="A232" s="12"/>
      <c r="B232" s="17"/>
      <c r="C232" s="51" t="s">
        <v>28</v>
      </c>
      <c r="D232" s="25"/>
      <c r="E232"/>
      <c r="F232" s="131"/>
      <c r="G232" s="132"/>
      <c r="H232" s="35"/>
      <c r="I232" s="61"/>
      <c r="J232" s="35"/>
      <c r="K232" s="61"/>
      <c r="L232" s="131"/>
      <c r="M232" s="119"/>
      <c r="N232" s="35"/>
      <c r="O232" s="29"/>
      <c r="P232" s="35"/>
      <c r="Q232" s="29"/>
      <c r="R232" s="35"/>
      <c r="S232" s="29"/>
      <c r="T232" s="35">
        <v>44</v>
      </c>
      <c r="U232" s="29"/>
      <c r="V232" s="35">
        <v>41</v>
      </c>
      <c r="W232" s="29"/>
    </row>
    <row r="233" spans="1:24" s="2" customFormat="1" ht="12.75">
      <c r="A233" s="24"/>
      <c r="B233" s="165"/>
      <c r="C233" s="23" t="s">
        <v>73</v>
      </c>
      <c r="D233" s="134"/>
      <c r="E233" s="31"/>
      <c r="F233" s="166"/>
      <c r="G233" s="167"/>
      <c r="H233" s="36"/>
      <c r="I233" s="62"/>
      <c r="J233" s="36"/>
      <c r="K233" s="62"/>
      <c r="L233" s="166"/>
      <c r="M233" s="168"/>
      <c r="N233" s="36"/>
      <c r="O233" s="30"/>
      <c r="P233" s="36"/>
      <c r="Q233" s="30"/>
      <c r="R233" s="36">
        <v>1</v>
      </c>
      <c r="S233" s="30">
        <v>1</v>
      </c>
      <c r="T233" s="36"/>
      <c r="U233" s="30"/>
      <c r="V233" s="36">
        <v>1</v>
      </c>
      <c r="W233" s="30"/>
      <c r="X233" s="85"/>
    </row>
    <row r="234" spans="1:23" s="2" customFormat="1" ht="12.75">
      <c r="A234" s="120" t="s">
        <v>108</v>
      </c>
      <c r="B234" s="142"/>
      <c r="C234" s="142"/>
      <c r="D234" s="122"/>
      <c r="E234" s="45"/>
      <c r="F234" s="49">
        <f aca="true" t="shared" si="39" ref="F234:U234">SUM(F235:F244)</f>
        <v>14962</v>
      </c>
      <c r="G234" s="49">
        <f t="shared" si="39"/>
        <v>48</v>
      </c>
      <c r="H234" s="49">
        <f t="shared" si="39"/>
        <v>12456</v>
      </c>
      <c r="I234" s="49">
        <f t="shared" si="39"/>
        <v>40</v>
      </c>
      <c r="J234" s="49">
        <f t="shared" si="39"/>
        <v>13309</v>
      </c>
      <c r="K234" s="49">
        <f t="shared" si="39"/>
        <v>22</v>
      </c>
      <c r="L234" s="49">
        <f t="shared" si="39"/>
        <v>14531</v>
      </c>
      <c r="M234" s="49">
        <f t="shared" si="39"/>
        <v>5</v>
      </c>
      <c r="N234" s="49">
        <f t="shared" si="39"/>
        <v>13736</v>
      </c>
      <c r="O234" s="49">
        <f t="shared" si="39"/>
        <v>0</v>
      </c>
      <c r="P234" s="49">
        <f t="shared" si="39"/>
        <v>15608</v>
      </c>
      <c r="Q234" s="49">
        <f t="shared" si="39"/>
        <v>0</v>
      </c>
      <c r="R234" s="49">
        <f t="shared" si="39"/>
        <v>18407</v>
      </c>
      <c r="S234" s="49">
        <f t="shared" si="39"/>
        <v>5</v>
      </c>
      <c r="T234" s="49">
        <f t="shared" si="39"/>
        <v>25805</v>
      </c>
      <c r="U234" s="49">
        <f t="shared" si="39"/>
        <v>1</v>
      </c>
      <c r="V234" s="49">
        <f>SUM(V235:V244)</f>
        <v>30485</v>
      </c>
      <c r="W234" s="49">
        <f>SUM(W235:W244)</f>
        <v>7</v>
      </c>
    </row>
    <row r="235" spans="1:23" s="2" customFormat="1" ht="12.75">
      <c r="A235" s="100"/>
      <c r="B235" s="51" t="s">
        <v>44</v>
      </c>
      <c r="C235" s="13"/>
      <c r="D235" s="14"/>
      <c r="E235"/>
      <c r="F235" s="33">
        <v>3</v>
      </c>
      <c r="G235" s="26"/>
      <c r="H235" s="33">
        <v>52</v>
      </c>
      <c r="I235" s="26"/>
      <c r="J235" s="35">
        <v>2</v>
      </c>
      <c r="K235" s="61"/>
      <c r="L235" s="33">
        <v>17</v>
      </c>
      <c r="M235" s="29"/>
      <c r="N235" s="33">
        <v>31</v>
      </c>
      <c r="O235" s="29"/>
      <c r="P235" s="33">
        <v>8</v>
      </c>
      <c r="Q235" s="29"/>
      <c r="R235" s="33">
        <v>3</v>
      </c>
      <c r="S235" s="29"/>
      <c r="T235" s="33"/>
      <c r="U235" s="29"/>
      <c r="V235" s="33">
        <v>8</v>
      </c>
      <c r="W235" s="29"/>
    </row>
    <row r="236" spans="1:23" s="2" customFormat="1" ht="12.75">
      <c r="A236" s="22"/>
      <c r="B236" s="13" t="s">
        <v>36</v>
      </c>
      <c r="C236" s="13"/>
      <c r="D236" s="14"/>
      <c r="E236"/>
      <c r="F236" s="33">
        <v>18</v>
      </c>
      <c r="G236" s="26"/>
      <c r="H236" s="33">
        <v>12</v>
      </c>
      <c r="I236" s="26"/>
      <c r="J236" s="35">
        <v>7</v>
      </c>
      <c r="K236" s="61"/>
      <c r="L236" s="33">
        <v>4</v>
      </c>
      <c r="M236" s="29"/>
      <c r="N236" s="33">
        <v>2</v>
      </c>
      <c r="O236" s="29"/>
      <c r="P236" s="33">
        <v>3</v>
      </c>
      <c r="Q236" s="29"/>
      <c r="R236" s="33">
        <v>14</v>
      </c>
      <c r="S236" s="29"/>
      <c r="T236" s="33">
        <v>1</v>
      </c>
      <c r="U236" s="29"/>
      <c r="V236" s="33"/>
      <c r="W236" s="29"/>
    </row>
    <row r="237" spans="1:23" s="2" customFormat="1" ht="12.75">
      <c r="A237" s="22"/>
      <c r="B237" s="13" t="s">
        <v>73</v>
      </c>
      <c r="C237" s="13"/>
      <c r="D237" s="14"/>
      <c r="E237"/>
      <c r="F237" s="33">
        <v>1062</v>
      </c>
      <c r="G237" s="26"/>
      <c r="H237" s="33">
        <v>1029</v>
      </c>
      <c r="I237" s="26"/>
      <c r="J237" s="35">
        <v>1229</v>
      </c>
      <c r="K237" s="61"/>
      <c r="L237" s="33">
        <v>1515</v>
      </c>
      <c r="M237" s="29"/>
      <c r="N237" s="33">
        <v>1298</v>
      </c>
      <c r="O237" s="29"/>
      <c r="P237" s="33">
        <v>1286</v>
      </c>
      <c r="Q237" s="29"/>
      <c r="R237" s="33">
        <v>1693</v>
      </c>
      <c r="S237" s="29"/>
      <c r="T237" s="33">
        <v>2554</v>
      </c>
      <c r="U237" s="29"/>
      <c r="V237" s="33">
        <v>3008</v>
      </c>
      <c r="W237" s="29"/>
    </row>
    <row r="238" spans="1:23" s="2" customFormat="1" ht="12.75">
      <c r="A238" s="22"/>
      <c r="B238" s="51" t="s">
        <v>90</v>
      </c>
      <c r="C238" s="13"/>
      <c r="D238" s="14"/>
      <c r="E238"/>
      <c r="F238" s="33">
        <v>899</v>
      </c>
      <c r="G238" s="26"/>
      <c r="H238" s="33">
        <v>879</v>
      </c>
      <c r="I238" s="26"/>
      <c r="J238" s="35">
        <v>823</v>
      </c>
      <c r="K238" s="61"/>
      <c r="L238" s="33">
        <v>989</v>
      </c>
      <c r="M238" s="29"/>
      <c r="N238" s="33">
        <v>1486</v>
      </c>
      <c r="O238" s="29"/>
      <c r="P238" s="33">
        <v>1233</v>
      </c>
      <c r="Q238" s="29"/>
      <c r="R238" s="33">
        <v>1486</v>
      </c>
      <c r="S238" s="29"/>
      <c r="T238" s="33">
        <v>1475</v>
      </c>
      <c r="U238" s="117"/>
      <c r="V238" s="33">
        <v>1564</v>
      </c>
      <c r="W238" s="117"/>
    </row>
    <row r="239" spans="1:23" s="2" customFormat="1" ht="12.75">
      <c r="A239" s="22"/>
      <c r="B239" s="13" t="s">
        <v>25</v>
      </c>
      <c r="C239" s="13"/>
      <c r="D239" s="14"/>
      <c r="E239"/>
      <c r="F239" s="33">
        <v>4</v>
      </c>
      <c r="G239" s="26"/>
      <c r="H239" s="33">
        <v>30</v>
      </c>
      <c r="I239" s="26"/>
      <c r="J239" s="35">
        <v>57</v>
      </c>
      <c r="K239" s="61"/>
      <c r="L239" s="33">
        <v>98</v>
      </c>
      <c r="M239" s="29"/>
      <c r="N239" s="33">
        <v>126</v>
      </c>
      <c r="O239" s="29"/>
      <c r="P239" s="33">
        <v>99</v>
      </c>
      <c r="Q239" s="29"/>
      <c r="R239" s="33">
        <v>72</v>
      </c>
      <c r="S239" s="29"/>
      <c r="T239" s="33">
        <v>73</v>
      </c>
      <c r="U239" s="29"/>
      <c r="V239" s="33">
        <v>66</v>
      </c>
      <c r="W239" s="29"/>
    </row>
    <row r="240" spans="1:23" s="2" customFormat="1" ht="12.75">
      <c r="A240" s="22"/>
      <c r="B240" s="7" t="s">
        <v>75</v>
      </c>
      <c r="C240" s="7"/>
      <c r="D240" s="20"/>
      <c r="E240"/>
      <c r="F240" s="35">
        <v>48</v>
      </c>
      <c r="G240" s="61">
        <v>48</v>
      </c>
      <c r="H240" s="35">
        <v>40</v>
      </c>
      <c r="I240" s="61">
        <v>40</v>
      </c>
      <c r="J240" s="35">
        <v>22</v>
      </c>
      <c r="K240" s="61">
        <v>22</v>
      </c>
      <c r="L240" s="33">
        <v>5</v>
      </c>
      <c r="M240" s="29">
        <v>5</v>
      </c>
      <c r="N240" s="33">
        <v>0</v>
      </c>
      <c r="O240" s="29"/>
      <c r="P240" s="33"/>
      <c r="Q240" s="29"/>
      <c r="R240" s="33">
        <v>5</v>
      </c>
      <c r="S240" s="29">
        <v>5</v>
      </c>
      <c r="T240" s="33">
        <v>1</v>
      </c>
      <c r="U240" s="29">
        <v>1</v>
      </c>
      <c r="V240" s="33">
        <v>7</v>
      </c>
      <c r="W240" s="29">
        <v>7</v>
      </c>
    </row>
    <row r="241" spans="1:23" s="2" customFormat="1" ht="12.75">
      <c r="A241" s="22"/>
      <c r="B241" s="13" t="s">
        <v>87</v>
      </c>
      <c r="C241" s="13"/>
      <c r="D241" s="14"/>
      <c r="E241"/>
      <c r="F241" s="33">
        <v>12928</v>
      </c>
      <c r="G241" s="26"/>
      <c r="H241" s="33">
        <v>10414</v>
      </c>
      <c r="I241" s="26"/>
      <c r="J241" s="35">
        <v>11169</v>
      </c>
      <c r="K241" s="61"/>
      <c r="L241" s="33">
        <v>11903</v>
      </c>
      <c r="M241" s="29"/>
      <c r="N241" s="33"/>
      <c r="O241" s="29"/>
      <c r="P241" s="33"/>
      <c r="Q241" s="29"/>
      <c r="R241" s="33"/>
      <c r="S241" s="29"/>
      <c r="T241" s="33"/>
      <c r="U241" s="29"/>
      <c r="V241" s="33"/>
      <c r="W241" s="29"/>
    </row>
    <row r="242" spans="1:23" s="2" customFormat="1" ht="12.75">
      <c r="A242" s="69"/>
      <c r="B242" s="13" t="s">
        <v>88</v>
      </c>
      <c r="C242" s="51"/>
      <c r="D242" s="70"/>
      <c r="F242" s="53"/>
      <c r="G242" s="65"/>
      <c r="H242" s="53"/>
      <c r="I242" s="65"/>
      <c r="J242" s="52"/>
      <c r="K242" s="71"/>
      <c r="L242" s="33"/>
      <c r="M242" s="72"/>
      <c r="N242" s="53">
        <v>9883</v>
      </c>
      <c r="O242" s="72"/>
      <c r="P242" s="53">
        <v>11265</v>
      </c>
      <c r="Q242" s="72"/>
      <c r="R242" s="53">
        <v>13729</v>
      </c>
      <c r="S242" s="72"/>
      <c r="T242" s="53">
        <v>19527</v>
      </c>
      <c r="U242" s="72"/>
      <c r="V242" s="53">
        <v>20450</v>
      </c>
      <c r="W242" s="72"/>
    </row>
    <row r="243" spans="1:23" s="2" customFormat="1" ht="12.75">
      <c r="A243" s="22"/>
      <c r="B243" s="13" t="s">
        <v>89</v>
      </c>
      <c r="C243" s="13"/>
      <c r="D243" s="14"/>
      <c r="E243"/>
      <c r="F243" s="33"/>
      <c r="G243" s="26"/>
      <c r="H243" s="33"/>
      <c r="I243" s="26"/>
      <c r="J243" s="35"/>
      <c r="K243" s="61"/>
      <c r="L243" s="33"/>
      <c r="M243" s="29"/>
      <c r="N243" s="33">
        <v>910</v>
      </c>
      <c r="O243" s="29"/>
      <c r="P243" s="33">
        <v>1713</v>
      </c>
      <c r="Q243" s="29"/>
      <c r="R243" s="33">
        <v>1405</v>
      </c>
      <c r="S243" s="29"/>
      <c r="T243" s="33">
        <v>2174</v>
      </c>
      <c r="U243" s="29"/>
      <c r="V243" s="33">
        <v>5382</v>
      </c>
      <c r="W243" s="29"/>
    </row>
    <row r="244" spans="1:23" s="2" customFormat="1" ht="12.75">
      <c r="A244" s="162"/>
      <c r="B244" s="23" t="s">
        <v>91</v>
      </c>
      <c r="C244" s="82"/>
      <c r="D244" s="80"/>
      <c r="E244" s="85"/>
      <c r="F244" s="54"/>
      <c r="G244" s="79"/>
      <c r="H244" s="54"/>
      <c r="I244" s="79"/>
      <c r="J244" s="95"/>
      <c r="K244" s="96"/>
      <c r="L244" s="34"/>
      <c r="M244" s="84"/>
      <c r="N244" s="54"/>
      <c r="O244" s="84"/>
      <c r="P244" s="54">
        <v>1</v>
      </c>
      <c r="Q244" s="84"/>
      <c r="R244" s="54"/>
      <c r="S244" s="84"/>
      <c r="T244" s="54"/>
      <c r="U244" s="84"/>
      <c r="V244" s="54"/>
      <c r="W244" s="84"/>
    </row>
    <row r="245" spans="1:23" s="2" customFormat="1" ht="12.75">
      <c r="A245" s="120" t="s">
        <v>19</v>
      </c>
      <c r="B245" s="121"/>
      <c r="C245" s="121"/>
      <c r="D245" s="122"/>
      <c r="E245" s="45"/>
      <c r="F245" s="49">
        <f>+F246+F250+F253+F259</f>
        <v>0</v>
      </c>
      <c r="G245" s="49">
        <f aca="true" t="shared" si="40" ref="G245:O245">+G246+G250+G253+G259</f>
        <v>0</v>
      </c>
      <c r="H245" s="49">
        <f t="shared" si="40"/>
        <v>0</v>
      </c>
      <c r="I245" s="49">
        <f t="shared" si="40"/>
        <v>0</v>
      </c>
      <c r="J245" s="49">
        <f t="shared" si="40"/>
        <v>0</v>
      </c>
      <c r="K245" s="49">
        <f t="shared" si="40"/>
        <v>0</v>
      </c>
      <c r="L245" s="49">
        <f t="shared" si="40"/>
        <v>451</v>
      </c>
      <c r="M245" s="49">
        <f t="shared" si="40"/>
        <v>451</v>
      </c>
      <c r="N245" s="49">
        <f t="shared" si="40"/>
        <v>4</v>
      </c>
      <c r="O245" s="49">
        <f t="shared" si="40"/>
        <v>4</v>
      </c>
      <c r="P245" s="49">
        <f aca="true" t="shared" si="41" ref="P245:U245">+P246+P250+P253+P259+P257</f>
        <v>31</v>
      </c>
      <c r="Q245" s="49">
        <f t="shared" si="41"/>
        <v>31</v>
      </c>
      <c r="R245" s="49">
        <f t="shared" si="41"/>
        <v>18</v>
      </c>
      <c r="S245" s="49">
        <f t="shared" si="41"/>
        <v>17</v>
      </c>
      <c r="T245" s="49">
        <f t="shared" si="41"/>
        <v>22</v>
      </c>
      <c r="U245" s="49">
        <f t="shared" si="41"/>
        <v>22</v>
      </c>
      <c r="V245" s="49">
        <f>+V246+V250+V253+V259+V257</f>
        <v>98</v>
      </c>
      <c r="W245" s="49">
        <f>+W246+W250+W253+W259+W257</f>
        <v>98</v>
      </c>
    </row>
    <row r="246" spans="1:23" ht="12.75">
      <c r="A246" s="101"/>
      <c r="B246" s="102" t="s">
        <v>3</v>
      </c>
      <c r="C246" s="102"/>
      <c r="D246" s="103"/>
      <c r="E246" s="37"/>
      <c r="F246" s="104">
        <f aca="true" t="shared" si="42" ref="F246:U246">SUM(F247:F249)</f>
        <v>0</v>
      </c>
      <c r="G246" s="104">
        <f t="shared" si="42"/>
        <v>0</v>
      </c>
      <c r="H246" s="104">
        <f t="shared" si="42"/>
        <v>0</v>
      </c>
      <c r="I246" s="104">
        <f t="shared" si="42"/>
        <v>0</v>
      </c>
      <c r="J246" s="104">
        <f t="shared" si="42"/>
        <v>0</v>
      </c>
      <c r="K246" s="104">
        <f t="shared" si="42"/>
        <v>0</v>
      </c>
      <c r="L246" s="104">
        <f t="shared" si="42"/>
        <v>0</v>
      </c>
      <c r="M246" s="104">
        <f t="shared" si="42"/>
        <v>0</v>
      </c>
      <c r="N246" s="104">
        <f t="shared" si="42"/>
        <v>4</v>
      </c>
      <c r="O246" s="104">
        <f t="shared" si="42"/>
        <v>4</v>
      </c>
      <c r="P246" s="104">
        <f t="shared" si="42"/>
        <v>0</v>
      </c>
      <c r="Q246" s="104">
        <f t="shared" si="42"/>
        <v>0</v>
      </c>
      <c r="R246" s="104">
        <f t="shared" si="42"/>
        <v>4</v>
      </c>
      <c r="S246" s="104">
        <f t="shared" si="42"/>
        <v>4</v>
      </c>
      <c r="T246" s="104">
        <f t="shared" si="42"/>
        <v>2</v>
      </c>
      <c r="U246" s="104">
        <f t="shared" si="42"/>
        <v>2</v>
      </c>
      <c r="V246" s="104">
        <f>SUM(V247:V249)</f>
        <v>4</v>
      </c>
      <c r="W246" s="104">
        <f>SUM(W247:W249)</f>
        <v>4</v>
      </c>
    </row>
    <row r="247" spans="1:23" ht="12.75">
      <c r="A247" s="21"/>
      <c r="B247" s="13"/>
      <c r="C247" s="51" t="s">
        <v>135</v>
      </c>
      <c r="D247" s="20"/>
      <c r="F247" s="38"/>
      <c r="G247" s="76"/>
      <c r="H247" s="38"/>
      <c r="I247" s="76"/>
      <c r="J247" s="38"/>
      <c r="K247" s="76"/>
      <c r="L247" s="38"/>
      <c r="M247" s="26"/>
      <c r="N247" s="38">
        <v>3</v>
      </c>
      <c r="O247" s="26">
        <v>3</v>
      </c>
      <c r="P247" s="38"/>
      <c r="Q247" s="26"/>
      <c r="R247" s="38"/>
      <c r="S247" s="26"/>
      <c r="T247" s="38">
        <v>2</v>
      </c>
      <c r="U247" s="26">
        <v>2</v>
      </c>
      <c r="V247" s="38">
        <v>2</v>
      </c>
      <c r="W247" s="26">
        <v>2</v>
      </c>
    </row>
    <row r="248" spans="1:23" ht="12.75">
      <c r="A248" s="21"/>
      <c r="B248" s="13"/>
      <c r="C248" s="7" t="s">
        <v>75</v>
      </c>
      <c r="D248" s="20"/>
      <c r="F248" s="38"/>
      <c r="G248" s="159"/>
      <c r="H248" s="38"/>
      <c r="I248" s="159"/>
      <c r="J248" s="38"/>
      <c r="K248" s="159"/>
      <c r="L248" s="38"/>
      <c r="M248" s="26"/>
      <c r="N248" s="38"/>
      <c r="O248" s="26"/>
      <c r="P248" s="38"/>
      <c r="Q248" s="26"/>
      <c r="R248" s="38">
        <v>1</v>
      </c>
      <c r="S248" s="26">
        <v>1</v>
      </c>
      <c r="T248" s="38"/>
      <c r="U248" s="26"/>
      <c r="V248" s="38">
        <v>1</v>
      </c>
      <c r="W248" s="26">
        <v>1</v>
      </c>
    </row>
    <row r="249" spans="1:23" ht="12.75">
      <c r="A249" s="21"/>
      <c r="B249" s="13"/>
      <c r="C249" s="51" t="s">
        <v>141</v>
      </c>
      <c r="D249" s="20"/>
      <c r="F249" s="38"/>
      <c r="G249" s="66"/>
      <c r="H249" s="38"/>
      <c r="I249" s="66"/>
      <c r="J249" s="38"/>
      <c r="K249" s="66"/>
      <c r="L249" s="38"/>
      <c r="M249" s="29"/>
      <c r="N249" s="38">
        <v>1</v>
      </c>
      <c r="O249" s="29">
        <v>1</v>
      </c>
      <c r="P249" s="38"/>
      <c r="Q249" s="29"/>
      <c r="R249" s="38">
        <v>3</v>
      </c>
      <c r="S249" s="29">
        <v>3</v>
      </c>
      <c r="T249" s="38"/>
      <c r="U249" s="29"/>
      <c r="V249" s="38">
        <v>1</v>
      </c>
      <c r="W249" s="29">
        <v>1</v>
      </c>
    </row>
    <row r="250" spans="1:23" ht="12.75">
      <c r="A250" s="101"/>
      <c r="B250" s="102" t="s">
        <v>4</v>
      </c>
      <c r="C250" s="102"/>
      <c r="D250" s="103"/>
      <c r="F250" s="104">
        <f>SUM(F251:F252)</f>
        <v>0</v>
      </c>
      <c r="G250" s="104">
        <f aca="true" t="shared" si="43" ref="G250:U250">SUM(G251:G252)</f>
        <v>0</v>
      </c>
      <c r="H250" s="104">
        <f t="shared" si="43"/>
        <v>0</v>
      </c>
      <c r="I250" s="104">
        <f t="shared" si="43"/>
        <v>0</v>
      </c>
      <c r="J250" s="104">
        <f t="shared" si="43"/>
        <v>0</v>
      </c>
      <c r="K250" s="104">
        <f t="shared" si="43"/>
        <v>0</v>
      </c>
      <c r="L250" s="104">
        <f t="shared" si="43"/>
        <v>15</v>
      </c>
      <c r="M250" s="104">
        <f t="shared" si="43"/>
        <v>15</v>
      </c>
      <c r="N250" s="104">
        <f t="shared" si="43"/>
        <v>0</v>
      </c>
      <c r="O250" s="104">
        <f t="shared" si="43"/>
        <v>0</v>
      </c>
      <c r="P250" s="104">
        <f t="shared" si="43"/>
        <v>26</v>
      </c>
      <c r="Q250" s="104">
        <f t="shared" si="43"/>
        <v>26</v>
      </c>
      <c r="R250" s="104">
        <f t="shared" si="43"/>
        <v>10</v>
      </c>
      <c r="S250" s="104">
        <f t="shared" si="43"/>
        <v>10</v>
      </c>
      <c r="T250" s="104">
        <f t="shared" si="43"/>
        <v>0</v>
      </c>
      <c r="U250" s="104">
        <f t="shared" si="43"/>
        <v>0</v>
      </c>
      <c r="V250" s="104">
        <f>SUM(V251:V252)</f>
        <v>90</v>
      </c>
      <c r="W250" s="104">
        <f>SUM(W251:W252)</f>
        <v>90</v>
      </c>
    </row>
    <row r="251" spans="1:23" s="27" customFormat="1" ht="12.75">
      <c r="A251" s="150"/>
      <c r="B251" s="7"/>
      <c r="C251" s="7" t="s">
        <v>75</v>
      </c>
      <c r="D251" s="29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35">
        <v>26</v>
      </c>
      <c r="Q251" s="35">
        <v>26</v>
      </c>
      <c r="R251" s="35">
        <v>10</v>
      </c>
      <c r="S251" s="35">
        <v>10</v>
      </c>
      <c r="T251" s="35"/>
      <c r="U251" s="35"/>
      <c r="V251" s="35">
        <v>90</v>
      </c>
      <c r="W251" s="35">
        <v>90</v>
      </c>
    </row>
    <row r="252" spans="1:23" ht="12.75">
      <c r="A252" s="21"/>
      <c r="B252" s="13"/>
      <c r="C252" s="51" t="s">
        <v>135</v>
      </c>
      <c r="D252" s="20"/>
      <c r="F252" s="38"/>
      <c r="G252" s="38"/>
      <c r="H252" s="38"/>
      <c r="I252" s="38"/>
      <c r="J252" s="38"/>
      <c r="K252" s="38"/>
      <c r="L252" s="38">
        <v>15</v>
      </c>
      <c r="M252" s="38">
        <v>15</v>
      </c>
      <c r="N252" s="38"/>
      <c r="O252" s="38"/>
      <c r="P252" s="38"/>
      <c r="Q252" s="38"/>
      <c r="R252" s="38"/>
      <c r="S252" s="38"/>
      <c r="T252" s="38"/>
      <c r="U252" s="38"/>
      <c r="V252" s="38"/>
      <c r="W252" s="38"/>
    </row>
    <row r="253" spans="1:23" ht="12.75">
      <c r="A253" s="101"/>
      <c r="B253" s="102" t="s">
        <v>5</v>
      </c>
      <c r="C253" s="102"/>
      <c r="D253" s="103"/>
      <c r="F253" s="104">
        <f>SUM(F255:F256)</f>
        <v>0</v>
      </c>
      <c r="G253" s="104">
        <f aca="true" t="shared" si="44" ref="G253:O253">SUM(G255:G256)</f>
        <v>0</v>
      </c>
      <c r="H253" s="104">
        <f t="shared" si="44"/>
        <v>0</v>
      </c>
      <c r="I253" s="104">
        <f t="shared" si="44"/>
        <v>0</v>
      </c>
      <c r="J253" s="104">
        <f t="shared" si="44"/>
        <v>0</v>
      </c>
      <c r="K253" s="104">
        <f t="shared" si="44"/>
        <v>0</v>
      </c>
      <c r="L253" s="104">
        <f t="shared" si="44"/>
        <v>436</v>
      </c>
      <c r="M253" s="104">
        <f t="shared" si="44"/>
        <v>436</v>
      </c>
      <c r="N253" s="104">
        <f t="shared" si="44"/>
        <v>0</v>
      </c>
      <c r="O253" s="104">
        <f t="shared" si="44"/>
        <v>0</v>
      </c>
      <c r="P253" s="104">
        <f aca="true" t="shared" si="45" ref="P253:V253">SUM(P254:P256)</f>
        <v>0</v>
      </c>
      <c r="Q253" s="104">
        <f t="shared" si="45"/>
        <v>0</v>
      </c>
      <c r="R253" s="104">
        <f t="shared" si="45"/>
        <v>3</v>
      </c>
      <c r="S253" s="104">
        <f t="shared" si="45"/>
        <v>3</v>
      </c>
      <c r="T253" s="104">
        <f t="shared" si="45"/>
        <v>5</v>
      </c>
      <c r="U253" s="104">
        <f t="shared" si="45"/>
        <v>5</v>
      </c>
      <c r="V253" s="104">
        <f t="shared" si="45"/>
        <v>2</v>
      </c>
      <c r="W253" s="104">
        <f>SUM(W254:W256)</f>
        <v>2</v>
      </c>
    </row>
    <row r="254" spans="1:23" s="27" customFormat="1" ht="12.75">
      <c r="A254" s="150"/>
      <c r="B254" s="7"/>
      <c r="C254" s="50" t="s">
        <v>75</v>
      </c>
      <c r="D254" s="29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35"/>
      <c r="S254" s="35"/>
      <c r="T254" s="35"/>
      <c r="U254" s="35"/>
      <c r="V254" s="35">
        <v>2</v>
      </c>
      <c r="W254" s="35">
        <v>2</v>
      </c>
    </row>
    <row r="255" spans="1:23" s="27" customFormat="1" ht="12.75">
      <c r="A255" s="150"/>
      <c r="B255" s="7"/>
      <c r="C255" s="50" t="s">
        <v>141</v>
      </c>
      <c r="D255" s="29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35">
        <v>3</v>
      </c>
      <c r="S255" s="35">
        <v>3</v>
      </c>
      <c r="T255" s="35">
        <v>5</v>
      </c>
      <c r="U255" s="35">
        <v>5</v>
      </c>
      <c r="V255" s="35"/>
      <c r="W255" s="35"/>
    </row>
    <row r="256" spans="1:23" ht="12.75">
      <c r="A256" s="21"/>
      <c r="B256" s="13"/>
      <c r="C256" s="50" t="s">
        <v>24</v>
      </c>
      <c r="D256" s="20"/>
      <c r="F256" s="38"/>
      <c r="G256" s="38"/>
      <c r="H256" s="38"/>
      <c r="I256" s="38"/>
      <c r="J256" s="38"/>
      <c r="K256" s="38"/>
      <c r="L256" s="38">
        <v>436</v>
      </c>
      <c r="M256" s="38">
        <v>436</v>
      </c>
      <c r="N256" s="38"/>
      <c r="O256" s="38"/>
      <c r="P256" s="38"/>
      <c r="Q256" s="38"/>
      <c r="R256" s="38"/>
      <c r="S256" s="38"/>
      <c r="T256" s="38"/>
      <c r="U256" s="38"/>
      <c r="V256" s="38"/>
      <c r="W256" s="38"/>
    </row>
    <row r="257" spans="1:23" ht="12.75">
      <c r="A257" s="101"/>
      <c r="B257" s="102" t="s">
        <v>134</v>
      </c>
      <c r="C257" s="102"/>
      <c r="D257" s="10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>
        <f>+P258</f>
        <v>0</v>
      </c>
      <c r="Q257" s="104">
        <f aca="true" t="shared" si="46" ref="Q257:W257">+Q258</f>
        <v>0</v>
      </c>
      <c r="R257" s="104">
        <f t="shared" si="46"/>
        <v>0</v>
      </c>
      <c r="S257" s="104">
        <f t="shared" si="46"/>
        <v>0</v>
      </c>
      <c r="T257" s="104">
        <f t="shared" si="46"/>
        <v>0</v>
      </c>
      <c r="U257" s="104">
        <f t="shared" si="46"/>
        <v>0</v>
      </c>
      <c r="V257" s="104">
        <f t="shared" si="46"/>
        <v>2</v>
      </c>
      <c r="W257" s="104">
        <f t="shared" si="46"/>
        <v>2</v>
      </c>
    </row>
    <row r="258" spans="1:23" ht="12.75">
      <c r="A258" s="21"/>
      <c r="B258" s="13"/>
      <c r="C258" s="50" t="s">
        <v>75</v>
      </c>
      <c r="D258" s="20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>
        <v>2</v>
      </c>
      <c r="W258" s="38">
        <v>2</v>
      </c>
    </row>
    <row r="259" spans="1:23" ht="12.75">
      <c r="A259" s="101"/>
      <c r="B259" s="102" t="s">
        <v>6</v>
      </c>
      <c r="C259" s="102"/>
      <c r="D259" s="103"/>
      <c r="F259" s="104">
        <f aca="true" t="shared" si="47" ref="F259:W259">SUM(F260:F261)</f>
        <v>0</v>
      </c>
      <c r="G259" s="104">
        <f t="shared" si="47"/>
        <v>0</v>
      </c>
      <c r="H259" s="104">
        <f t="shared" si="47"/>
        <v>0</v>
      </c>
      <c r="I259" s="104">
        <f t="shared" si="47"/>
        <v>0</v>
      </c>
      <c r="J259" s="104">
        <f t="shared" si="47"/>
        <v>0</v>
      </c>
      <c r="K259" s="104">
        <f t="shared" si="47"/>
        <v>0</v>
      </c>
      <c r="L259" s="104">
        <f t="shared" si="47"/>
        <v>0</v>
      </c>
      <c r="M259" s="104">
        <f t="shared" si="47"/>
        <v>0</v>
      </c>
      <c r="N259" s="104">
        <f t="shared" si="47"/>
        <v>0</v>
      </c>
      <c r="O259" s="104">
        <f t="shared" si="47"/>
        <v>0</v>
      </c>
      <c r="P259" s="104">
        <f t="shared" si="47"/>
        <v>5</v>
      </c>
      <c r="Q259" s="104">
        <f t="shared" si="47"/>
        <v>5</v>
      </c>
      <c r="R259" s="104">
        <f t="shared" si="47"/>
        <v>1</v>
      </c>
      <c r="S259" s="104">
        <f t="shared" si="47"/>
        <v>0</v>
      </c>
      <c r="T259" s="104">
        <f t="shared" si="47"/>
        <v>15</v>
      </c>
      <c r="U259" s="104">
        <f t="shared" si="47"/>
        <v>15</v>
      </c>
      <c r="V259" s="104">
        <f t="shared" si="47"/>
        <v>0</v>
      </c>
      <c r="W259" s="104">
        <f t="shared" si="47"/>
        <v>0</v>
      </c>
    </row>
    <row r="260" spans="1:23" s="27" customFormat="1" ht="12.75">
      <c r="A260" s="150"/>
      <c r="B260" s="7"/>
      <c r="C260" s="50" t="s">
        <v>44</v>
      </c>
      <c r="D260" s="29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35">
        <v>1</v>
      </c>
      <c r="S260" s="35"/>
      <c r="T260" s="35">
        <v>15</v>
      </c>
      <c r="U260" s="35">
        <v>15</v>
      </c>
      <c r="V260" s="35"/>
      <c r="W260" s="35"/>
    </row>
    <row r="261" spans="1:23" ht="12.75">
      <c r="A261" s="21"/>
      <c r="B261" s="13"/>
      <c r="C261" s="7" t="s">
        <v>75</v>
      </c>
      <c r="D261" s="20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>
        <v>5</v>
      </c>
      <c r="Q261" s="38">
        <v>5</v>
      </c>
      <c r="R261" s="38"/>
      <c r="S261" s="38"/>
      <c r="T261" s="38"/>
      <c r="U261" s="38"/>
      <c r="V261" s="38"/>
      <c r="W261" s="38"/>
    </row>
    <row r="262" spans="1:23" ht="15.75">
      <c r="A262" s="88" t="s">
        <v>8</v>
      </c>
      <c r="B262" s="89"/>
      <c r="C262" s="89"/>
      <c r="D262" s="90"/>
      <c r="E262" s="91"/>
      <c r="F262" s="136">
        <f aca="true" t="shared" si="48" ref="F262:W262">+F245+F234+F220+F186+F153+F115+F107+F52+F45+F41+F33+F29+F26+F24+F18+F12+F10+F8</f>
        <v>403011</v>
      </c>
      <c r="G262" s="136">
        <f t="shared" si="48"/>
        <v>5785</v>
      </c>
      <c r="H262" s="136">
        <f t="shared" si="48"/>
        <v>419139</v>
      </c>
      <c r="I262" s="136">
        <f t="shared" si="48"/>
        <v>8433</v>
      </c>
      <c r="J262" s="136">
        <f t="shared" si="48"/>
        <v>416705</v>
      </c>
      <c r="K262" s="136">
        <f t="shared" si="48"/>
        <v>8047</v>
      </c>
      <c r="L262" s="136">
        <f t="shared" si="48"/>
        <v>434145</v>
      </c>
      <c r="M262" s="136">
        <f t="shared" si="48"/>
        <v>15809</v>
      </c>
      <c r="N262" s="136">
        <f t="shared" si="48"/>
        <v>451880</v>
      </c>
      <c r="O262" s="136">
        <f t="shared" si="48"/>
        <v>16123</v>
      </c>
      <c r="P262" s="136">
        <f t="shared" si="48"/>
        <v>477312</v>
      </c>
      <c r="Q262" s="136">
        <f t="shared" si="48"/>
        <v>27004</v>
      </c>
      <c r="R262" s="136">
        <f t="shared" si="48"/>
        <v>500424</v>
      </c>
      <c r="S262" s="136">
        <f t="shared" si="48"/>
        <v>28215</v>
      </c>
      <c r="T262" s="136">
        <f t="shared" si="48"/>
        <v>506836</v>
      </c>
      <c r="U262" s="136">
        <f t="shared" si="48"/>
        <v>30762</v>
      </c>
      <c r="V262" s="136">
        <f t="shared" si="48"/>
        <v>524452</v>
      </c>
      <c r="W262" s="136">
        <f t="shared" si="48"/>
        <v>36597</v>
      </c>
    </row>
    <row r="263" spans="2:23" s="2" customFormat="1" ht="20.25" customHeight="1">
      <c r="B263" s="105"/>
      <c r="C263" s="105"/>
      <c r="D263" s="105"/>
      <c r="E263" s="92"/>
      <c r="F263" s="106"/>
      <c r="G263" s="106"/>
      <c r="H263" s="106"/>
      <c r="I263" s="106"/>
      <c r="J263" s="106"/>
      <c r="K263" s="106"/>
      <c r="L263" s="106"/>
      <c r="M263" s="106"/>
      <c r="N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ht="12.75">
      <c r="A264" s="148" t="s">
        <v>92</v>
      </c>
      <c r="Q264" s="153"/>
      <c r="S264" s="153"/>
      <c r="U264" s="153"/>
      <c r="W264" s="153"/>
    </row>
    <row r="265" spans="14:21" ht="12.75">
      <c r="N265" s="153"/>
      <c r="O265" s="176"/>
      <c r="Q265" s="153"/>
      <c r="S265" s="153"/>
      <c r="U265" s="153"/>
    </row>
    <row r="417" ht="12.75">
      <c r="G417" s="5">
        <f>133000</f>
        <v>133000</v>
      </c>
    </row>
    <row r="419" ht="12.75">
      <c r="G419" s="5">
        <v>1936.27</v>
      </c>
    </row>
    <row r="420" ht="12.75">
      <c r="G420" s="5">
        <f>+G417/G419</f>
        <v>68.6887675789017</v>
      </c>
    </row>
    <row r="450" ht="12.75">
      <c r="F450" s="5" t="s">
        <v>9</v>
      </c>
    </row>
  </sheetData>
  <mergeCells count="5">
    <mergeCell ref="V6:W6"/>
    <mergeCell ref="P6:Q6"/>
    <mergeCell ref="N6:O6"/>
    <mergeCell ref="R6:S6"/>
    <mergeCell ref="T6:U6"/>
  </mergeCells>
  <printOptions/>
  <pageMargins left="0.51" right="0.21" top="0.42" bottom="0.36" header="0.26" footer="0.19"/>
  <pageSetup horizontalDpi="600" verticalDpi="600" orientation="landscape" paperSize="9" scale="60" r:id="rId1"/>
  <rowBreaks count="3" manualBreakCount="3">
    <brk id="51" max="22" man="1"/>
    <brk id="106" max="22" man="1"/>
    <brk id="2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49"/>
  <sheetViews>
    <sheetView workbookViewId="0" topLeftCell="A1">
      <selection activeCell="A2" sqref="A2"/>
    </sheetView>
  </sheetViews>
  <sheetFormatPr defaultColWidth="9.140625" defaultRowHeight="12.75"/>
  <cols>
    <col min="1" max="1" width="2.7109375" style="3" customWidth="1"/>
    <col min="2" max="2" width="4.140625" style="3" customWidth="1"/>
    <col min="3" max="3" width="4.7109375" style="3" customWidth="1"/>
    <col min="4" max="4" width="45.421875" style="4" customWidth="1"/>
    <col min="5" max="5" width="0.5625" style="0" customWidth="1"/>
    <col min="6" max="9" width="9.57421875" style="5" customWidth="1"/>
    <col min="10" max="10" width="9.57421875" style="1" customWidth="1"/>
    <col min="11" max="14" width="9.57421875" style="5" customWidth="1"/>
  </cols>
  <sheetData>
    <row r="1" spans="1:14" s="2" customFormat="1" ht="24" customHeight="1">
      <c r="A1" s="110" t="s">
        <v>142</v>
      </c>
      <c r="B1" s="3"/>
      <c r="C1" s="3"/>
      <c r="D1" s="4"/>
      <c r="E1"/>
      <c r="F1" s="5"/>
      <c r="G1" s="160" t="s">
        <v>7</v>
      </c>
      <c r="H1" s="5"/>
      <c r="I1" s="5"/>
      <c r="J1" s="1"/>
      <c r="K1" s="5"/>
      <c r="L1" s="5"/>
      <c r="M1" s="5"/>
      <c r="N1" s="5"/>
    </row>
    <row r="2" spans="1:14" s="2" customFormat="1" ht="9.75" customHeight="1">
      <c r="A2" s="6"/>
      <c r="B2" s="6"/>
      <c r="C2" s="6"/>
      <c r="E2"/>
      <c r="F2" s="114"/>
      <c r="G2" s="86"/>
      <c r="H2" s="114"/>
      <c r="I2" s="114"/>
      <c r="J2" s="15"/>
      <c r="K2" s="149"/>
      <c r="L2" s="149"/>
      <c r="M2" s="149"/>
      <c r="N2" s="149"/>
    </row>
    <row r="3" spans="1:14" s="2" customFormat="1" ht="12.75">
      <c r="A3" s="115" t="s">
        <v>12</v>
      </c>
      <c r="B3" s="6"/>
      <c r="C3" s="6"/>
      <c r="D3" s="8"/>
      <c r="E3"/>
      <c r="F3" s="5"/>
      <c r="G3" s="5"/>
      <c r="H3" s="5"/>
      <c r="I3" s="5"/>
      <c r="J3" s="1"/>
      <c r="K3" s="149"/>
      <c r="L3" s="149"/>
      <c r="M3" s="149"/>
      <c r="N3" s="149"/>
    </row>
    <row r="4" spans="1:14" s="2" customFormat="1" ht="12.75">
      <c r="A4" s="9"/>
      <c r="B4" s="9"/>
      <c r="C4" s="9"/>
      <c r="D4" s="10"/>
      <c r="E4"/>
      <c r="F4" s="5"/>
      <c r="G4" s="5"/>
      <c r="H4" s="5"/>
      <c r="I4" s="5"/>
      <c r="J4" s="1"/>
      <c r="K4" s="5"/>
      <c r="L4" s="5"/>
      <c r="M4" s="5"/>
      <c r="N4" s="5"/>
    </row>
    <row r="5" spans="1:14" s="2" customFormat="1" ht="12.75">
      <c r="A5" s="11"/>
      <c r="B5" s="16"/>
      <c r="C5" s="16"/>
      <c r="D5" s="11"/>
      <c r="E5"/>
      <c r="F5" s="56">
        <v>1997</v>
      </c>
      <c r="G5" s="56">
        <v>1998</v>
      </c>
      <c r="H5" s="56">
        <v>1999</v>
      </c>
      <c r="I5" s="56">
        <v>2000</v>
      </c>
      <c r="J5" s="56">
        <v>2001</v>
      </c>
      <c r="K5" s="56">
        <v>2002</v>
      </c>
      <c r="L5" s="56">
        <v>2003</v>
      </c>
      <c r="M5" s="56">
        <v>2004</v>
      </c>
      <c r="N5" s="175">
        <v>205</v>
      </c>
    </row>
    <row r="6" spans="1:14" s="2" customFormat="1" ht="12.75">
      <c r="A6" s="11"/>
      <c r="B6" s="11"/>
      <c r="C6" s="11"/>
      <c r="D6" s="11"/>
      <c r="E6"/>
      <c r="F6" s="58" t="s">
        <v>11</v>
      </c>
      <c r="G6" s="58" t="s">
        <v>11</v>
      </c>
      <c r="H6" s="58" t="s">
        <v>11</v>
      </c>
      <c r="I6" s="58" t="s">
        <v>11</v>
      </c>
      <c r="J6" s="141" t="s">
        <v>11</v>
      </c>
      <c r="K6" s="141" t="s">
        <v>11</v>
      </c>
      <c r="L6" s="141" t="s">
        <v>11</v>
      </c>
      <c r="M6" s="141" t="s">
        <v>11</v>
      </c>
      <c r="N6" s="146" t="s">
        <v>11</v>
      </c>
    </row>
    <row r="7" spans="1:14" s="2" customFormat="1" ht="12.75">
      <c r="A7" s="163"/>
      <c r="B7" s="163"/>
      <c r="C7" s="163"/>
      <c r="D7" s="163"/>
      <c r="E7" s="31"/>
      <c r="F7" s="68" t="s">
        <v>10</v>
      </c>
      <c r="G7" s="68" t="s">
        <v>10</v>
      </c>
      <c r="H7" s="68" t="s">
        <v>10</v>
      </c>
      <c r="I7" s="68" t="s">
        <v>10</v>
      </c>
      <c r="J7" s="68" t="s">
        <v>10</v>
      </c>
      <c r="K7" s="68" t="s">
        <v>10</v>
      </c>
      <c r="L7" s="68" t="s">
        <v>10</v>
      </c>
      <c r="M7" s="68" t="s">
        <v>10</v>
      </c>
      <c r="N7" s="68" t="s">
        <v>10</v>
      </c>
    </row>
    <row r="8" spans="1:14" s="2" customFormat="1" ht="12.75">
      <c r="A8" s="120" t="s">
        <v>0</v>
      </c>
      <c r="B8" s="121"/>
      <c r="C8" s="121"/>
      <c r="D8" s="122"/>
      <c r="E8" s="44"/>
      <c r="F8" s="49">
        <f aca="true" t="shared" si="0" ref="F8:N8">+F9</f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49">
        <f t="shared" si="0"/>
        <v>552</v>
      </c>
      <c r="K8" s="49">
        <f t="shared" si="0"/>
        <v>0</v>
      </c>
      <c r="L8" s="49">
        <f t="shared" si="0"/>
        <v>0</v>
      </c>
      <c r="M8" s="49">
        <f t="shared" si="0"/>
        <v>0</v>
      </c>
      <c r="N8" s="49">
        <f t="shared" si="0"/>
        <v>0</v>
      </c>
    </row>
    <row r="9" spans="1:14" s="2" customFormat="1" ht="12.75">
      <c r="A9" s="24"/>
      <c r="B9" s="133" t="s">
        <v>20</v>
      </c>
      <c r="C9" s="133"/>
      <c r="D9" s="170"/>
      <c r="E9" s="169"/>
      <c r="F9" s="34">
        <f>+'Entrate tot e finalizzati'!F9-'Entrate tot e finalizzati'!G9</f>
        <v>0</v>
      </c>
      <c r="G9" s="34">
        <f>+'Entrate tot e finalizzati'!H9-'Entrate tot e finalizzati'!I9</f>
        <v>0</v>
      </c>
      <c r="H9" s="34">
        <f>+'Entrate tot e finalizzati'!J9-'Entrate tot e finalizzati'!K9</f>
        <v>0</v>
      </c>
      <c r="I9" s="34">
        <f>+'Entrate tot e finalizzati'!L9-'Entrate tot e finalizzati'!M9</f>
        <v>0</v>
      </c>
      <c r="J9" s="34">
        <f>+'Entrate tot e finalizzati'!N9-'Entrate tot e finalizzati'!O9</f>
        <v>552</v>
      </c>
      <c r="K9" s="34">
        <f>+'Entrate tot e finalizzati'!P9-'Entrate tot e finalizzati'!Q9</f>
        <v>0</v>
      </c>
      <c r="L9" s="34">
        <f>+'Entrate tot e finalizzati'!R9-'Entrate tot e finalizzati'!S9</f>
        <v>0</v>
      </c>
      <c r="M9" s="34">
        <f>+'Entrate tot e finalizzati'!T9-'Entrate tot e finalizzati'!U9</f>
        <v>0</v>
      </c>
      <c r="N9" s="34">
        <f>+'Entrate tot e finalizzati'!V9-'Entrate tot e finalizzati'!W9</f>
        <v>0</v>
      </c>
    </row>
    <row r="10" spans="1:14" s="2" customFormat="1" ht="12.75">
      <c r="A10" s="120" t="s">
        <v>107</v>
      </c>
      <c r="B10" s="121"/>
      <c r="C10" s="121"/>
      <c r="D10" s="122"/>
      <c r="E10" s="44"/>
      <c r="F10" s="49">
        <f aca="true" t="shared" si="1" ref="F10:N10">+F11</f>
        <v>1819</v>
      </c>
      <c r="G10" s="49">
        <f t="shared" si="1"/>
        <v>2182</v>
      </c>
      <c r="H10" s="49">
        <f t="shared" si="1"/>
        <v>6012</v>
      </c>
      <c r="I10" s="49">
        <f t="shared" si="1"/>
        <v>6026</v>
      </c>
      <c r="J10" s="49">
        <f t="shared" si="1"/>
        <v>20021</v>
      </c>
      <c r="K10" s="49">
        <f t="shared" si="1"/>
        <v>15225</v>
      </c>
      <c r="L10" s="49">
        <f t="shared" si="1"/>
        <v>10875</v>
      </c>
      <c r="M10" s="49">
        <f t="shared" si="1"/>
        <v>8689</v>
      </c>
      <c r="N10" s="49">
        <f t="shared" si="1"/>
        <v>9776</v>
      </c>
    </row>
    <row r="11" spans="1:14" s="2" customFormat="1" ht="12.75">
      <c r="A11" s="73"/>
      <c r="B11" s="51" t="s">
        <v>21</v>
      </c>
      <c r="C11" s="51"/>
      <c r="D11" s="74"/>
      <c r="F11" s="33">
        <v>1819</v>
      </c>
      <c r="G11" s="33">
        <v>2182</v>
      </c>
      <c r="H11" s="33">
        <v>6012</v>
      </c>
      <c r="I11" s="33">
        <v>6026</v>
      </c>
      <c r="J11" s="33">
        <v>20021</v>
      </c>
      <c r="K11" s="33">
        <v>15225</v>
      </c>
      <c r="L11" s="33">
        <v>10875</v>
      </c>
      <c r="M11" s="33">
        <v>8689</v>
      </c>
      <c r="N11" s="33">
        <v>9776</v>
      </c>
    </row>
    <row r="12" spans="1:14" s="2" customFormat="1" ht="12.75">
      <c r="A12" s="40" t="s">
        <v>22</v>
      </c>
      <c r="B12" s="41"/>
      <c r="C12" s="41"/>
      <c r="D12" s="42"/>
      <c r="E12" s="45"/>
      <c r="F12" s="43">
        <f aca="true" t="shared" si="2" ref="F12:N12">SUM(F13:F17)</f>
        <v>0</v>
      </c>
      <c r="G12" s="43">
        <f t="shared" si="2"/>
        <v>73</v>
      </c>
      <c r="H12" s="43">
        <f t="shared" si="2"/>
        <v>65</v>
      </c>
      <c r="I12" s="43">
        <f t="shared" si="2"/>
        <v>1033</v>
      </c>
      <c r="J12" s="43">
        <f t="shared" si="2"/>
        <v>1169</v>
      </c>
      <c r="K12" s="43">
        <f t="shared" si="2"/>
        <v>66</v>
      </c>
      <c r="L12" s="43">
        <f t="shared" si="2"/>
        <v>38</v>
      </c>
      <c r="M12" s="43">
        <f t="shared" si="2"/>
        <v>13</v>
      </c>
      <c r="N12" s="43">
        <f t="shared" si="2"/>
        <v>6</v>
      </c>
    </row>
    <row r="13" spans="1:14" s="2" customFormat="1" ht="12.75">
      <c r="A13" s="75"/>
      <c r="B13" s="51" t="s">
        <v>23</v>
      </c>
      <c r="C13" s="51"/>
      <c r="D13" s="74"/>
      <c r="F13" s="52">
        <f>+'Entrate tot e finalizzati'!F13-'Entrate tot e finalizzati'!G13</f>
        <v>0</v>
      </c>
      <c r="G13" s="53">
        <f>+'Entrate tot e finalizzati'!H13-'Entrate tot e finalizzati'!I13</f>
        <v>0</v>
      </c>
      <c r="H13" s="52">
        <f>+'Entrate tot e finalizzati'!J13-'Entrate tot e finalizzati'!K13</f>
        <v>0</v>
      </c>
      <c r="I13" s="52">
        <f>+'Entrate tot e finalizzati'!L13-'Entrate tot e finalizzati'!M13</f>
        <v>1033</v>
      </c>
      <c r="J13" s="53">
        <f>+'Entrate tot e finalizzati'!N13-'Entrate tot e finalizzati'!O13</f>
        <v>1085</v>
      </c>
      <c r="K13" s="53">
        <f>+'Entrate tot e finalizzati'!P13-'Entrate tot e finalizzati'!Q13</f>
        <v>0</v>
      </c>
      <c r="L13" s="53">
        <f>+'Entrate tot e finalizzati'!R13-'Entrate tot e finalizzati'!S13</f>
        <v>0</v>
      </c>
      <c r="M13" s="53">
        <f>+'Entrate tot e finalizzati'!T13-'Entrate tot e finalizzati'!U13</f>
        <v>0</v>
      </c>
      <c r="N13" s="53">
        <f>+'Entrate tot e finalizzati'!V13-'Entrate tot e finalizzati'!W13</f>
        <v>0</v>
      </c>
    </row>
    <row r="14" spans="1:14" s="77" customFormat="1" ht="12.75">
      <c r="A14" s="137"/>
      <c r="B14" s="50" t="s">
        <v>106</v>
      </c>
      <c r="C14" s="50"/>
      <c r="D14" s="72"/>
      <c r="F14" s="52">
        <f>+'Entrate tot e finalizzati'!F14-'Entrate tot e finalizzati'!G14</f>
        <v>0</v>
      </c>
      <c r="G14" s="52">
        <f>+'Entrate tot e finalizzati'!H14-'Entrate tot e finalizzati'!I14</f>
        <v>0</v>
      </c>
      <c r="H14" s="52">
        <f>+'Entrate tot e finalizzati'!J14-'Entrate tot e finalizzati'!K14</f>
        <v>0</v>
      </c>
      <c r="I14" s="52">
        <f>+'Entrate tot e finalizzati'!L14-'Entrate tot e finalizzati'!M14</f>
        <v>0</v>
      </c>
      <c r="J14" s="53">
        <f>+'Entrate tot e finalizzati'!N14-'Entrate tot e finalizzati'!O14</f>
        <v>0</v>
      </c>
      <c r="K14" s="53">
        <f>+'Entrate tot e finalizzati'!P14-'Entrate tot e finalizzati'!Q14</f>
        <v>0</v>
      </c>
      <c r="L14" s="53">
        <f>+'Entrate tot e finalizzati'!R14-'Entrate tot e finalizzati'!S14</f>
        <v>0</v>
      </c>
      <c r="M14" s="53">
        <f>+'Entrate tot e finalizzati'!T14-'Entrate tot e finalizzati'!U14</f>
        <v>0</v>
      </c>
      <c r="N14" s="53">
        <f>+'Entrate tot e finalizzati'!V14-'Entrate tot e finalizzati'!W14</f>
        <v>0</v>
      </c>
    </row>
    <row r="15" spans="1:14" s="77" customFormat="1" ht="12.75">
      <c r="A15" s="137"/>
      <c r="B15" s="7" t="s">
        <v>75</v>
      </c>
      <c r="C15" s="50"/>
      <c r="D15" s="72"/>
      <c r="F15" s="52">
        <f>+'Entrate tot e finalizzati'!F15-'Entrate tot e finalizzati'!G15</f>
        <v>0</v>
      </c>
      <c r="G15" s="52">
        <f>+'Entrate tot e finalizzati'!H15-'Entrate tot e finalizzati'!I15</f>
        <v>0</v>
      </c>
      <c r="H15" s="52">
        <f>+'Entrate tot e finalizzati'!J15-'Entrate tot e finalizzati'!K15</f>
        <v>0</v>
      </c>
      <c r="I15" s="52">
        <f>+'Entrate tot e finalizzati'!L15-'Entrate tot e finalizzati'!M15</f>
        <v>0</v>
      </c>
      <c r="J15" s="53">
        <f>+'Entrate tot e finalizzati'!N15-'Entrate tot e finalizzati'!O15</f>
        <v>0</v>
      </c>
      <c r="K15" s="53">
        <f>+'Entrate tot e finalizzati'!P15-'Entrate tot e finalizzati'!Q15</f>
        <v>0</v>
      </c>
      <c r="L15" s="53">
        <f>+'Entrate tot e finalizzati'!R15-'Entrate tot e finalizzati'!S15</f>
        <v>0</v>
      </c>
      <c r="M15" s="53">
        <f>+'Entrate tot e finalizzati'!T15-'Entrate tot e finalizzati'!U15</f>
        <v>0</v>
      </c>
      <c r="N15" s="53">
        <f>+'Entrate tot e finalizzati'!V15-'Entrate tot e finalizzati'!W15</f>
        <v>0</v>
      </c>
    </row>
    <row r="16" spans="1:14" s="2" customFormat="1" ht="12.75">
      <c r="A16" s="75"/>
      <c r="B16" s="51" t="s">
        <v>25</v>
      </c>
      <c r="C16" s="51"/>
      <c r="D16" s="74"/>
      <c r="F16" s="52">
        <f>+'Entrate tot e finalizzati'!F16-'Entrate tot e finalizzati'!G16</f>
        <v>0</v>
      </c>
      <c r="G16" s="52">
        <f>+'Entrate tot e finalizzati'!H16-'Entrate tot e finalizzati'!I16</f>
        <v>73</v>
      </c>
      <c r="H16" s="52">
        <f>+'Entrate tot e finalizzati'!J16-'Entrate tot e finalizzati'!K16</f>
        <v>65</v>
      </c>
      <c r="I16" s="52">
        <f>+'Entrate tot e finalizzati'!L16-'Entrate tot e finalizzati'!M16</f>
        <v>0</v>
      </c>
      <c r="J16" s="53">
        <f>+'Entrate tot e finalizzati'!N16-'Entrate tot e finalizzati'!O16</f>
        <v>0</v>
      </c>
      <c r="K16" s="53">
        <f>+'Entrate tot e finalizzati'!P16-'Entrate tot e finalizzati'!Q16</f>
        <v>0</v>
      </c>
      <c r="L16" s="53">
        <f>+'Entrate tot e finalizzati'!R16-'Entrate tot e finalizzati'!S16</f>
        <v>0</v>
      </c>
      <c r="M16" s="53">
        <f>+'Entrate tot e finalizzati'!T16-'Entrate tot e finalizzati'!U16</f>
        <v>0</v>
      </c>
      <c r="N16" s="53">
        <f>+'Entrate tot e finalizzati'!V16-'Entrate tot e finalizzati'!W16</f>
        <v>0</v>
      </c>
    </row>
    <row r="17" spans="1:14" s="55" customFormat="1" ht="12.75">
      <c r="A17" s="19"/>
      <c r="B17" s="13" t="s">
        <v>26</v>
      </c>
      <c r="C17" s="13"/>
      <c r="D17" s="20"/>
      <c r="E17"/>
      <c r="F17" s="35">
        <f>+'Entrate tot e finalizzati'!F17-'Entrate tot e finalizzati'!G17</f>
        <v>0</v>
      </c>
      <c r="G17" s="35">
        <f>+'Entrate tot e finalizzati'!H17-'Entrate tot e finalizzati'!I17</f>
        <v>0</v>
      </c>
      <c r="H17" s="35">
        <f>+'Entrate tot e finalizzati'!J17-'Entrate tot e finalizzati'!K17</f>
        <v>0</v>
      </c>
      <c r="I17" s="35">
        <f>+'Entrate tot e finalizzati'!L17-'Entrate tot e finalizzati'!M17</f>
        <v>0</v>
      </c>
      <c r="J17" s="33">
        <f>+'Entrate tot e finalizzati'!N17-'Entrate tot e finalizzati'!O17</f>
        <v>84</v>
      </c>
      <c r="K17" s="33">
        <f>+'Entrate tot e finalizzati'!P17-'Entrate tot e finalizzati'!Q17</f>
        <v>66</v>
      </c>
      <c r="L17" s="33">
        <f>+'Entrate tot e finalizzati'!R17-'Entrate tot e finalizzati'!S17</f>
        <v>38</v>
      </c>
      <c r="M17" s="33">
        <f>+'Entrate tot e finalizzati'!T17-'Entrate tot e finalizzati'!U17</f>
        <v>13</v>
      </c>
      <c r="N17" s="33">
        <f>+'Entrate tot e finalizzati'!V17-'Entrate tot e finalizzati'!W17</f>
        <v>6</v>
      </c>
    </row>
    <row r="18" spans="1:14" s="2" customFormat="1" ht="12.75">
      <c r="A18" s="40" t="s">
        <v>112</v>
      </c>
      <c r="B18" s="41"/>
      <c r="C18" s="41"/>
      <c r="D18" s="42"/>
      <c r="E18" s="45"/>
      <c r="F18" s="43">
        <f aca="true" t="shared" si="3" ref="F18:N18">SUM(F19:F23)</f>
        <v>0</v>
      </c>
      <c r="G18" s="43">
        <f t="shared" si="3"/>
        <v>0</v>
      </c>
      <c r="H18" s="43">
        <f t="shared" si="3"/>
        <v>0</v>
      </c>
      <c r="I18" s="43">
        <f t="shared" si="3"/>
        <v>0</v>
      </c>
      <c r="J18" s="43">
        <f t="shared" si="3"/>
        <v>0</v>
      </c>
      <c r="K18" s="43">
        <f t="shared" si="3"/>
        <v>0</v>
      </c>
      <c r="L18" s="43">
        <f t="shared" si="3"/>
        <v>0</v>
      </c>
      <c r="M18" s="43">
        <f t="shared" si="3"/>
        <v>0</v>
      </c>
      <c r="N18" s="43">
        <f t="shared" si="3"/>
        <v>0</v>
      </c>
    </row>
    <row r="19" spans="1:14" s="55" customFormat="1" ht="12.75">
      <c r="A19" s="12"/>
      <c r="B19" s="51" t="s">
        <v>74</v>
      </c>
      <c r="C19" s="7"/>
      <c r="D19" s="25"/>
      <c r="E19"/>
      <c r="F19" s="35">
        <f>+'Entrate tot e finalizzati'!F19-'Entrate tot e finalizzati'!G19</f>
        <v>0</v>
      </c>
      <c r="G19" s="35">
        <f>+'Entrate tot e finalizzati'!H19-'Entrate tot e finalizzati'!I19</f>
        <v>0</v>
      </c>
      <c r="H19" s="35">
        <f>+'Entrate tot e finalizzati'!J19-'Entrate tot e finalizzati'!K19</f>
        <v>0</v>
      </c>
      <c r="I19" s="35">
        <f>+'Entrate tot e finalizzati'!L19-'Entrate tot e finalizzati'!M19</f>
        <v>0</v>
      </c>
      <c r="J19" s="35">
        <f>+'Entrate tot e finalizzati'!N19-'Entrate tot e finalizzati'!O19</f>
        <v>0</v>
      </c>
      <c r="K19" s="35">
        <f>+'Entrate tot e finalizzati'!P19-'Entrate tot e finalizzati'!Q19</f>
        <v>0</v>
      </c>
      <c r="L19" s="35">
        <f>+'Entrate tot e finalizzati'!R19-'Entrate tot e finalizzati'!S19</f>
        <v>0</v>
      </c>
      <c r="M19" s="35">
        <f>+'Entrate tot e finalizzati'!T19-'Entrate tot e finalizzati'!U19</f>
        <v>0</v>
      </c>
      <c r="N19" s="35">
        <f>+'Entrate tot e finalizzati'!V19-'Entrate tot e finalizzati'!W19</f>
        <v>0</v>
      </c>
    </row>
    <row r="20" spans="1:14" s="55" customFormat="1" ht="12.75">
      <c r="A20" s="12"/>
      <c r="B20" s="7" t="s">
        <v>75</v>
      </c>
      <c r="C20" s="7"/>
      <c r="D20" s="25"/>
      <c r="E20"/>
      <c r="F20" s="35">
        <f>+'Entrate tot e finalizzati'!F20-'Entrate tot e finalizzati'!G20</f>
        <v>0</v>
      </c>
      <c r="G20" s="35">
        <f>+'Entrate tot e finalizzati'!H20-'Entrate tot e finalizzati'!I20</f>
        <v>0</v>
      </c>
      <c r="H20" s="35">
        <f>+'Entrate tot e finalizzati'!J20-'Entrate tot e finalizzati'!K20</f>
        <v>0</v>
      </c>
      <c r="I20" s="35">
        <f>+'Entrate tot e finalizzati'!L20-'Entrate tot e finalizzati'!M20</f>
        <v>0</v>
      </c>
      <c r="J20" s="35">
        <f>+'Entrate tot e finalizzati'!N20-'Entrate tot e finalizzati'!O20</f>
        <v>0</v>
      </c>
      <c r="K20" s="35">
        <f>+'Entrate tot e finalizzati'!P20-'Entrate tot e finalizzati'!Q20</f>
        <v>0</v>
      </c>
      <c r="L20" s="35">
        <f>+'Entrate tot e finalizzati'!R20-'Entrate tot e finalizzati'!S20</f>
        <v>0</v>
      </c>
      <c r="M20" s="35">
        <f>+'Entrate tot e finalizzati'!T20-'Entrate tot e finalizzati'!U20</f>
        <v>0</v>
      </c>
      <c r="N20" s="35">
        <f>+'Entrate tot e finalizzati'!V20-'Entrate tot e finalizzati'!W20</f>
        <v>0</v>
      </c>
    </row>
    <row r="21" spans="1:14" s="55" customFormat="1" ht="12.75">
      <c r="A21" s="12"/>
      <c r="B21" s="51" t="s">
        <v>80</v>
      </c>
      <c r="C21" s="7"/>
      <c r="D21" s="25"/>
      <c r="E21"/>
      <c r="F21" s="35">
        <f>+'Entrate tot e finalizzati'!F21-'Entrate tot e finalizzati'!G21</f>
        <v>0</v>
      </c>
      <c r="G21" s="35">
        <f>+'Entrate tot e finalizzati'!H21-'Entrate tot e finalizzati'!I21</f>
        <v>0</v>
      </c>
      <c r="H21" s="35">
        <f>+'Entrate tot e finalizzati'!J21-'Entrate tot e finalizzati'!K21</f>
        <v>0</v>
      </c>
      <c r="I21" s="35">
        <f>+'Entrate tot e finalizzati'!L21-'Entrate tot e finalizzati'!M21</f>
        <v>0</v>
      </c>
      <c r="J21" s="35">
        <f>+'Entrate tot e finalizzati'!N21-'Entrate tot e finalizzati'!O21</f>
        <v>0</v>
      </c>
      <c r="K21" s="35">
        <f>+'Entrate tot e finalizzati'!P21-'Entrate tot e finalizzati'!Q21</f>
        <v>0</v>
      </c>
      <c r="L21" s="35">
        <f>+'Entrate tot e finalizzati'!R21-'Entrate tot e finalizzati'!S21</f>
        <v>0</v>
      </c>
      <c r="M21" s="35">
        <f>+'Entrate tot e finalizzati'!T21-'Entrate tot e finalizzati'!U21</f>
        <v>0</v>
      </c>
      <c r="N21" s="35">
        <f>+'Entrate tot e finalizzati'!V21-'Entrate tot e finalizzati'!W21</f>
        <v>0</v>
      </c>
    </row>
    <row r="22" spans="1:14" s="55" customFormat="1" ht="12.75">
      <c r="A22" s="12"/>
      <c r="B22" s="50" t="s">
        <v>24</v>
      </c>
      <c r="C22" s="7"/>
      <c r="D22" s="25"/>
      <c r="E22"/>
      <c r="F22" s="35">
        <f>+'Entrate tot e finalizzati'!F22-'Entrate tot e finalizzati'!G22</f>
        <v>0</v>
      </c>
      <c r="G22" s="35">
        <f>+'Entrate tot e finalizzati'!H22-'Entrate tot e finalizzati'!I22</f>
        <v>0</v>
      </c>
      <c r="H22" s="35">
        <f>+'Entrate tot e finalizzati'!J22-'Entrate tot e finalizzati'!K22</f>
        <v>0</v>
      </c>
      <c r="I22" s="35">
        <f>+'Entrate tot e finalizzati'!L22-'Entrate tot e finalizzati'!M22</f>
        <v>0</v>
      </c>
      <c r="J22" s="35">
        <f>+'Entrate tot e finalizzati'!N22-'Entrate tot e finalizzati'!O22</f>
        <v>0</v>
      </c>
      <c r="K22" s="35">
        <f>+'Entrate tot e finalizzati'!P22-'Entrate tot e finalizzati'!Q22</f>
        <v>0</v>
      </c>
      <c r="L22" s="35">
        <f>+'Entrate tot e finalizzati'!R22-'Entrate tot e finalizzati'!S22</f>
        <v>0</v>
      </c>
      <c r="M22" s="35">
        <f>+'Entrate tot e finalizzati'!T22-'Entrate tot e finalizzati'!U22</f>
        <v>0</v>
      </c>
      <c r="N22" s="35">
        <f>+'Entrate tot e finalizzati'!V22-'Entrate tot e finalizzati'!W22</f>
        <v>0</v>
      </c>
    </row>
    <row r="23" spans="1:14" s="55" customFormat="1" ht="12.75">
      <c r="A23" s="24"/>
      <c r="B23" s="82" t="s">
        <v>135</v>
      </c>
      <c r="C23" s="133"/>
      <c r="D23" s="134"/>
      <c r="E23" s="31"/>
      <c r="F23" s="36">
        <f>+'Entrate tot e finalizzati'!F23-'Entrate tot e finalizzati'!G23</f>
        <v>0</v>
      </c>
      <c r="G23" s="36">
        <f>+'Entrate tot e finalizzati'!H23-'Entrate tot e finalizzati'!I23</f>
        <v>0</v>
      </c>
      <c r="H23" s="36">
        <f>+'Entrate tot e finalizzati'!J23-'Entrate tot e finalizzati'!K23</f>
        <v>0</v>
      </c>
      <c r="I23" s="36">
        <f>+'Entrate tot e finalizzati'!L23-'Entrate tot e finalizzati'!M23</f>
        <v>0</v>
      </c>
      <c r="J23" s="36">
        <f>+'Entrate tot e finalizzati'!N23-'Entrate tot e finalizzati'!O23</f>
        <v>0</v>
      </c>
      <c r="K23" s="36">
        <f>+'Entrate tot e finalizzati'!P23-'Entrate tot e finalizzati'!Q23</f>
        <v>0</v>
      </c>
      <c r="L23" s="36">
        <f>+'Entrate tot e finalizzati'!R23-'Entrate tot e finalizzati'!S23</f>
        <v>0</v>
      </c>
      <c r="M23" s="36">
        <f>+'Entrate tot e finalizzati'!T23-'Entrate tot e finalizzati'!U23</f>
        <v>0</v>
      </c>
      <c r="N23" s="36">
        <f>+'Entrate tot e finalizzati'!V23-'Entrate tot e finalizzati'!W23</f>
        <v>0</v>
      </c>
    </row>
    <row r="24" spans="1:14" s="2" customFormat="1" ht="12.75">
      <c r="A24" s="40" t="s">
        <v>94</v>
      </c>
      <c r="B24" s="41"/>
      <c r="C24" s="41"/>
      <c r="D24" s="42"/>
      <c r="E24" s="45"/>
      <c r="F24" s="43">
        <f aca="true" t="shared" si="4" ref="F24:N24">SUM(F25:F25)</f>
        <v>35</v>
      </c>
      <c r="G24" s="43">
        <f t="shared" si="4"/>
        <v>303</v>
      </c>
      <c r="H24" s="43">
        <f t="shared" si="4"/>
        <v>39</v>
      </c>
      <c r="I24" s="43">
        <f t="shared" si="4"/>
        <v>13</v>
      </c>
      <c r="J24" s="43">
        <f t="shared" si="4"/>
        <v>21</v>
      </c>
      <c r="K24" s="43">
        <f t="shared" si="4"/>
        <v>0</v>
      </c>
      <c r="L24" s="43">
        <f t="shared" si="4"/>
        <v>0</v>
      </c>
      <c r="M24" s="43">
        <f t="shared" si="4"/>
        <v>0</v>
      </c>
      <c r="N24" s="43">
        <f t="shared" si="4"/>
        <v>0</v>
      </c>
    </row>
    <row r="25" spans="1:14" s="2" customFormat="1" ht="12.75">
      <c r="A25" s="73"/>
      <c r="B25" s="51" t="s">
        <v>31</v>
      </c>
      <c r="C25" s="51"/>
      <c r="D25" s="74"/>
      <c r="F25" s="35">
        <f>+'Entrate tot e finalizzati'!F25-'Entrate tot e finalizzati'!G25</f>
        <v>35</v>
      </c>
      <c r="G25" s="35">
        <f>+'Entrate tot e finalizzati'!H25-'Entrate tot e finalizzati'!I25</f>
        <v>303</v>
      </c>
      <c r="H25" s="35">
        <f>+'Entrate tot e finalizzati'!J25-'Entrate tot e finalizzati'!K25</f>
        <v>39</v>
      </c>
      <c r="I25" s="35">
        <f>+'Entrate tot e finalizzati'!L25-'Entrate tot e finalizzati'!M25</f>
        <v>13</v>
      </c>
      <c r="J25" s="35">
        <f>+'Entrate tot e finalizzati'!N25-'Entrate tot e finalizzati'!O25</f>
        <v>21</v>
      </c>
      <c r="K25" s="33">
        <f>+'Entrate tot e finalizzati'!P25-'Entrate tot e finalizzati'!Q25</f>
        <v>0</v>
      </c>
      <c r="L25" s="33">
        <f>+'Entrate tot e finalizzati'!R25-'Entrate tot e finalizzati'!S25</f>
        <v>0</v>
      </c>
      <c r="M25" s="33">
        <f>+'Entrate tot e finalizzati'!T25-'Entrate tot e finalizzati'!U25</f>
        <v>0</v>
      </c>
      <c r="N25" s="33">
        <f>+'Entrate tot e finalizzati'!V25-'Entrate tot e finalizzati'!W25</f>
        <v>0</v>
      </c>
    </row>
    <row r="26" spans="1:14" s="2" customFormat="1" ht="12.75">
      <c r="A26" s="40" t="s">
        <v>95</v>
      </c>
      <c r="B26" s="41"/>
      <c r="C26" s="41"/>
      <c r="D26" s="42"/>
      <c r="E26" s="45"/>
      <c r="F26" s="43">
        <f aca="true" t="shared" si="5" ref="F26:N26">SUM(F27:F28)</f>
        <v>38</v>
      </c>
      <c r="G26" s="43">
        <f t="shared" si="5"/>
        <v>16</v>
      </c>
      <c r="H26" s="43">
        <f t="shared" si="5"/>
        <v>38</v>
      </c>
      <c r="I26" s="43">
        <f t="shared" si="5"/>
        <v>33</v>
      </c>
      <c r="J26" s="43">
        <f t="shared" si="5"/>
        <v>60</v>
      </c>
      <c r="K26" s="43">
        <f t="shared" si="5"/>
        <v>63</v>
      </c>
      <c r="L26" s="43">
        <f t="shared" si="5"/>
        <v>36</v>
      </c>
      <c r="M26" s="43">
        <f t="shared" si="5"/>
        <v>36</v>
      </c>
      <c r="N26" s="43">
        <f t="shared" si="5"/>
        <v>37</v>
      </c>
    </row>
    <row r="27" spans="1:14" s="77" customFormat="1" ht="12.75">
      <c r="A27" s="137"/>
      <c r="B27" s="50" t="s">
        <v>28</v>
      </c>
      <c r="C27" s="50"/>
      <c r="D27" s="72"/>
      <c r="F27" s="52">
        <f>+'Entrate tot e finalizzati'!F27-'Entrate tot e finalizzati'!G27</f>
        <v>1</v>
      </c>
      <c r="G27" s="52">
        <f>+'Entrate tot e finalizzati'!H27-'Entrate tot e finalizzati'!I27</f>
        <v>1</v>
      </c>
      <c r="H27" s="52">
        <f>+'Entrate tot e finalizzati'!J27-'Entrate tot e finalizzati'!K27</f>
        <v>0</v>
      </c>
      <c r="I27" s="52">
        <f>+'Entrate tot e finalizzati'!L27-'Entrate tot e finalizzati'!M27</f>
        <v>0</v>
      </c>
      <c r="J27" s="53">
        <f>+'Entrate tot e finalizzati'!N27-'Entrate tot e finalizzati'!O27</f>
        <v>0</v>
      </c>
      <c r="K27" s="53">
        <f>+'Entrate tot e finalizzati'!P27-'Entrate tot e finalizzati'!Q27</f>
        <v>0</v>
      </c>
      <c r="L27" s="53">
        <f>+'Entrate tot e finalizzati'!R27-'Entrate tot e finalizzati'!S27</f>
        <v>0</v>
      </c>
      <c r="M27" s="53">
        <f>+'Entrate tot e finalizzati'!T27-'Entrate tot e finalizzati'!U27</f>
        <v>0</v>
      </c>
      <c r="N27" s="53">
        <f>+'Entrate tot e finalizzati'!V27-'Entrate tot e finalizzati'!W27</f>
        <v>0</v>
      </c>
    </row>
    <row r="28" spans="1:14" s="55" customFormat="1" ht="12.75">
      <c r="A28" s="19"/>
      <c r="B28" s="7" t="s">
        <v>27</v>
      </c>
      <c r="C28" s="7"/>
      <c r="D28" s="20"/>
      <c r="E28"/>
      <c r="F28" s="35">
        <f>+'Entrate tot e finalizzati'!F28-'Entrate tot e finalizzati'!G28</f>
        <v>37</v>
      </c>
      <c r="G28" s="35">
        <f>+'Entrate tot e finalizzati'!H28-'Entrate tot e finalizzati'!I28</f>
        <v>15</v>
      </c>
      <c r="H28" s="35">
        <f>+'Entrate tot e finalizzati'!J28-'Entrate tot e finalizzati'!K28</f>
        <v>38</v>
      </c>
      <c r="I28" s="35">
        <f>+'Entrate tot e finalizzati'!L28-'Entrate tot e finalizzati'!M28</f>
        <v>33</v>
      </c>
      <c r="J28" s="33">
        <f>+'Entrate tot e finalizzati'!N28-'Entrate tot e finalizzati'!O28</f>
        <v>60</v>
      </c>
      <c r="K28" s="33">
        <f>+'Entrate tot e finalizzati'!P28-'Entrate tot e finalizzati'!Q28</f>
        <v>63</v>
      </c>
      <c r="L28" s="33">
        <f>+'Entrate tot e finalizzati'!R28-'Entrate tot e finalizzati'!S28</f>
        <v>36</v>
      </c>
      <c r="M28" s="33">
        <f>+'Entrate tot e finalizzati'!T28-'Entrate tot e finalizzati'!U28</f>
        <v>36</v>
      </c>
      <c r="N28" s="33">
        <f>+'Entrate tot e finalizzati'!V28-'Entrate tot e finalizzati'!W28</f>
        <v>37</v>
      </c>
    </row>
    <row r="29" spans="1:14" s="2" customFormat="1" ht="12.75">
      <c r="A29" s="40" t="s">
        <v>109</v>
      </c>
      <c r="B29" s="41"/>
      <c r="C29" s="41"/>
      <c r="D29" s="42"/>
      <c r="E29" s="45"/>
      <c r="F29" s="43">
        <f aca="true" t="shared" si="6" ref="F29:N29">SUM(F30:F32)</f>
        <v>431</v>
      </c>
      <c r="G29" s="43">
        <f t="shared" si="6"/>
        <v>1053</v>
      </c>
      <c r="H29" s="43">
        <f t="shared" si="6"/>
        <v>1136</v>
      </c>
      <c r="I29" s="43">
        <f t="shared" si="6"/>
        <v>1297</v>
      </c>
      <c r="J29" s="43">
        <f t="shared" si="6"/>
        <v>875</v>
      </c>
      <c r="K29" s="43">
        <f t="shared" si="6"/>
        <v>697</v>
      </c>
      <c r="L29" s="43">
        <f t="shared" si="6"/>
        <v>90</v>
      </c>
      <c r="M29" s="43">
        <f t="shared" si="6"/>
        <v>101</v>
      </c>
      <c r="N29" s="43">
        <f t="shared" si="6"/>
        <v>76</v>
      </c>
    </row>
    <row r="30" spans="1:14" s="2" customFormat="1" ht="12.75">
      <c r="A30" s="73"/>
      <c r="B30" s="51" t="s">
        <v>67</v>
      </c>
      <c r="C30" s="51"/>
      <c r="D30" s="74"/>
      <c r="F30" s="53">
        <f>+'Entrate tot e finalizzati'!F30-'Entrate tot e finalizzati'!G30</f>
        <v>0</v>
      </c>
      <c r="G30" s="53">
        <f>+'Entrate tot e finalizzati'!H30-'Entrate tot e finalizzati'!I30</f>
        <v>0</v>
      </c>
      <c r="H30" s="53">
        <f>+'Entrate tot e finalizzati'!J30-'Entrate tot e finalizzati'!K30</f>
        <v>0</v>
      </c>
      <c r="I30" s="53">
        <f>+'Entrate tot e finalizzati'!L30-'Entrate tot e finalizzati'!M30</f>
        <v>0</v>
      </c>
      <c r="J30" s="53">
        <f>+'Entrate tot e finalizzati'!N30-'Entrate tot e finalizzati'!O30</f>
        <v>0</v>
      </c>
      <c r="K30" s="53">
        <f>+'Entrate tot e finalizzati'!P30-'Entrate tot e finalizzati'!Q30</f>
        <v>51</v>
      </c>
      <c r="L30" s="53">
        <f>+'Entrate tot e finalizzati'!R30-'Entrate tot e finalizzati'!S30</f>
        <v>54</v>
      </c>
      <c r="M30" s="53">
        <f>+'Entrate tot e finalizzati'!T30-'Entrate tot e finalizzati'!U30</f>
        <v>76</v>
      </c>
      <c r="N30" s="53">
        <f>+'Entrate tot e finalizzati'!V30-'Entrate tot e finalizzati'!W30</f>
        <v>56</v>
      </c>
    </row>
    <row r="31" spans="1:14" s="2" customFormat="1" ht="12.75">
      <c r="A31" s="73"/>
      <c r="B31" s="51" t="s">
        <v>31</v>
      </c>
      <c r="C31" s="51"/>
      <c r="D31" s="74"/>
      <c r="F31" s="35">
        <f>+'Entrate tot e finalizzati'!F31-'Entrate tot e finalizzati'!G31</f>
        <v>156</v>
      </c>
      <c r="G31" s="35">
        <f>+'Entrate tot e finalizzati'!H31-'Entrate tot e finalizzati'!I31</f>
        <v>212</v>
      </c>
      <c r="H31" s="35">
        <f>+'Entrate tot e finalizzati'!J31-'Entrate tot e finalizzati'!K31</f>
        <v>722</v>
      </c>
      <c r="I31" s="35">
        <f>+'Entrate tot e finalizzati'!L31-'Entrate tot e finalizzati'!M31</f>
        <v>771</v>
      </c>
      <c r="J31" s="35">
        <f>+'Entrate tot e finalizzati'!N31-'Entrate tot e finalizzati'!O31</f>
        <v>575</v>
      </c>
      <c r="K31" s="35">
        <f>+'Entrate tot e finalizzati'!P31-'Entrate tot e finalizzati'!Q31</f>
        <v>646</v>
      </c>
      <c r="L31" s="35">
        <f>+'Entrate tot e finalizzati'!R31-'Entrate tot e finalizzati'!S31</f>
        <v>36</v>
      </c>
      <c r="M31" s="35">
        <f>+'Entrate tot e finalizzati'!T31-'Entrate tot e finalizzati'!U31</f>
        <v>25</v>
      </c>
      <c r="N31" s="35">
        <f>+'Entrate tot e finalizzati'!V31-'Entrate tot e finalizzati'!W31</f>
        <v>20</v>
      </c>
    </row>
    <row r="32" spans="1:14" s="2" customFormat="1" ht="12.75">
      <c r="A32" s="81"/>
      <c r="B32" s="82" t="s">
        <v>23</v>
      </c>
      <c r="C32" s="82"/>
      <c r="D32" s="83"/>
      <c r="F32" s="53">
        <f>+'Entrate tot e finalizzati'!F32-'Entrate tot e finalizzati'!G32</f>
        <v>275</v>
      </c>
      <c r="G32" s="53">
        <f>+'Entrate tot e finalizzati'!H32-'Entrate tot e finalizzati'!I32</f>
        <v>841</v>
      </c>
      <c r="H32" s="53">
        <f>+'Entrate tot e finalizzati'!J32-'Entrate tot e finalizzati'!K32</f>
        <v>414</v>
      </c>
      <c r="I32" s="53">
        <f>+'Entrate tot e finalizzati'!L32-'Entrate tot e finalizzati'!M32</f>
        <v>526</v>
      </c>
      <c r="J32" s="53">
        <f>+'Entrate tot e finalizzati'!N32-'Entrate tot e finalizzati'!O32</f>
        <v>300</v>
      </c>
      <c r="K32" s="53">
        <f>+'Entrate tot e finalizzati'!P32-'Entrate tot e finalizzati'!Q32</f>
        <v>0</v>
      </c>
      <c r="L32" s="53">
        <f>+'Entrate tot e finalizzati'!R32-'Entrate tot e finalizzati'!S32</f>
        <v>0</v>
      </c>
      <c r="M32" s="53">
        <f>+'Entrate tot e finalizzati'!T32-'Entrate tot e finalizzati'!U32</f>
        <v>0</v>
      </c>
      <c r="N32" s="53">
        <f>+'Entrate tot e finalizzati'!V32-'Entrate tot e finalizzati'!W32</f>
        <v>0</v>
      </c>
    </row>
    <row r="33" spans="1:14" s="2" customFormat="1" ht="12.75">
      <c r="A33" s="120" t="s">
        <v>1</v>
      </c>
      <c r="B33" s="121"/>
      <c r="C33" s="121"/>
      <c r="D33" s="122"/>
      <c r="E33" s="45"/>
      <c r="F33" s="47">
        <f aca="true" t="shared" si="7" ref="F33:N33">SUM(F34:F40)</f>
        <v>3861</v>
      </c>
      <c r="G33" s="47">
        <f t="shared" si="7"/>
        <v>3460</v>
      </c>
      <c r="H33" s="47">
        <f t="shared" si="7"/>
        <v>6386</v>
      </c>
      <c r="I33" s="47">
        <f t="shared" si="7"/>
        <v>6046</v>
      </c>
      <c r="J33" s="47">
        <f t="shared" si="7"/>
        <v>6072</v>
      </c>
      <c r="K33" s="47">
        <f t="shared" si="7"/>
        <v>3931</v>
      </c>
      <c r="L33" s="47">
        <f t="shared" si="7"/>
        <v>7952</v>
      </c>
      <c r="M33" s="47">
        <f t="shared" si="7"/>
        <v>7792</v>
      </c>
      <c r="N33" s="47">
        <f t="shared" si="7"/>
        <v>7492</v>
      </c>
    </row>
    <row r="34" spans="1:14" s="2" customFormat="1" ht="12.75">
      <c r="A34" s="69"/>
      <c r="B34" s="51" t="s">
        <v>26</v>
      </c>
      <c r="C34" s="51"/>
      <c r="D34" s="70"/>
      <c r="F34" s="52">
        <f>+'Entrate tot e finalizzati'!F34-'Entrate tot e finalizzati'!G34</f>
        <v>65</v>
      </c>
      <c r="G34" s="53">
        <f>+'Entrate tot e finalizzati'!H34-'Entrate tot e finalizzati'!I34</f>
        <v>100</v>
      </c>
      <c r="H34" s="52">
        <f>+'Entrate tot e finalizzati'!J34-'Entrate tot e finalizzati'!K34</f>
        <v>113</v>
      </c>
      <c r="I34" s="52">
        <f>+'Entrate tot e finalizzati'!L34-'Entrate tot e finalizzati'!M34</f>
        <v>40</v>
      </c>
      <c r="J34" s="53">
        <f>+'Entrate tot e finalizzati'!N34-'Entrate tot e finalizzati'!O34</f>
        <v>719</v>
      </c>
      <c r="K34" s="53">
        <f>+'Entrate tot e finalizzati'!P34-'Entrate tot e finalizzati'!Q34</f>
        <v>23</v>
      </c>
      <c r="L34" s="53">
        <f>+'Entrate tot e finalizzati'!R34-'Entrate tot e finalizzati'!S34</f>
        <v>14</v>
      </c>
      <c r="M34" s="53">
        <f>+'Entrate tot e finalizzati'!T34-'Entrate tot e finalizzati'!U34</f>
        <v>14</v>
      </c>
      <c r="N34" s="53">
        <f>+'Entrate tot e finalizzati'!V34-'Entrate tot e finalizzati'!W34</f>
        <v>23</v>
      </c>
    </row>
    <row r="35" spans="1:14" s="2" customFormat="1" ht="12.75">
      <c r="A35" s="22"/>
      <c r="B35" s="13" t="s">
        <v>31</v>
      </c>
      <c r="C35" s="13"/>
      <c r="D35" s="14"/>
      <c r="E35"/>
      <c r="F35" s="35">
        <f>+'Entrate tot e finalizzati'!F35-'Entrate tot e finalizzati'!G35</f>
        <v>1499</v>
      </c>
      <c r="G35" s="35">
        <f>+'Entrate tot e finalizzati'!H35-'Entrate tot e finalizzati'!I35</f>
        <v>123</v>
      </c>
      <c r="H35" s="35">
        <f>+'Entrate tot e finalizzati'!J35-'Entrate tot e finalizzati'!K35</f>
        <v>3046</v>
      </c>
      <c r="I35" s="35">
        <f>+'Entrate tot e finalizzati'!L35-'Entrate tot e finalizzati'!M35</f>
        <v>2690</v>
      </c>
      <c r="J35" s="33">
        <f>+'Entrate tot e finalizzati'!N35-'Entrate tot e finalizzati'!O35</f>
        <v>2031</v>
      </c>
      <c r="K35" s="33">
        <f>+'Entrate tot e finalizzati'!P35-'Entrate tot e finalizzati'!Q35</f>
        <v>593</v>
      </c>
      <c r="L35" s="33">
        <f>+'Entrate tot e finalizzati'!R35-'Entrate tot e finalizzati'!S35</f>
        <v>749</v>
      </c>
      <c r="M35" s="33">
        <f>+'Entrate tot e finalizzati'!T35-'Entrate tot e finalizzati'!U35</f>
        <v>874</v>
      </c>
      <c r="N35" s="33">
        <f>+'Entrate tot e finalizzati'!V35-'Entrate tot e finalizzati'!W35</f>
        <v>1332</v>
      </c>
    </row>
    <row r="36" spans="1:14" s="2" customFormat="1" ht="12.75">
      <c r="A36" s="22"/>
      <c r="B36" s="51" t="s">
        <v>40</v>
      </c>
      <c r="C36" s="51"/>
      <c r="D36" s="14"/>
      <c r="E36"/>
      <c r="F36" s="35">
        <f>+'Entrate tot e finalizzati'!F36-'Entrate tot e finalizzati'!G36</f>
        <v>120</v>
      </c>
      <c r="G36" s="35">
        <f>+'Entrate tot e finalizzati'!H36-'Entrate tot e finalizzati'!I36</f>
        <v>129</v>
      </c>
      <c r="H36" s="35">
        <f>+'Entrate tot e finalizzati'!J36-'Entrate tot e finalizzati'!K36</f>
        <v>119</v>
      </c>
      <c r="I36" s="35">
        <f>+'Entrate tot e finalizzati'!L36-'Entrate tot e finalizzati'!M36</f>
        <v>144</v>
      </c>
      <c r="J36" s="33">
        <f>+'Entrate tot e finalizzati'!N36-'Entrate tot e finalizzati'!O36</f>
        <v>130</v>
      </c>
      <c r="K36" s="33">
        <f>+'Entrate tot e finalizzati'!P36-'Entrate tot e finalizzati'!Q36</f>
        <v>123</v>
      </c>
      <c r="L36" s="33">
        <f>+'Entrate tot e finalizzati'!R36-'Entrate tot e finalizzati'!S36</f>
        <v>120</v>
      </c>
      <c r="M36" s="33">
        <f>+'Entrate tot e finalizzati'!T36-'Entrate tot e finalizzati'!U36</f>
        <v>0</v>
      </c>
      <c r="N36" s="33">
        <f>+'Entrate tot e finalizzati'!V36-'Entrate tot e finalizzati'!W36</f>
        <v>0</v>
      </c>
    </row>
    <row r="37" spans="1:14" s="2" customFormat="1" ht="12.75">
      <c r="A37" s="22"/>
      <c r="B37" s="51" t="s">
        <v>25</v>
      </c>
      <c r="C37" s="51"/>
      <c r="D37" s="14"/>
      <c r="E37"/>
      <c r="F37" s="35">
        <f>+'Entrate tot e finalizzati'!F37-'Entrate tot e finalizzati'!G37</f>
        <v>62</v>
      </c>
      <c r="G37" s="35">
        <f>+'Entrate tot e finalizzati'!H37-'Entrate tot e finalizzati'!I37</f>
        <v>0</v>
      </c>
      <c r="H37" s="35">
        <f>+'Entrate tot e finalizzati'!J37-'Entrate tot e finalizzati'!K37</f>
        <v>0</v>
      </c>
      <c r="I37" s="35">
        <f>+'Entrate tot e finalizzati'!L37-'Entrate tot e finalizzati'!M37</f>
        <v>0</v>
      </c>
      <c r="J37" s="33">
        <f>+'Entrate tot e finalizzati'!N37-'Entrate tot e finalizzati'!O37</f>
        <v>0</v>
      </c>
      <c r="K37" s="33">
        <f>+'Entrate tot e finalizzati'!P37-'Entrate tot e finalizzati'!Q37</f>
        <v>0</v>
      </c>
      <c r="L37" s="33">
        <f>+'Entrate tot e finalizzati'!R37-'Entrate tot e finalizzati'!S37</f>
        <v>0</v>
      </c>
      <c r="M37" s="33">
        <f>+'Entrate tot e finalizzati'!T37-'Entrate tot e finalizzati'!U37</f>
        <v>0</v>
      </c>
      <c r="N37" s="33">
        <f>+'Entrate tot e finalizzati'!V37-'Entrate tot e finalizzati'!W37</f>
        <v>0</v>
      </c>
    </row>
    <row r="38" spans="1:14" s="2" customFormat="1" ht="12.75">
      <c r="A38" s="22"/>
      <c r="B38" s="51" t="s">
        <v>80</v>
      </c>
      <c r="C38" s="51"/>
      <c r="D38" s="14"/>
      <c r="E38"/>
      <c r="F38" s="35">
        <f>+'Entrate tot e finalizzati'!F38-'Entrate tot e finalizzati'!G38</f>
        <v>0</v>
      </c>
      <c r="G38" s="35">
        <f>+'Entrate tot e finalizzati'!H38-'Entrate tot e finalizzati'!I38</f>
        <v>0</v>
      </c>
      <c r="H38" s="35">
        <f>+'Entrate tot e finalizzati'!J38-'Entrate tot e finalizzati'!K38</f>
        <v>0</v>
      </c>
      <c r="I38" s="35">
        <f>+'Entrate tot e finalizzati'!L38-'Entrate tot e finalizzati'!M38</f>
        <v>0</v>
      </c>
      <c r="J38" s="33">
        <f>+'Entrate tot e finalizzati'!N38-'Entrate tot e finalizzati'!O38</f>
        <v>0</v>
      </c>
      <c r="K38" s="33">
        <f>+'Entrate tot e finalizzati'!P38-'Entrate tot e finalizzati'!Q38</f>
        <v>0</v>
      </c>
      <c r="L38" s="33">
        <f>+'Entrate tot e finalizzati'!R38-'Entrate tot e finalizzati'!S38</f>
        <v>0</v>
      </c>
      <c r="M38" s="33">
        <f>+'Entrate tot e finalizzati'!T38-'Entrate tot e finalizzati'!U38</f>
        <v>382</v>
      </c>
      <c r="N38" s="33">
        <f>+'Entrate tot e finalizzati'!V38-'Entrate tot e finalizzati'!W38</f>
        <v>0</v>
      </c>
    </row>
    <row r="39" spans="1:14" s="2" customFormat="1" ht="12.75">
      <c r="A39" s="22"/>
      <c r="B39" s="13" t="s">
        <v>44</v>
      </c>
      <c r="C39" s="51"/>
      <c r="D39" s="14"/>
      <c r="E39"/>
      <c r="F39" s="35">
        <f>+'Entrate tot e finalizzati'!F39-'Entrate tot e finalizzati'!G39</f>
        <v>0</v>
      </c>
      <c r="G39" s="35">
        <f>+'Entrate tot e finalizzati'!H39-'Entrate tot e finalizzati'!I39</f>
        <v>0</v>
      </c>
      <c r="H39" s="35">
        <f>+'Entrate tot e finalizzati'!J39-'Entrate tot e finalizzati'!K39</f>
        <v>0</v>
      </c>
      <c r="I39" s="35">
        <f>+'Entrate tot e finalizzati'!L39-'Entrate tot e finalizzati'!M39</f>
        <v>0</v>
      </c>
      <c r="J39" s="33">
        <f>+'Entrate tot e finalizzati'!N39-'Entrate tot e finalizzati'!O39</f>
        <v>0</v>
      </c>
      <c r="K39" s="33">
        <f>+'Entrate tot e finalizzati'!P39-'Entrate tot e finalizzati'!Q39</f>
        <v>0</v>
      </c>
      <c r="L39" s="33">
        <f>+'Entrate tot e finalizzati'!R39-'Entrate tot e finalizzati'!S39</f>
        <v>0</v>
      </c>
      <c r="M39" s="33">
        <f>+'Entrate tot e finalizzati'!T39-'Entrate tot e finalizzati'!U39</f>
        <v>0</v>
      </c>
      <c r="N39" s="33">
        <f>+'Entrate tot e finalizzati'!V39-'Entrate tot e finalizzati'!W39</f>
        <v>1004</v>
      </c>
    </row>
    <row r="40" spans="1:14" s="2" customFormat="1" ht="12.75">
      <c r="A40" s="22"/>
      <c r="B40" s="51" t="s">
        <v>74</v>
      </c>
      <c r="C40" s="51"/>
      <c r="D40" s="14"/>
      <c r="E40"/>
      <c r="F40" s="36">
        <f>+'Entrate tot e finalizzati'!F40-'Entrate tot e finalizzati'!G40</f>
        <v>2115</v>
      </c>
      <c r="G40" s="36">
        <f>+'Entrate tot e finalizzati'!H40-'Entrate tot e finalizzati'!I40</f>
        <v>3108</v>
      </c>
      <c r="H40" s="36">
        <f>+'Entrate tot e finalizzati'!J40-'Entrate tot e finalizzati'!K40</f>
        <v>3108</v>
      </c>
      <c r="I40" s="36">
        <f>+'Entrate tot e finalizzati'!L40-'Entrate tot e finalizzati'!M40</f>
        <v>3172</v>
      </c>
      <c r="J40" s="34">
        <f>+'Entrate tot e finalizzati'!N40-'Entrate tot e finalizzati'!O40</f>
        <v>3192</v>
      </c>
      <c r="K40" s="34">
        <f>+'Entrate tot e finalizzati'!P40-'Entrate tot e finalizzati'!Q40</f>
        <v>3192</v>
      </c>
      <c r="L40" s="34">
        <f>+'Entrate tot e finalizzati'!R40-'Entrate tot e finalizzati'!S40</f>
        <v>7069</v>
      </c>
      <c r="M40" s="34">
        <f>+'Entrate tot e finalizzati'!T40-'Entrate tot e finalizzati'!U40</f>
        <v>6522</v>
      </c>
      <c r="N40" s="34">
        <f>+'Entrate tot e finalizzati'!V40-'Entrate tot e finalizzati'!W40</f>
        <v>5133</v>
      </c>
    </row>
    <row r="41" spans="1:14" s="2" customFormat="1" ht="12.75">
      <c r="A41" s="40" t="s">
        <v>2</v>
      </c>
      <c r="B41" s="41"/>
      <c r="C41" s="41"/>
      <c r="D41" s="42"/>
      <c r="E41" s="45"/>
      <c r="F41" s="49">
        <f aca="true" t="shared" si="8" ref="F41:N41">SUM(F42:F44)</f>
        <v>1385</v>
      </c>
      <c r="G41" s="49">
        <f t="shared" si="8"/>
        <v>1907</v>
      </c>
      <c r="H41" s="49">
        <f t="shared" si="8"/>
        <v>1578</v>
      </c>
      <c r="I41" s="49">
        <f t="shared" si="8"/>
        <v>2119</v>
      </c>
      <c r="J41" s="49">
        <f t="shared" si="8"/>
        <v>1211</v>
      </c>
      <c r="K41" s="49">
        <f t="shared" si="8"/>
        <v>1428</v>
      </c>
      <c r="L41" s="49">
        <f t="shared" si="8"/>
        <v>1133</v>
      </c>
      <c r="M41" s="49">
        <f t="shared" si="8"/>
        <v>1750</v>
      </c>
      <c r="N41" s="49">
        <f t="shared" si="8"/>
        <v>2017</v>
      </c>
    </row>
    <row r="42" spans="1:14" s="2" customFormat="1" ht="12.75">
      <c r="A42" s="73"/>
      <c r="B42" s="13" t="s">
        <v>31</v>
      </c>
      <c r="C42" s="13"/>
      <c r="D42" s="74"/>
      <c r="F42" s="52">
        <f>+'Entrate tot e finalizzati'!F42-'Entrate tot e finalizzati'!G42</f>
        <v>1380</v>
      </c>
      <c r="G42" s="53">
        <f>+'Entrate tot e finalizzati'!H42-'Entrate tot e finalizzati'!I42</f>
        <v>1901</v>
      </c>
      <c r="H42" s="52">
        <f>+'Entrate tot e finalizzati'!J42-'Entrate tot e finalizzati'!K42</f>
        <v>1576</v>
      </c>
      <c r="I42" s="52">
        <f>+'Entrate tot e finalizzati'!L42-'Entrate tot e finalizzati'!M42</f>
        <v>2097</v>
      </c>
      <c r="J42" s="52">
        <f>+'Entrate tot e finalizzati'!N42-'Entrate tot e finalizzati'!O42</f>
        <v>1206</v>
      </c>
      <c r="K42" s="52">
        <f>+'Entrate tot e finalizzati'!P42-'Entrate tot e finalizzati'!Q42</f>
        <v>1421</v>
      </c>
      <c r="L42" s="52">
        <f>+'Entrate tot e finalizzati'!R42-'Entrate tot e finalizzati'!S42</f>
        <v>1114</v>
      </c>
      <c r="M42" s="52">
        <f>+'Entrate tot e finalizzati'!T42-'Entrate tot e finalizzati'!U42</f>
        <v>1750</v>
      </c>
      <c r="N42" s="52">
        <f>+'Entrate tot e finalizzati'!V42-'Entrate tot e finalizzati'!W42</f>
        <v>2017</v>
      </c>
    </row>
    <row r="43" spans="1:14" s="2" customFormat="1" ht="12.75">
      <c r="A43" s="73"/>
      <c r="B43" s="51" t="s">
        <v>26</v>
      </c>
      <c r="C43" s="51"/>
      <c r="D43" s="74"/>
      <c r="F43" s="52">
        <f>+'Entrate tot e finalizzati'!F43-'Entrate tot e finalizzati'!G43</f>
        <v>5</v>
      </c>
      <c r="G43" s="52">
        <f>+'Entrate tot e finalizzati'!H43-'Entrate tot e finalizzati'!I43</f>
        <v>6</v>
      </c>
      <c r="H43" s="52">
        <f>+'Entrate tot e finalizzati'!J43-'Entrate tot e finalizzati'!K43</f>
        <v>2</v>
      </c>
      <c r="I43" s="52">
        <f>+'Entrate tot e finalizzati'!L43-'Entrate tot e finalizzati'!M43</f>
        <v>22</v>
      </c>
      <c r="J43" s="52">
        <f>+'Entrate tot e finalizzati'!N43-'Entrate tot e finalizzati'!O43</f>
        <v>5</v>
      </c>
      <c r="K43" s="52">
        <f>+'Entrate tot e finalizzati'!P43-'Entrate tot e finalizzati'!Q43</f>
        <v>7</v>
      </c>
      <c r="L43" s="52">
        <f>+'Entrate tot e finalizzati'!R43-'Entrate tot e finalizzati'!S43</f>
        <v>19</v>
      </c>
      <c r="M43" s="52">
        <f>+'Entrate tot e finalizzati'!T43-'Entrate tot e finalizzati'!U43</f>
        <v>0</v>
      </c>
      <c r="N43" s="52">
        <f>+'Entrate tot e finalizzati'!V43-'Entrate tot e finalizzati'!W43</f>
        <v>0</v>
      </c>
    </row>
    <row r="44" spans="1:14" s="2" customFormat="1" ht="12.75">
      <c r="A44" s="81"/>
      <c r="B44" s="82" t="s">
        <v>80</v>
      </c>
      <c r="C44" s="82"/>
      <c r="D44" s="83"/>
      <c r="E44" s="85"/>
      <c r="F44" s="95">
        <f>+'Entrate tot e finalizzati'!F44-'Entrate tot e finalizzati'!G44</f>
        <v>0</v>
      </c>
      <c r="G44" s="95">
        <f>+'Entrate tot e finalizzati'!H44-'Entrate tot e finalizzati'!I44</f>
        <v>0</v>
      </c>
      <c r="H44" s="95">
        <f>+'Entrate tot e finalizzati'!J44-'Entrate tot e finalizzati'!K44</f>
        <v>0</v>
      </c>
      <c r="I44" s="95">
        <f>+'Entrate tot e finalizzati'!L44-'Entrate tot e finalizzati'!M44</f>
        <v>0</v>
      </c>
      <c r="J44" s="95">
        <f>+'Entrate tot e finalizzati'!N44-'Entrate tot e finalizzati'!O44</f>
        <v>0</v>
      </c>
      <c r="K44" s="95">
        <f>+'Entrate tot e finalizzati'!P44-'Entrate tot e finalizzati'!Q44</f>
        <v>0</v>
      </c>
      <c r="L44" s="95">
        <f>+'Entrate tot e finalizzati'!R44-'Entrate tot e finalizzati'!S44</f>
        <v>0</v>
      </c>
      <c r="M44" s="95">
        <f>+'Entrate tot e finalizzati'!T44-'Entrate tot e finalizzati'!U44</f>
        <v>0</v>
      </c>
      <c r="N44" s="95">
        <f>+'Entrate tot e finalizzati'!V44-'Entrate tot e finalizzati'!W44</f>
        <v>0</v>
      </c>
    </row>
    <row r="45" spans="1:14" s="2" customFormat="1" ht="12.75">
      <c r="A45" s="120" t="s">
        <v>96</v>
      </c>
      <c r="B45" s="121"/>
      <c r="C45" s="121"/>
      <c r="D45" s="122"/>
      <c r="E45" s="45"/>
      <c r="F45" s="49">
        <f aca="true" t="shared" si="9" ref="F45:N45">SUM(F46:F51)</f>
        <v>484</v>
      </c>
      <c r="G45" s="49">
        <f t="shared" si="9"/>
        <v>327</v>
      </c>
      <c r="H45" s="49">
        <f t="shared" si="9"/>
        <v>427</v>
      </c>
      <c r="I45" s="49">
        <f t="shared" si="9"/>
        <v>288</v>
      </c>
      <c r="J45" s="49">
        <f t="shared" si="9"/>
        <v>141</v>
      </c>
      <c r="K45" s="49">
        <f t="shared" si="9"/>
        <v>94</v>
      </c>
      <c r="L45" s="49">
        <f t="shared" si="9"/>
        <v>114</v>
      </c>
      <c r="M45" s="49">
        <f t="shared" si="9"/>
        <v>101</v>
      </c>
      <c r="N45" s="49">
        <f t="shared" si="9"/>
        <v>81</v>
      </c>
    </row>
    <row r="46" spans="1:14" s="55" customFormat="1" ht="12.75">
      <c r="A46" s="73"/>
      <c r="B46" s="51" t="s">
        <v>60</v>
      </c>
      <c r="C46" s="51"/>
      <c r="D46" s="74"/>
      <c r="E46" s="2"/>
      <c r="F46" s="52">
        <f>+'Entrate tot e finalizzati'!F46-'Entrate tot e finalizzati'!G46</f>
        <v>210</v>
      </c>
      <c r="G46" s="53">
        <f>+'Entrate tot e finalizzati'!H46-'Entrate tot e finalizzati'!I46</f>
        <v>204</v>
      </c>
      <c r="H46" s="52">
        <f>+'Entrate tot e finalizzati'!J46-'Entrate tot e finalizzati'!K46</f>
        <v>193</v>
      </c>
      <c r="I46" s="52">
        <f>+'Entrate tot e finalizzati'!L46-'Entrate tot e finalizzati'!M46</f>
        <v>190</v>
      </c>
      <c r="J46" s="52">
        <f>+'Entrate tot e finalizzati'!N46-'Entrate tot e finalizzati'!O46</f>
        <v>38</v>
      </c>
      <c r="K46" s="52">
        <f>+'Entrate tot e finalizzati'!P46-'Entrate tot e finalizzati'!Q46</f>
        <v>8</v>
      </c>
      <c r="L46" s="52">
        <f>+'Entrate tot e finalizzati'!R46-'Entrate tot e finalizzati'!S46</f>
        <v>2</v>
      </c>
      <c r="M46" s="52">
        <f>+'Entrate tot e finalizzati'!T46-'Entrate tot e finalizzati'!U46</f>
        <v>7</v>
      </c>
      <c r="N46" s="52">
        <f>+'Entrate tot e finalizzati'!V46-'Entrate tot e finalizzati'!W46</f>
        <v>3</v>
      </c>
    </row>
    <row r="47" spans="1:14" s="55" customFormat="1" ht="12.75">
      <c r="A47" s="73"/>
      <c r="B47" s="51" t="s">
        <v>61</v>
      </c>
      <c r="C47" s="51"/>
      <c r="D47" s="74"/>
      <c r="E47" s="2"/>
      <c r="F47" s="52">
        <f>+'Entrate tot e finalizzati'!F47-'Entrate tot e finalizzati'!G47</f>
        <v>274</v>
      </c>
      <c r="G47" s="53">
        <f>+'Entrate tot e finalizzati'!H47-'Entrate tot e finalizzati'!I47</f>
        <v>123</v>
      </c>
      <c r="H47" s="52">
        <f>+'Entrate tot e finalizzati'!J47-'Entrate tot e finalizzati'!K47</f>
        <v>234</v>
      </c>
      <c r="I47" s="52">
        <f>+'Entrate tot e finalizzati'!L47-'Entrate tot e finalizzati'!M47</f>
        <v>98</v>
      </c>
      <c r="J47" s="52">
        <f>+'Entrate tot e finalizzati'!N47-'Entrate tot e finalizzati'!O47</f>
        <v>103</v>
      </c>
      <c r="K47" s="52">
        <f>+'Entrate tot e finalizzati'!P47-'Entrate tot e finalizzati'!Q47</f>
        <v>86</v>
      </c>
      <c r="L47" s="52">
        <f>+'Entrate tot e finalizzati'!R47-'Entrate tot e finalizzati'!S47</f>
        <v>112</v>
      </c>
      <c r="M47" s="52">
        <f>+'Entrate tot e finalizzati'!T47-'Entrate tot e finalizzati'!U47</f>
        <v>94</v>
      </c>
      <c r="N47" s="52">
        <f>+'Entrate tot e finalizzati'!V47-'Entrate tot e finalizzati'!W47</f>
        <v>78</v>
      </c>
    </row>
    <row r="48" spans="1:14" s="55" customFormat="1" ht="12.75">
      <c r="A48" s="73"/>
      <c r="B48" s="13" t="s">
        <v>73</v>
      </c>
      <c r="C48" s="51"/>
      <c r="D48" s="74"/>
      <c r="E48" s="2"/>
      <c r="F48" s="52">
        <f>+'Entrate tot e finalizzati'!F48-'Entrate tot e finalizzati'!G48</f>
        <v>0</v>
      </c>
      <c r="G48" s="53">
        <f>+'Entrate tot e finalizzati'!H48-'Entrate tot e finalizzati'!I48</f>
        <v>0</v>
      </c>
      <c r="H48" s="52">
        <f>+'Entrate tot e finalizzati'!J48-'Entrate tot e finalizzati'!K48</f>
        <v>0</v>
      </c>
      <c r="I48" s="52">
        <f>+'Entrate tot e finalizzati'!L48-'Entrate tot e finalizzati'!M48</f>
        <v>0</v>
      </c>
      <c r="J48" s="52">
        <f>+'Entrate tot e finalizzati'!N48-'Entrate tot e finalizzati'!O48</f>
        <v>0</v>
      </c>
      <c r="K48" s="52">
        <f>+'Entrate tot e finalizzati'!P48-'Entrate tot e finalizzati'!Q48</f>
        <v>0</v>
      </c>
      <c r="L48" s="52">
        <f>+'Entrate tot e finalizzati'!R48-'Entrate tot e finalizzati'!S48</f>
        <v>0</v>
      </c>
      <c r="M48" s="52">
        <f>+'Entrate tot e finalizzati'!T48-'Entrate tot e finalizzati'!U48</f>
        <v>0</v>
      </c>
      <c r="N48" s="52">
        <f>+'Entrate tot e finalizzati'!V48-'Entrate tot e finalizzati'!W48</f>
        <v>0</v>
      </c>
    </row>
    <row r="49" spans="1:14" s="55" customFormat="1" ht="12.75">
      <c r="A49" s="73"/>
      <c r="B49" s="51" t="s">
        <v>23</v>
      </c>
      <c r="C49" s="51"/>
      <c r="D49" s="74"/>
      <c r="E49" s="2"/>
      <c r="F49" s="52">
        <f>+'Entrate tot e finalizzati'!F49-'Entrate tot e finalizzati'!G49</f>
        <v>0</v>
      </c>
      <c r="G49" s="53">
        <f>+'Entrate tot e finalizzati'!H49-'Entrate tot e finalizzati'!I49</f>
        <v>0</v>
      </c>
      <c r="H49" s="52">
        <f>+'Entrate tot e finalizzati'!J49-'Entrate tot e finalizzati'!K49</f>
        <v>0</v>
      </c>
      <c r="I49" s="52">
        <f>+'Entrate tot e finalizzati'!L49-'Entrate tot e finalizzati'!M49</f>
        <v>0</v>
      </c>
      <c r="J49" s="52">
        <f>+'Entrate tot e finalizzati'!N49-'Entrate tot e finalizzati'!O49</f>
        <v>0</v>
      </c>
      <c r="K49" s="52">
        <f>+'Entrate tot e finalizzati'!P49-'Entrate tot e finalizzati'!Q49</f>
        <v>0</v>
      </c>
      <c r="L49" s="52">
        <f>+'Entrate tot e finalizzati'!R49-'Entrate tot e finalizzati'!S49</f>
        <v>0</v>
      </c>
      <c r="M49" s="52">
        <f>+'Entrate tot e finalizzati'!T49-'Entrate tot e finalizzati'!U49</f>
        <v>0</v>
      </c>
      <c r="N49" s="52">
        <f>+'Entrate tot e finalizzati'!V49-'Entrate tot e finalizzati'!W49</f>
        <v>0</v>
      </c>
    </row>
    <row r="50" spans="1:14" s="2" customFormat="1" ht="12.75">
      <c r="A50" s="73"/>
      <c r="B50" s="51" t="s">
        <v>74</v>
      </c>
      <c r="C50" s="51"/>
      <c r="D50" s="74"/>
      <c r="F50" s="52">
        <f>+'Entrate tot e finalizzati'!F50-'Entrate tot e finalizzati'!G50</f>
        <v>0</v>
      </c>
      <c r="G50" s="53">
        <f>+'Entrate tot e finalizzati'!H50-'Entrate tot e finalizzati'!I50</f>
        <v>0</v>
      </c>
      <c r="H50" s="52">
        <f>+'Entrate tot e finalizzati'!J50-'Entrate tot e finalizzati'!K50</f>
        <v>0</v>
      </c>
      <c r="I50" s="52">
        <f>+'Entrate tot e finalizzati'!L50-'Entrate tot e finalizzati'!M50</f>
        <v>0</v>
      </c>
      <c r="J50" s="52">
        <f>+'Entrate tot e finalizzati'!N50-'Entrate tot e finalizzati'!O50</f>
        <v>0</v>
      </c>
      <c r="K50" s="52">
        <f>+'Entrate tot e finalizzati'!P50-'Entrate tot e finalizzati'!Q50</f>
        <v>0</v>
      </c>
      <c r="L50" s="52">
        <f>+'Entrate tot e finalizzati'!R50-'Entrate tot e finalizzati'!S50</f>
        <v>0</v>
      </c>
      <c r="M50" s="52">
        <f>+'Entrate tot e finalizzati'!T50-'Entrate tot e finalizzati'!U50</f>
        <v>0</v>
      </c>
      <c r="N50" s="52">
        <f>+'Entrate tot e finalizzati'!V50-'Entrate tot e finalizzati'!W50</f>
        <v>0</v>
      </c>
    </row>
    <row r="51" spans="1:14" s="2" customFormat="1" ht="12.75">
      <c r="A51" s="81"/>
      <c r="B51" s="23" t="s">
        <v>135</v>
      </c>
      <c r="C51" s="23"/>
      <c r="D51" s="83"/>
      <c r="F51" s="95">
        <f>+'Entrate tot e finalizzati'!F51-'Entrate tot e finalizzati'!G51</f>
        <v>0</v>
      </c>
      <c r="G51" s="54">
        <f>+'Entrate tot e finalizzati'!H51-'Entrate tot e finalizzati'!I51</f>
        <v>0</v>
      </c>
      <c r="H51" s="95">
        <f>+'Entrate tot e finalizzati'!J51-'Entrate tot e finalizzati'!K51</f>
        <v>0</v>
      </c>
      <c r="I51" s="95">
        <f>+'Entrate tot e finalizzati'!L51-'Entrate tot e finalizzati'!M51</f>
        <v>0</v>
      </c>
      <c r="J51" s="95">
        <f>+'Entrate tot e finalizzati'!N51-'Entrate tot e finalizzati'!O51</f>
        <v>0</v>
      </c>
      <c r="K51" s="95">
        <f>+'Entrate tot e finalizzati'!P51-'Entrate tot e finalizzati'!Q51</f>
        <v>0</v>
      </c>
      <c r="L51" s="95">
        <f>+'Entrate tot e finalizzati'!R51-'Entrate tot e finalizzati'!S51</f>
        <v>0</v>
      </c>
      <c r="M51" s="95">
        <f>+'Entrate tot e finalizzati'!T51-'Entrate tot e finalizzati'!U51</f>
        <v>0</v>
      </c>
      <c r="N51" s="95">
        <f>+'Entrate tot e finalizzati'!V51-'Entrate tot e finalizzati'!W51</f>
        <v>0</v>
      </c>
    </row>
    <row r="52" spans="1:14" s="2" customFormat="1" ht="12.75">
      <c r="A52" s="124" t="s">
        <v>110</v>
      </c>
      <c r="B52" s="125"/>
      <c r="C52" s="125"/>
      <c r="D52" s="126"/>
      <c r="E52" s="127"/>
      <c r="F52" s="129">
        <f aca="true" t="shared" si="10" ref="F52:N52">+F53+F73+F96</f>
        <v>339959</v>
      </c>
      <c r="G52" s="129">
        <f t="shared" si="10"/>
        <v>348086</v>
      </c>
      <c r="H52" s="129">
        <f t="shared" si="10"/>
        <v>339543</v>
      </c>
      <c r="I52" s="129">
        <f t="shared" si="10"/>
        <v>348370</v>
      </c>
      <c r="J52" s="129">
        <f t="shared" si="10"/>
        <v>347427</v>
      </c>
      <c r="K52" s="129">
        <f t="shared" si="10"/>
        <v>372465</v>
      </c>
      <c r="L52" s="129">
        <f t="shared" si="10"/>
        <v>398751</v>
      </c>
      <c r="M52" s="129">
        <f t="shared" si="10"/>
        <v>394562</v>
      </c>
      <c r="N52" s="129">
        <f t="shared" si="10"/>
        <v>399485</v>
      </c>
    </row>
    <row r="53" spans="1:14" s="2" customFormat="1" ht="12.75">
      <c r="A53" s="73"/>
      <c r="B53" s="78" t="s">
        <v>32</v>
      </c>
      <c r="C53" s="78"/>
      <c r="D53" s="74"/>
      <c r="F53" s="87">
        <f aca="true" t="shared" si="11" ref="F53:L53">SUM(F54:F71)</f>
        <v>126774</v>
      </c>
      <c r="G53" s="87">
        <f t="shared" si="11"/>
        <v>124678</v>
      </c>
      <c r="H53" s="87">
        <f t="shared" si="11"/>
        <v>116563</v>
      </c>
      <c r="I53" s="87">
        <f t="shared" si="11"/>
        <v>113525</v>
      </c>
      <c r="J53" s="87">
        <f t="shared" si="11"/>
        <v>123140</v>
      </c>
      <c r="K53" s="87">
        <f t="shared" si="11"/>
        <v>130193</v>
      </c>
      <c r="L53" s="87">
        <f t="shared" si="11"/>
        <v>143365</v>
      </c>
      <c r="M53" s="87">
        <f>SUM(M54:M72)</f>
        <v>130926</v>
      </c>
      <c r="N53" s="87">
        <f>SUM(N54:N72)</f>
        <v>134112</v>
      </c>
    </row>
    <row r="54" spans="1:14" s="2" customFormat="1" ht="12.75">
      <c r="A54" s="145"/>
      <c r="C54" s="13" t="s">
        <v>33</v>
      </c>
      <c r="D54" s="70"/>
      <c r="F54" s="116">
        <f>+'Entrate tot e finalizzati'!F54-'Entrate tot e finalizzati'!G54</f>
        <v>61649</v>
      </c>
      <c r="G54" s="139">
        <f>+'Entrate tot e finalizzati'!H54-'Entrate tot e finalizzati'!I54</f>
        <v>59440</v>
      </c>
      <c r="H54" s="116">
        <f>+'Entrate tot e finalizzati'!J54-'Entrate tot e finalizzati'!K54</f>
        <v>58487</v>
      </c>
      <c r="I54" s="116">
        <f>+'Entrate tot e finalizzati'!L54-'Entrate tot e finalizzati'!M54</f>
        <v>52570</v>
      </c>
      <c r="J54" s="116">
        <f>+'Entrate tot e finalizzati'!N54-'Entrate tot e finalizzati'!O54</f>
        <v>69381</v>
      </c>
      <c r="K54" s="116">
        <f>+'Entrate tot e finalizzati'!P54-'Entrate tot e finalizzati'!Q54</f>
        <v>5982</v>
      </c>
      <c r="L54" s="116">
        <f>+'Entrate tot e finalizzati'!R54-'Entrate tot e finalizzati'!S54</f>
        <v>0</v>
      </c>
      <c r="M54" s="116">
        <f>+'Entrate tot e finalizzati'!T54-'Entrate tot e finalizzati'!U54</f>
        <v>463</v>
      </c>
      <c r="N54" s="116">
        <f>+'Entrate tot e finalizzati'!V54-'Entrate tot e finalizzati'!W54</f>
        <v>8152</v>
      </c>
    </row>
    <row r="55" spans="1:14" s="2" customFormat="1" ht="12.75">
      <c r="A55" s="145"/>
      <c r="C55" s="13" t="s">
        <v>98</v>
      </c>
      <c r="D55" s="70"/>
      <c r="F55" s="116">
        <f>+'Entrate tot e finalizzati'!F55-'Entrate tot e finalizzati'!G55</f>
        <v>0</v>
      </c>
      <c r="G55" s="139">
        <f>+'Entrate tot e finalizzati'!H55-'Entrate tot e finalizzati'!I55</f>
        <v>0</v>
      </c>
      <c r="H55" s="116">
        <f>+'Entrate tot e finalizzati'!J55-'Entrate tot e finalizzati'!K55</f>
        <v>0</v>
      </c>
      <c r="I55" s="116">
        <f>+'Entrate tot e finalizzati'!L55-'Entrate tot e finalizzati'!M55</f>
        <v>0</v>
      </c>
      <c r="J55" s="116">
        <f>+'Entrate tot e finalizzati'!N55-'Entrate tot e finalizzati'!O55</f>
        <v>0</v>
      </c>
      <c r="K55" s="116">
        <f>+'Entrate tot e finalizzati'!P55-'Entrate tot e finalizzati'!Q55</f>
        <v>64952</v>
      </c>
      <c r="L55" s="116">
        <f>+'Entrate tot e finalizzati'!R55-'Entrate tot e finalizzati'!S55</f>
        <v>91870</v>
      </c>
      <c r="M55" s="116">
        <f>+'Entrate tot e finalizzati'!T55-'Entrate tot e finalizzati'!U55</f>
        <v>93361</v>
      </c>
      <c r="N55" s="116">
        <f>+'Entrate tot e finalizzati'!V55-'Entrate tot e finalizzati'!W55</f>
        <v>92691</v>
      </c>
    </row>
    <row r="56" spans="1:14" s="2" customFormat="1" ht="12.75">
      <c r="A56" s="145"/>
      <c r="C56" s="13" t="s">
        <v>34</v>
      </c>
      <c r="D56" s="70"/>
      <c r="F56" s="116">
        <f>+'Entrate tot e finalizzati'!F56-'Entrate tot e finalizzati'!G56</f>
        <v>31603</v>
      </c>
      <c r="G56" s="139">
        <f>+'Entrate tot e finalizzati'!H56-'Entrate tot e finalizzati'!I56</f>
        <v>28398</v>
      </c>
      <c r="H56" s="116">
        <f>+'Entrate tot e finalizzati'!J56-'Entrate tot e finalizzati'!K56</f>
        <v>21531</v>
      </c>
      <c r="I56" s="116">
        <f>+'Entrate tot e finalizzati'!L56-'Entrate tot e finalizzati'!M56</f>
        <v>17029</v>
      </c>
      <c r="J56" s="116">
        <f>+'Entrate tot e finalizzati'!N56-'Entrate tot e finalizzati'!O56</f>
        <v>14691</v>
      </c>
      <c r="K56" s="116">
        <f>+'Entrate tot e finalizzati'!P56-'Entrate tot e finalizzati'!Q56</f>
        <v>13496</v>
      </c>
      <c r="L56" s="116">
        <f>+'Entrate tot e finalizzati'!R56-'Entrate tot e finalizzati'!S56</f>
        <v>11156</v>
      </c>
      <c r="M56" s="116">
        <f>+'Entrate tot e finalizzati'!T56-'Entrate tot e finalizzati'!U56</f>
        <v>2111</v>
      </c>
      <c r="N56" s="116">
        <f>+'Entrate tot e finalizzati'!V56-'Entrate tot e finalizzati'!W56</f>
        <v>1494</v>
      </c>
    </row>
    <row r="57" spans="1:14" s="2" customFormat="1" ht="12.75">
      <c r="A57" s="145"/>
      <c r="C57" s="51" t="s">
        <v>25</v>
      </c>
      <c r="D57" s="70"/>
      <c r="F57" s="116">
        <f>+'Entrate tot e finalizzati'!F57-'Entrate tot e finalizzati'!G57</f>
        <v>3</v>
      </c>
      <c r="G57" s="139">
        <f>+'Entrate tot e finalizzati'!H57-'Entrate tot e finalizzati'!I57</f>
        <v>0</v>
      </c>
      <c r="H57" s="116">
        <f>+'Entrate tot e finalizzati'!J57-'Entrate tot e finalizzati'!K57</f>
        <v>1</v>
      </c>
      <c r="I57" s="116">
        <f>+'Entrate tot e finalizzati'!L57-'Entrate tot e finalizzati'!M57</f>
        <v>0</v>
      </c>
      <c r="J57" s="116">
        <f>+'Entrate tot e finalizzati'!N57-'Entrate tot e finalizzati'!O57</f>
        <v>6</v>
      </c>
      <c r="K57" s="116">
        <f>+'Entrate tot e finalizzati'!P57-'Entrate tot e finalizzati'!Q57</f>
        <v>10</v>
      </c>
      <c r="L57" s="116">
        <f>+'Entrate tot e finalizzati'!R57-'Entrate tot e finalizzati'!S57</f>
        <v>0</v>
      </c>
      <c r="M57" s="116">
        <f>+'Entrate tot e finalizzati'!T57-'Entrate tot e finalizzati'!U57</f>
        <v>5</v>
      </c>
      <c r="N57" s="116">
        <f>+'Entrate tot e finalizzati'!V57-'Entrate tot e finalizzati'!W57</f>
        <v>0</v>
      </c>
    </row>
    <row r="58" spans="1:14" s="2" customFormat="1" ht="12.75">
      <c r="A58" s="145"/>
      <c r="C58" s="13" t="s">
        <v>35</v>
      </c>
      <c r="D58" s="70"/>
      <c r="F58" s="116">
        <f>+'Entrate tot e finalizzati'!F58-'Entrate tot e finalizzati'!G58</f>
        <v>0</v>
      </c>
      <c r="G58" s="139">
        <f>+'Entrate tot e finalizzati'!H58-'Entrate tot e finalizzati'!I58</f>
        <v>0</v>
      </c>
      <c r="H58" s="116">
        <f>+'Entrate tot e finalizzati'!J58-'Entrate tot e finalizzati'!K58</f>
        <v>0</v>
      </c>
      <c r="I58" s="116">
        <f>+'Entrate tot e finalizzati'!L58-'Entrate tot e finalizzati'!M58</f>
        <v>0</v>
      </c>
      <c r="J58" s="116">
        <f>+'Entrate tot e finalizzati'!N58-'Entrate tot e finalizzati'!O58</f>
        <v>0</v>
      </c>
      <c r="K58" s="116">
        <f>+'Entrate tot e finalizzati'!P58-'Entrate tot e finalizzati'!Q58</f>
        <v>0</v>
      </c>
      <c r="L58" s="116">
        <f>+'Entrate tot e finalizzati'!R58-'Entrate tot e finalizzati'!S58</f>
        <v>0</v>
      </c>
      <c r="M58" s="116">
        <f>+'Entrate tot e finalizzati'!T58-'Entrate tot e finalizzati'!U58</f>
        <v>0</v>
      </c>
      <c r="N58" s="116">
        <f>+'Entrate tot e finalizzati'!V58-'Entrate tot e finalizzati'!W58</f>
        <v>0</v>
      </c>
    </row>
    <row r="59" spans="1:14" s="2" customFormat="1" ht="12.75">
      <c r="A59" s="145"/>
      <c r="C59" s="13" t="s">
        <v>36</v>
      </c>
      <c r="D59" s="70"/>
      <c r="F59" s="116">
        <f>+'Entrate tot e finalizzati'!F59-'Entrate tot e finalizzati'!G59</f>
        <v>5681</v>
      </c>
      <c r="G59" s="139">
        <f>+'Entrate tot e finalizzati'!H59-'Entrate tot e finalizzati'!I59</f>
        <v>558</v>
      </c>
      <c r="H59" s="116">
        <f>+'Entrate tot e finalizzati'!J59-'Entrate tot e finalizzati'!K59</f>
        <v>396</v>
      </c>
      <c r="I59" s="116">
        <f>+'Entrate tot e finalizzati'!L59-'Entrate tot e finalizzati'!M59</f>
        <v>4516</v>
      </c>
      <c r="J59" s="116">
        <f>+'Entrate tot e finalizzati'!N59-'Entrate tot e finalizzati'!O59</f>
        <v>3660</v>
      </c>
      <c r="K59" s="116">
        <f>+'Entrate tot e finalizzati'!P59-'Entrate tot e finalizzati'!Q59</f>
        <v>2946</v>
      </c>
      <c r="L59" s="116">
        <f>+'Entrate tot e finalizzati'!R59-'Entrate tot e finalizzati'!S59</f>
        <v>2280</v>
      </c>
      <c r="M59" s="116">
        <f>+'Entrate tot e finalizzati'!T59-'Entrate tot e finalizzati'!U59</f>
        <v>3381</v>
      </c>
      <c r="N59" s="116">
        <f>+'Entrate tot e finalizzati'!V59-'Entrate tot e finalizzati'!W59</f>
        <v>2663</v>
      </c>
    </row>
    <row r="60" spans="1:14" s="2" customFormat="1" ht="12.75">
      <c r="A60" s="145"/>
      <c r="C60" s="13" t="s">
        <v>37</v>
      </c>
      <c r="D60" s="70"/>
      <c r="F60" s="116">
        <f>+'Entrate tot e finalizzati'!F60-'Entrate tot e finalizzati'!G60</f>
        <v>2804</v>
      </c>
      <c r="G60" s="139">
        <f>+'Entrate tot e finalizzati'!H60-'Entrate tot e finalizzati'!I60</f>
        <v>2868</v>
      </c>
      <c r="H60" s="116">
        <f>+'Entrate tot e finalizzati'!J60-'Entrate tot e finalizzati'!K60</f>
        <v>2723</v>
      </c>
      <c r="I60" s="116">
        <f>+'Entrate tot e finalizzati'!L60-'Entrate tot e finalizzati'!M60</f>
        <v>2374</v>
      </c>
      <c r="J60" s="116">
        <f>+'Entrate tot e finalizzati'!N60-'Entrate tot e finalizzati'!O60</f>
        <v>1639</v>
      </c>
      <c r="K60" s="116">
        <f>+'Entrate tot e finalizzati'!P60-'Entrate tot e finalizzati'!Q60</f>
        <v>1353</v>
      </c>
      <c r="L60" s="116">
        <f>+'Entrate tot e finalizzati'!R60-'Entrate tot e finalizzati'!S60</f>
        <v>2117</v>
      </c>
      <c r="M60" s="116">
        <f>+'Entrate tot e finalizzati'!T60-'Entrate tot e finalizzati'!U60</f>
        <v>150</v>
      </c>
      <c r="N60" s="116">
        <f>+'Entrate tot e finalizzati'!V60-'Entrate tot e finalizzati'!W60</f>
        <v>35</v>
      </c>
    </row>
    <row r="61" spans="1:14" s="2" customFormat="1" ht="12.75">
      <c r="A61" s="145"/>
      <c r="C61" s="13" t="s">
        <v>42</v>
      </c>
      <c r="D61" s="70"/>
      <c r="F61" s="116">
        <f>+'Entrate tot e finalizzati'!F61-'Entrate tot e finalizzati'!G61</f>
        <v>1798</v>
      </c>
      <c r="G61" s="139">
        <f>+'Entrate tot e finalizzati'!H61-'Entrate tot e finalizzati'!I61</f>
        <v>4403</v>
      </c>
      <c r="H61" s="116">
        <f>+'Entrate tot e finalizzati'!J61-'Entrate tot e finalizzati'!K61</f>
        <v>5127</v>
      </c>
      <c r="I61" s="116">
        <f>+'Entrate tot e finalizzati'!L61-'Entrate tot e finalizzati'!M61</f>
        <v>6177</v>
      </c>
      <c r="J61" s="116">
        <f>+'Entrate tot e finalizzati'!N61-'Entrate tot e finalizzati'!O61</f>
        <v>6126</v>
      </c>
      <c r="K61" s="116">
        <f>+'Entrate tot e finalizzati'!P61-'Entrate tot e finalizzati'!Q61</f>
        <v>6266</v>
      </c>
      <c r="L61" s="116">
        <f>+'Entrate tot e finalizzati'!R61-'Entrate tot e finalizzati'!S61</f>
        <v>8382</v>
      </c>
      <c r="M61" s="116">
        <f>+'Entrate tot e finalizzati'!T61-'Entrate tot e finalizzati'!U61</f>
        <v>8325</v>
      </c>
      <c r="N61" s="116">
        <f>+'Entrate tot e finalizzati'!V61-'Entrate tot e finalizzati'!W61</f>
        <v>12218</v>
      </c>
    </row>
    <row r="62" spans="1:14" s="2" customFormat="1" ht="12.75">
      <c r="A62" s="145"/>
      <c r="C62" s="13" t="s">
        <v>38</v>
      </c>
      <c r="D62" s="70"/>
      <c r="F62" s="116">
        <f>+'Entrate tot e finalizzati'!F62-'Entrate tot e finalizzati'!G62</f>
        <v>15530</v>
      </c>
      <c r="G62" s="139">
        <f>+'Entrate tot e finalizzati'!H62-'Entrate tot e finalizzati'!I62</f>
        <v>15530</v>
      </c>
      <c r="H62" s="116">
        <f>+'Entrate tot e finalizzati'!J62-'Entrate tot e finalizzati'!K62</f>
        <v>15530</v>
      </c>
      <c r="I62" s="116">
        <f>+'Entrate tot e finalizzati'!L62-'Entrate tot e finalizzati'!M62</f>
        <v>15530</v>
      </c>
      <c r="J62" s="116">
        <f>+'Entrate tot e finalizzati'!N62-'Entrate tot e finalizzati'!O62</f>
        <v>15530</v>
      </c>
      <c r="K62" s="116">
        <f>+'Entrate tot e finalizzati'!P62-'Entrate tot e finalizzati'!Q62</f>
        <v>15375</v>
      </c>
      <c r="L62" s="116">
        <f>+'Entrate tot e finalizzati'!R62-'Entrate tot e finalizzati'!S62</f>
        <v>0</v>
      </c>
      <c r="M62" s="116">
        <f>+'Entrate tot e finalizzati'!T62-'Entrate tot e finalizzati'!U62</f>
        <v>0</v>
      </c>
      <c r="N62" s="116">
        <f>+'Entrate tot e finalizzati'!V62-'Entrate tot e finalizzati'!W62</f>
        <v>0</v>
      </c>
    </row>
    <row r="63" spans="1:14" s="2" customFormat="1" ht="12.75">
      <c r="A63" s="145"/>
      <c r="C63" s="13" t="s">
        <v>39</v>
      </c>
      <c r="D63" s="70"/>
      <c r="F63" s="116">
        <f>+'Entrate tot e finalizzati'!F63-'Entrate tot e finalizzati'!G63</f>
        <v>688</v>
      </c>
      <c r="G63" s="139">
        <f>+'Entrate tot e finalizzati'!H63-'Entrate tot e finalizzati'!I63</f>
        <v>722</v>
      </c>
      <c r="H63" s="116">
        <f>+'Entrate tot e finalizzati'!J63-'Entrate tot e finalizzati'!K63</f>
        <v>722</v>
      </c>
      <c r="I63" s="116">
        <f>+'Entrate tot e finalizzati'!L63-'Entrate tot e finalizzati'!M63</f>
        <v>722</v>
      </c>
      <c r="J63" s="116">
        <f>+'Entrate tot e finalizzati'!N63-'Entrate tot e finalizzati'!O63</f>
        <v>722</v>
      </c>
      <c r="K63" s="116">
        <f>+'Entrate tot e finalizzati'!P63-'Entrate tot e finalizzati'!Q63</f>
        <v>714</v>
      </c>
      <c r="L63" s="116">
        <f>+'Entrate tot e finalizzati'!R63-'Entrate tot e finalizzati'!S63</f>
        <v>0</v>
      </c>
      <c r="M63" s="116">
        <f>+'Entrate tot e finalizzati'!T63-'Entrate tot e finalizzati'!U63</f>
        <v>0</v>
      </c>
      <c r="N63" s="116">
        <f>+'Entrate tot e finalizzati'!V63-'Entrate tot e finalizzati'!W63</f>
        <v>0</v>
      </c>
    </row>
    <row r="64" spans="1:14" s="2" customFormat="1" ht="12.75">
      <c r="A64" s="145"/>
      <c r="C64" s="13" t="s">
        <v>44</v>
      </c>
      <c r="D64" s="70"/>
      <c r="F64" s="116">
        <f>+'Entrate tot e finalizzati'!F64-'Entrate tot e finalizzati'!G64</f>
        <v>132</v>
      </c>
      <c r="G64" s="139">
        <f>+'Entrate tot e finalizzati'!H64-'Entrate tot e finalizzati'!I64</f>
        <v>2</v>
      </c>
      <c r="H64" s="116">
        <f>+'Entrate tot e finalizzati'!J64-'Entrate tot e finalizzati'!K64</f>
        <v>2</v>
      </c>
      <c r="I64" s="116">
        <f>+'Entrate tot e finalizzati'!L64-'Entrate tot e finalizzati'!M64</f>
        <v>3614</v>
      </c>
      <c r="J64" s="116">
        <f>+'Entrate tot e finalizzati'!N64-'Entrate tot e finalizzati'!O64</f>
        <v>2</v>
      </c>
      <c r="K64" s="116">
        <f>+'Entrate tot e finalizzati'!P64-'Entrate tot e finalizzati'!Q64</f>
        <v>2</v>
      </c>
      <c r="L64" s="116">
        <f>+'Entrate tot e finalizzati'!R64-'Entrate tot e finalizzati'!S64</f>
        <v>18</v>
      </c>
      <c r="M64" s="116">
        <f>+'Entrate tot e finalizzati'!T64-'Entrate tot e finalizzati'!U64</f>
        <v>50</v>
      </c>
      <c r="N64" s="116">
        <f>+'Entrate tot e finalizzati'!V64-'Entrate tot e finalizzati'!W64</f>
        <v>27</v>
      </c>
    </row>
    <row r="65" spans="1:14" s="2" customFormat="1" ht="12.75">
      <c r="A65" s="145"/>
      <c r="C65" s="13" t="s">
        <v>28</v>
      </c>
      <c r="D65" s="70"/>
      <c r="F65" s="116">
        <f>+'Entrate tot e finalizzati'!F65-'Entrate tot e finalizzati'!G65</f>
        <v>604</v>
      </c>
      <c r="G65" s="139">
        <f>+'Entrate tot e finalizzati'!H65-'Entrate tot e finalizzati'!I65</f>
        <v>493</v>
      </c>
      <c r="H65" s="116">
        <f>+'Entrate tot e finalizzati'!J65-'Entrate tot e finalizzati'!K65</f>
        <v>442</v>
      </c>
      <c r="I65" s="116">
        <f>+'Entrate tot e finalizzati'!L65-'Entrate tot e finalizzati'!M65</f>
        <v>194</v>
      </c>
      <c r="J65" s="116">
        <f>+'Entrate tot e finalizzati'!N65-'Entrate tot e finalizzati'!O65</f>
        <v>235</v>
      </c>
      <c r="K65" s="116">
        <f>+'Entrate tot e finalizzati'!P65-'Entrate tot e finalizzati'!Q65</f>
        <v>261</v>
      </c>
      <c r="L65" s="116">
        <f>+'Entrate tot e finalizzati'!R65-'Entrate tot e finalizzati'!S65</f>
        <v>551</v>
      </c>
      <c r="M65" s="116">
        <f>+'Entrate tot e finalizzati'!T65-'Entrate tot e finalizzati'!U65</f>
        <v>559</v>
      </c>
      <c r="N65" s="116">
        <f>+'Entrate tot e finalizzati'!V65-'Entrate tot e finalizzati'!W65</f>
        <v>321</v>
      </c>
    </row>
    <row r="66" spans="1:14" s="2" customFormat="1" ht="12.75">
      <c r="A66" s="145"/>
      <c r="C66" s="13" t="s">
        <v>68</v>
      </c>
      <c r="D66" s="70"/>
      <c r="F66" s="116">
        <f>+'Entrate tot e finalizzati'!F66-'Entrate tot e finalizzati'!G66</f>
        <v>0</v>
      </c>
      <c r="G66" s="139">
        <f>+'Entrate tot e finalizzati'!H66-'Entrate tot e finalizzati'!I66</f>
        <v>0</v>
      </c>
      <c r="H66" s="116">
        <f>+'Entrate tot e finalizzati'!J66-'Entrate tot e finalizzati'!K66</f>
        <v>0</v>
      </c>
      <c r="I66" s="116">
        <f>+'Entrate tot e finalizzati'!L66-'Entrate tot e finalizzati'!M66</f>
        <v>0</v>
      </c>
      <c r="J66" s="116">
        <f>+'Entrate tot e finalizzati'!N66-'Entrate tot e finalizzati'!O66</f>
        <v>0</v>
      </c>
      <c r="K66" s="116">
        <f>+'Entrate tot e finalizzati'!P66-'Entrate tot e finalizzati'!Q66</f>
        <v>0</v>
      </c>
      <c r="L66" s="116">
        <f>+'Entrate tot e finalizzati'!R66-'Entrate tot e finalizzati'!S66</f>
        <v>0</v>
      </c>
      <c r="M66" s="116">
        <f>+'Entrate tot e finalizzati'!T66-'Entrate tot e finalizzati'!U66</f>
        <v>54</v>
      </c>
      <c r="N66" s="116">
        <f>+'Entrate tot e finalizzati'!V66-'Entrate tot e finalizzati'!W66</f>
        <v>11</v>
      </c>
    </row>
    <row r="67" spans="1:14" s="2" customFormat="1" ht="12.75">
      <c r="A67" s="145"/>
      <c r="C67" s="51" t="s">
        <v>40</v>
      </c>
      <c r="D67" s="70"/>
      <c r="F67" s="116">
        <f>+'Entrate tot e finalizzati'!F67-'Entrate tot e finalizzati'!G67</f>
        <v>1116</v>
      </c>
      <c r="G67" s="139">
        <f>+'Entrate tot e finalizzati'!H67-'Entrate tot e finalizzati'!I67</f>
        <v>1291</v>
      </c>
      <c r="H67" s="116">
        <f>+'Entrate tot e finalizzati'!J67-'Entrate tot e finalizzati'!K67</f>
        <v>1291</v>
      </c>
      <c r="I67" s="116">
        <f>+'Entrate tot e finalizzati'!L67-'Entrate tot e finalizzati'!M67</f>
        <v>1291</v>
      </c>
      <c r="J67" s="116">
        <f>+'Entrate tot e finalizzati'!N67-'Entrate tot e finalizzati'!O67</f>
        <v>1291</v>
      </c>
      <c r="K67" s="116">
        <f>+'Entrate tot e finalizzati'!P67-'Entrate tot e finalizzati'!Q67</f>
        <v>430</v>
      </c>
      <c r="L67" s="116">
        <f>+'Entrate tot e finalizzati'!R67-'Entrate tot e finalizzati'!S67</f>
        <v>0</v>
      </c>
      <c r="M67" s="116">
        <f>+'Entrate tot e finalizzati'!T67-'Entrate tot e finalizzati'!U67</f>
        <v>0</v>
      </c>
      <c r="N67" s="116">
        <f>+'Entrate tot e finalizzati'!V67-'Entrate tot e finalizzati'!W67</f>
        <v>0</v>
      </c>
    </row>
    <row r="68" spans="1:14" s="2" customFormat="1" ht="12.75">
      <c r="A68" s="145"/>
      <c r="C68" s="13" t="s">
        <v>41</v>
      </c>
      <c r="D68" s="70"/>
      <c r="F68" s="116">
        <f>+'Entrate tot e finalizzati'!F68-'Entrate tot e finalizzati'!G68</f>
        <v>5163</v>
      </c>
      <c r="G68" s="139">
        <f>+'Entrate tot e finalizzati'!H68-'Entrate tot e finalizzati'!I68</f>
        <v>4724</v>
      </c>
      <c r="H68" s="116">
        <f>+'Entrate tot e finalizzati'!J68-'Entrate tot e finalizzati'!K68</f>
        <v>6294</v>
      </c>
      <c r="I68" s="116">
        <f>+'Entrate tot e finalizzati'!L68-'Entrate tot e finalizzati'!M68</f>
        <v>4693</v>
      </c>
      <c r="J68" s="116">
        <f>+'Entrate tot e finalizzati'!N68-'Entrate tot e finalizzati'!O68</f>
        <v>5371</v>
      </c>
      <c r="K68" s="116">
        <f>+'Entrate tot e finalizzati'!P68-'Entrate tot e finalizzati'!Q68</f>
        <v>2853</v>
      </c>
      <c r="L68" s="116">
        <f>+'Entrate tot e finalizzati'!R68-'Entrate tot e finalizzati'!S68</f>
        <v>4532</v>
      </c>
      <c r="M68" s="116">
        <f>+'Entrate tot e finalizzati'!T68-'Entrate tot e finalizzati'!U68</f>
        <v>3832</v>
      </c>
      <c r="N68" s="116">
        <f>+'Entrate tot e finalizzati'!V68-'Entrate tot e finalizzati'!W68</f>
        <v>4617</v>
      </c>
    </row>
    <row r="69" spans="1:14" s="2" customFormat="1" ht="12.75">
      <c r="A69" s="145"/>
      <c r="C69" s="13" t="s">
        <v>20</v>
      </c>
      <c r="D69" s="70"/>
      <c r="F69" s="116">
        <f>+'Entrate tot e finalizzati'!F69-'Entrate tot e finalizzati'!G69</f>
        <v>0</v>
      </c>
      <c r="G69" s="139">
        <f>+'Entrate tot e finalizzati'!H69-'Entrate tot e finalizzati'!I69</f>
        <v>1378</v>
      </c>
      <c r="H69" s="116">
        <f>+'Entrate tot e finalizzati'!J69-'Entrate tot e finalizzati'!K69</f>
        <v>0</v>
      </c>
      <c r="I69" s="116">
        <f>+'Entrate tot e finalizzati'!L69-'Entrate tot e finalizzati'!M69</f>
        <v>0</v>
      </c>
      <c r="J69" s="116">
        <f>+'Entrate tot e finalizzati'!N69-'Entrate tot e finalizzati'!O69</f>
        <v>0</v>
      </c>
      <c r="K69" s="116">
        <f>+'Entrate tot e finalizzati'!P69-'Entrate tot e finalizzati'!Q69</f>
        <v>0</v>
      </c>
      <c r="L69" s="116">
        <f>+'Entrate tot e finalizzati'!R69-'Entrate tot e finalizzati'!S69</f>
        <v>0</v>
      </c>
      <c r="M69" s="116">
        <f>+'Entrate tot e finalizzati'!T69-'Entrate tot e finalizzati'!U69</f>
        <v>0</v>
      </c>
      <c r="N69" s="116">
        <f>+'Entrate tot e finalizzati'!V69-'Entrate tot e finalizzati'!W69</f>
        <v>0</v>
      </c>
    </row>
    <row r="70" spans="1:14" s="2" customFormat="1" ht="12.75">
      <c r="A70" s="145"/>
      <c r="C70" s="51" t="s">
        <v>43</v>
      </c>
      <c r="D70" s="70"/>
      <c r="F70" s="116">
        <f>+'Entrate tot e finalizzati'!F70-'Entrate tot e finalizzati'!G70</f>
        <v>3</v>
      </c>
      <c r="G70" s="139">
        <f>+'Entrate tot e finalizzati'!H70-'Entrate tot e finalizzati'!I70</f>
        <v>3</v>
      </c>
      <c r="H70" s="116">
        <f>+'Entrate tot e finalizzati'!J70-'Entrate tot e finalizzati'!K70</f>
        <v>3</v>
      </c>
      <c r="I70" s="116">
        <f>+'Entrate tot e finalizzati'!L70-'Entrate tot e finalizzati'!M70</f>
        <v>1036</v>
      </c>
      <c r="J70" s="116">
        <f>+'Entrate tot e finalizzati'!N70-'Entrate tot e finalizzati'!O70</f>
        <v>1036</v>
      </c>
      <c r="K70" s="116">
        <f>+'Entrate tot e finalizzati'!P70-'Entrate tot e finalizzati'!Q70</f>
        <v>12247</v>
      </c>
      <c r="L70" s="116">
        <f>+'Entrate tot e finalizzati'!R70-'Entrate tot e finalizzati'!S70</f>
        <v>19199</v>
      </c>
      <c r="M70" s="116">
        <f>+'Entrate tot e finalizzati'!T70-'Entrate tot e finalizzati'!U70</f>
        <v>14238</v>
      </c>
      <c r="N70" s="116">
        <f>+'Entrate tot e finalizzati'!V70-'Entrate tot e finalizzati'!W70</f>
        <v>9270</v>
      </c>
    </row>
    <row r="71" spans="1:14" s="2" customFormat="1" ht="12.75">
      <c r="A71" s="145"/>
      <c r="C71" s="51" t="s">
        <v>61</v>
      </c>
      <c r="D71" s="70"/>
      <c r="F71" s="116">
        <f>+'Entrate tot e finalizzati'!F71-'Entrate tot e finalizzati'!G71</f>
        <v>0</v>
      </c>
      <c r="G71" s="139">
        <f>+'Entrate tot e finalizzati'!H71-'Entrate tot e finalizzati'!I71</f>
        <v>4868</v>
      </c>
      <c r="H71" s="116">
        <f>+'Entrate tot e finalizzati'!J71-'Entrate tot e finalizzati'!K71</f>
        <v>4014</v>
      </c>
      <c r="I71" s="116">
        <f>+'Entrate tot e finalizzati'!L71-'Entrate tot e finalizzati'!M71</f>
        <v>3779</v>
      </c>
      <c r="J71" s="116">
        <f>+'Entrate tot e finalizzati'!N71-'Entrate tot e finalizzati'!O71</f>
        <v>3450</v>
      </c>
      <c r="K71" s="116">
        <f>+'Entrate tot e finalizzati'!P71-'Entrate tot e finalizzati'!Q71</f>
        <v>3306</v>
      </c>
      <c r="L71" s="116">
        <f>+'Entrate tot e finalizzati'!R71-'Entrate tot e finalizzati'!S71</f>
        <v>3260</v>
      </c>
      <c r="M71" s="116">
        <f>+'Entrate tot e finalizzati'!T71-'Entrate tot e finalizzati'!U71</f>
        <v>1585</v>
      </c>
      <c r="N71" s="116">
        <f>+'Entrate tot e finalizzati'!V71-'Entrate tot e finalizzati'!W71</f>
        <v>1500</v>
      </c>
    </row>
    <row r="72" spans="1:14" s="2" customFormat="1" ht="12.75">
      <c r="A72" s="173"/>
      <c r="B72" s="85"/>
      <c r="C72" s="82" t="s">
        <v>126</v>
      </c>
      <c r="D72" s="80"/>
      <c r="F72" s="147">
        <f>+'Entrate tot e finalizzati'!F72-'Entrate tot e finalizzati'!G72</f>
        <v>0</v>
      </c>
      <c r="G72" s="174">
        <f>+'Entrate tot e finalizzati'!H72-'Entrate tot e finalizzati'!I72</f>
        <v>0</v>
      </c>
      <c r="H72" s="147">
        <f>+'Entrate tot e finalizzati'!J72-'Entrate tot e finalizzati'!K72</f>
        <v>0</v>
      </c>
      <c r="I72" s="147">
        <f>+'Entrate tot e finalizzati'!L72-'Entrate tot e finalizzati'!M72</f>
        <v>0</v>
      </c>
      <c r="J72" s="147">
        <f>+'Entrate tot e finalizzati'!N72-'Entrate tot e finalizzati'!O72</f>
        <v>0</v>
      </c>
      <c r="K72" s="147">
        <f>+'Entrate tot e finalizzati'!P72-'Entrate tot e finalizzati'!Q72</f>
        <v>0</v>
      </c>
      <c r="L72" s="147">
        <f>+'Entrate tot e finalizzati'!R72-'Entrate tot e finalizzati'!S72</f>
        <v>0</v>
      </c>
      <c r="M72" s="147">
        <f>+'Entrate tot e finalizzati'!T72-'Entrate tot e finalizzati'!U72</f>
        <v>2812</v>
      </c>
      <c r="N72" s="147">
        <f>+'Entrate tot e finalizzati'!V72-'Entrate tot e finalizzati'!W72</f>
        <v>1113</v>
      </c>
    </row>
    <row r="73" spans="1:14" s="2" customFormat="1" ht="12.75">
      <c r="A73" s="73"/>
      <c r="B73" s="78" t="s">
        <v>13</v>
      </c>
      <c r="C73" s="78"/>
      <c r="D73" s="74"/>
      <c r="F73" s="87">
        <f aca="true" t="shared" si="12" ref="F73:N73">SUM(F74:F95)</f>
        <v>207392</v>
      </c>
      <c r="G73" s="87">
        <f t="shared" si="12"/>
        <v>217059</v>
      </c>
      <c r="H73" s="87">
        <f t="shared" si="12"/>
        <v>216716</v>
      </c>
      <c r="I73" s="87">
        <f t="shared" si="12"/>
        <v>226912</v>
      </c>
      <c r="J73" s="87">
        <f t="shared" si="12"/>
        <v>212885</v>
      </c>
      <c r="K73" s="87">
        <f t="shared" si="12"/>
        <v>230377</v>
      </c>
      <c r="L73" s="87">
        <f t="shared" si="12"/>
        <v>243738</v>
      </c>
      <c r="M73" s="87">
        <f t="shared" si="12"/>
        <v>251898</v>
      </c>
      <c r="N73" s="87">
        <f t="shared" si="12"/>
        <v>253564</v>
      </c>
    </row>
    <row r="74" spans="1:14" s="2" customFormat="1" ht="12.75">
      <c r="A74" s="145"/>
      <c r="C74" s="51" t="s">
        <v>45</v>
      </c>
      <c r="D74" s="70"/>
      <c r="F74" s="116">
        <f>+'Entrate tot e finalizzati'!F74-'Entrate tot e finalizzati'!G74</f>
        <v>12281</v>
      </c>
      <c r="G74" s="139">
        <f>+'Entrate tot e finalizzati'!H74-'Entrate tot e finalizzati'!I74</f>
        <v>0</v>
      </c>
      <c r="H74" s="116">
        <f>+'Entrate tot e finalizzati'!J74-'Entrate tot e finalizzati'!K74</f>
        <v>134</v>
      </c>
      <c r="I74" s="116">
        <f>+'Entrate tot e finalizzati'!L74-'Entrate tot e finalizzati'!M74</f>
        <v>207</v>
      </c>
      <c r="J74" s="116">
        <f>+'Entrate tot e finalizzati'!N74-'Entrate tot e finalizzati'!O74</f>
        <v>142</v>
      </c>
      <c r="K74" s="116">
        <f>+'Entrate tot e finalizzati'!P74-'Entrate tot e finalizzati'!Q74</f>
        <v>48</v>
      </c>
      <c r="L74" s="116">
        <f>+'Entrate tot e finalizzati'!R74-'Entrate tot e finalizzati'!S74</f>
        <v>39</v>
      </c>
      <c r="M74" s="116">
        <f>+'Entrate tot e finalizzati'!T74-'Entrate tot e finalizzati'!U74</f>
        <v>29</v>
      </c>
      <c r="N74" s="116">
        <f>+'Entrate tot e finalizzati'!V74-'Entrate tot e finalizzati'!W74</f>
        <v>32</v>
      </c>
    </row>
    <row r="75" spans="1:14" s="2" customFormat="1" ht="12.75">
      <c r="A75" s="145"/>
      <c r="C75" s="51" t="s">
        <v>46</v>
      </c>
      <c r="D75" s="70"/>
      <c r="F75" s="116">
        <f>+'Entrate tot e finalizzati'!F75-'Entrate tot e finalizzati'!G75</f>
        <v>126893</v>
      </c>
      <c r="G75" s="139">
        <f>+'Entrate tot e finalizzati'!H75-'Entrate tot e finalizzati'!I75</f>
        <v>132574</v>
      </c>
      <c r="H75" s="116">
        <f>+'Entrate tot e finalizzati'!J75-'Entrate tot e finalizzati'!K75</f>
        <v>132161</v>
      </c>
      <c r="I75" s="116">
        <f>+'Entrate tot e finalizzati'!L75-'Entrate tot e finalizzati'!M75</f>
        <v>131568</v>
      </c>
      <c r="J75" s="116">
        <f>+'Entrate tot e finalizzati'!N75-'Entrate tot e finalizzati'!O75</f>
        <v>130819</v>
      </c>
      <c r="K75" s="116">
        <f>+'Entrate tot e finalizzati'!P75-'Entrate tot e finalizzati'!Q75</f>
        <v>130982</v>
      </c>
      <c r="L75" s="116">
        <f>+'Entrate tot e finalizzati'!R75-'Entrate tot e finalizzati'!S75</f>
        <v>131250</v>
      </c>
      <c r="M75" s="116">
        <f>+'Entrate tot e finalizzati'!T75-'Entrate tot e finalizzati'!U75</f>
        <v>131700</v>
      </c>
      <c r="N75" s="116">
        <f>+'Entrate tot e finalizzati'!V75-'Entrate tot e finalizzati'!W75</f>
        <v>131519</v>
      </c>
    </row>
    <row r="76" spans="1:14" s="2" customFormat="1" ht="12.75">
      <c r="A76" s="145"/>
      <c r="C76" s="51" t="s">
        <v>100</v>
      </c>
      <c r="D76" s="70"/>
      <c r="F76" s="116">
        <f>+'Entrate tot e finalizzati'!F76-'Entrate tot e finalizzati'!G76</f>
        <v>0</v>
      </c>
      <c r="G76" s="139">
        <f>+'Entrate tot e finalizzati'!H76-'Entrate tot e finalizzati'!I76</f>
        <v>0</v>
      </c>
      <c r="H76" s="116">
        <f>+'Entrate tot e finalizzati'!J76-'Entrate tot e finalizzati'!K76</f>
        <v>0</v>
      </c>
      <c r="I76" s="116">
        <f>+'Entrate tot e finalizzati'!L76-'Entrate tot e finalizzati'!M76</f>
        <v>0</v>
      </c>
      <c r="J76" s="116">
        <f>+'Entrate tot e finalizzati'!N76-'Entrate tot e finalizzati'!O76</f>
        <v>0</v>
      </c>
      <c r="K76" s="116">
        <f>+'Entrate tot e finalizzati'!P76-'Entrate tot e finalizzati'!Q76</f>
        <v>0</v>
      </c>
      <c r="L76" s="116">
        <f>+'Entrate tot e finalizzati'!R76-'Entrate tot e finalizzati'!S76</f>
        <v>4350</v>
      </c>
      <c r="M76" s="116">
        <f>+'Entrate tot e finalizzati'!T76-'Entrate tot e finalizzati'!U76</f>
        <v>3299</v>
      </c>
      <c r="N76" s="116">
        <f>+'Entrate tot e finalizzati'!V76-'Entrate tot e finalizzati'!W76</f>
        <v>3968</v>
      </c>
    </row>
    <row r="77" spans="1:14" s="2" customFormat="1" ht="12.75">
      <c r="A77" s="145"/>
      <c r="C77" s="51" t="s">
        <v>47</v>
      </c>
      <c r="D77" s="70"/>
      <c r="F77" s="116">
        <f>+'Entrate tot e finalizzati'!F77-'Entrate tot e finalizzati'!G77</f>
        <v>3567</v>
      </c>
      <c r="G77" s="139">
        <f>+'Entrate tot e finalizzati'!H77-'Entrate tot e finalizzati'!I77</f>
        <v>4324</v>
      </c>
      <c r="H77" s="116">
        <f>+'Entrate tot e finalizzati'!J77-'Entrate tot e finalizzati'!K77</f>
        <v>4414</v>
      </c>
      <c r="I77" s="116">
        <f>+'Entrate tot e finalizzati'!L77-'Entrate tot e finalizzati'!M77</f>
        <v>4400</v>
      </c>
      <c r="J77" s="116">
        <f>+'Entrate tot e finalizzati'!N77-'Entrate tot e finalizzati'!O77</f>
        <v>4544</v>
      </c>
      <c r="K77" s="116">
        <f>+'Entrate tot e finalizzati'!P77-'Entrate tot e finalizzati'!Q77</f>
        <v>4596</v>
      </c>
      <c r="L77" s="116">
        <f>+'Entrate tot e finalizzati'!R77-'Entrate tot e finalizzati'!S77</f>
        <v>4882</v>
      </c>
      <c r="M77" s="116">
        <f>+'Entrate tot e finalizzati'!T77-'Entrate tot e finalizzati'!U77</f>
        <v>4949</v>
      </c>
      <c r="N77" s="116">
        <f>+'Entrate tot e finalizzati'!V77-'Entrate tot e finalizzati'!W77</f>
        <v>4597</v>
      </c>
    </row>
    <row r="78" spans="1:14" s="2" customFormat="1" ht="12.75">
      <c r="A78" s="145"/>
      <c r="C78" s="51" t="s">
        <v>48</v>
      </c>
      <c r="D78" s="70"/>
      <c r="F78" s="116">
        <f>+'Entrate tot e finalizzati'!F78-'Entrate tot e finalizzati'!G78</f>
        <v>3545</v>
      </c>
      <c r="G78" s="139">
        <f>+'Entrate tot e finalizzati'!H78-'Entrate tot e finalizzati'!I78</f>
        <v>3763</v>
      </c>
      <c r="H78" s="116">
        <f>+'Entrate tot e finalizzati'!J78-'Entrate tot e finalizzati'!K78</f>
        <v>3942</v>
      </c>
      <c r="I78" s="116">
        <f>+'Entrate tot e finalizzati'!L78-'Entrate tot e finalizzati'!M78</f>
        <v>3396</v>
      </c>
      <c r="J78" s="116">
        <f>+'Entrate tot e finalizzati'!N78-'Entrate tot e finalizzati'!O78</f>
        <v>3523</v>
      </c>
      <c r="K78" s="116">
        <f>+'Entrate tot e finalizzati'!P78-'Entrate tot e finalizzati'!Q78</f>
        <v>3615</v>
      </c>
      <c r="L78" s="116">
        <f>+'Entrate tot e finalizzati'!R78-'Entrate tot e finalizzati'!S78</f>
        <v>3615</v>
      </c>
      <c r="M78" s="116">
        <f>+'Entrate tot e finalizzati'!T78-'Entrate tot e finalizzati'!U78</f>
        <v>4196</v>
      </c>
      <c r="N78" s="116">
        <f>+'Entrate tot e finalizzati'!V78-'Entrate tot e finalizzati'!W78</f>
        <v>3989</v>
      </c>
    </row>
    <row r="79" spans="1:14" s="2" customFormat="1" ht="12.75">
      <c r="A79" s="145"/>
      <c r="C79" s="51" t="s">
        <v>49</v>
      </c>
      <c r="D79" s="70"/>
      <c r="F79" s="116">
        <f>+'Entrate tot e finalizzati'!F79-'Entrate tot e finalizzati'!G79</f>
        <v>45665</v>
      </c>
      <c r="G79" s="139">
        <f>+'Entrate tot e finalizzati'!H79-'Entrate tot e finalizzati'!I79</f>
        <v>47651</v>
      </c>
      <c r="H79" s="116">
        <f>+'Entrate tot e finalizzati'!J79-'Entrate tot e finalizzati'!K79</f>
        <v>47956</v>
      </c>
      <c r="I79" s="116">
        <f>+'Entrate tot e finalizzati'!L79-'Entrate tot e finalizzati'!M79</f>
        <v>47800</v>
      </c>
      <c r="J79" s="116">
        <f>+'Entrate tot e finalizzati'!N79-'Entrate tot e finalizzati'!O79</f>
        <v>50305</v>
      </c>
      <c r="K79" s="116">
        <f>+'Entrate tot e finalizzati'!P79-'Entrate tot e finalizzati'!Q79</f>
        <v>50004</v>
      </c>
      <c r="L79" s="116">
        <f>+'Entrate tot e finalizzati'!R79-'Entrate tot e finalizzati'!S79</f>
        <v>54233</v>
      </c>
      <c r="M79" s="116">
        <f>+'Entrate tot e finalizzati'!T79-'Entrate tot e finalizzati'!U79</f>
        <v>57223</v>
      </c>
      <c r="N79" s="116">
        <f>+'Entrate tot e finalizzati'!V79-'Entrate tot e finalizzati'!W79</f>
        <v>58080</v>
      </c>
    </row>
    <row r="80" spans="1:14" s="2" customFormat="1" ht="12.75">
      <c r="A80" s="145"/>
      <c r="C80" s="51" t="s">
        <v>102</v>
      </c>
      <c r="D80" s="70"/>
      <c r="F80" s="116">
        <f>+'Entrate tot e finalizzati'!F80-'Entrate tot e finalizzati'!G80</f>
        <v>0</v>
      </c>
      <c r="G80" s="139">
        <f>+'Entrate tot e finalizzati'!H80-'Entrate tot e finalizzati'!I80</f>
        <v>0</v>
      </c>
      <c r="H80" s="116">
        <f>+'Entrate tot e finalizzati'!J80-'Entrate tot e finalizzati'!K80</f>
        <v>0</v>
      </c>
      <c r="I80" s="116">
        <f>+'Entrate tot e finalizzati'!L80-'Entrate tot e finalizzati'!M80</f>
        <v>0</v>
      </c>
      <c r="J80" s="116">
        <f>+'Entrate tot e finalizzati'!N80-'Entrate tot e finalizzati'!O80</f>
        <v>0</v>
      </c>
      <c r="K80" s="116">
        <f>+'Entrate tot e finalizzati'!P80-'Entrate tot e finalizzati'!Q80</f>
        <v>5760</v>
      </c>
      <c r="L80" s="116">
        <f>+'Entrate tot e finalizzati'!R80-'Entrate tot e finalizzati'!S80</f>
        <v>8344</v>
      </c>
      <c r="M80" s="116">
        <f>+'Entrate tot e finalizzati'!T80-'Entrate tot e finalizzati'!U80</f>
        <v>13523</v>
      </c>
      <c r="N80" s="116">
        <f>+'Entrate tot e finalizzati'!V80-'Entrate tot e finalizzati'!W80</f>
        <v>10948</v>
      </c>
    </row>
    <row r="81" spans="1:14" s="2" customFormat="1" ht="12.75">
      <c r="A81" s="145"/>
      <c r="C81" s="51" t="s">
        <v>50</v>
      </c>
      <c r="D81" s="70"/>
      <c r="F81" s="116">
        <f>+'Entrate tot e finalizzati'!F81-'Entrate tot e finalizzati'!G81</f>
        <v>4006</v>
      </c>
      <c r="G81" s="139">
        <f>+'Entrate tot e finalizzati'!H81-'Entrate tot e finalizzati'!I81</f>
        <v>3607</v>
      </c>
      <c r="H81" s="116">
        <f>+'Entrate tot e finalizzati'!J81-'Entrate tot e finalizzati'!K81</f>
        <v>136</v>
      </c>
      <c r="I81" s="116">
        <f>+'Entrate tot e finalizzati'!L81-'Entrate tot e finalizzati'!M81</f>
        <v>71</v>
      </c>
      <c r="J81" s="116">
        <f>+'Entrate tot e finalizzati'!N81-'Entrate tot e finalizzati'!O81</f>
        <v>56</v>
      </c>
      <c r="K81" s="116">
        <f>+'Entrate tot e finalizzati'!P81-'Entrate tot e finalizzati'!Q81</f>
        <v>23</v>
      </c>
      <c r="L81" s="116">
        <f>+'Entrate tot e finalizzati'!R81-'Entrate tot e finalizzati'!S81</f>
        <v>1</v>
      </c>
      <c r="M81" s="116">
        <f>+'Entrate tot e finalizzati'!T81-'Entrate tot e finalizzati'!U81</f>
        <v>40</v>
      </c>
      <c r="N81" s="116">
        <f>+'Entrate tot e finalizzati'!V81-'Entrate tot e finalizzati'!W81</f>
        <v>43</v>
      </c>
    </row>
    <row r="82" spans="1:14" s="2" customFormat="1" ht="12.75">
      <c r="A82" s="145"/>
      <c r="C82" s="51" t="s">
        <v>51</v>
      </c>
      <c r="D82" s="70"/>
      <c r="F82" s="116">
        <f>+'Entrate tot e finalizzati'!F82-'Entrate tot e finalizzati'!G82</f>
        <v>3103</v>
      </c>
      <c r="G82" s="139">
        <f>+'Entrate tot e finalizzati'!H82-'Entrate tot e finalizzati'!I82</f>
        <v>0</v>
      </c>
      <c r="H82" s="116">
        <f>+'Entrate tot e finalizzati'!J82-'Entrate tot e finalizzati'!K82</f>
        <v>0</v>
      </c>
      <c r="I82" s="116">
        <f>+'Entrate tot e finalizzati'!L82-'Entrate tot e finalizzati'!M82</f>
        <v>0</v>
      </c>
      <c r="J82" s="116">
        <f>+'Entrate tot e finalizzati'!N82-'Entrate tot e finalizzati'!O82</f>
        <v>0</v>
      </c>
      <c r="K82" s="116">
        <f>+'Entrate tot e finalizzati'!P82-'Entrate tot e finalizzati'!Q82</f>
        <v>0</v>
      </c>
      <c r="L82" s="116">
        <f>+'Entrate tot e finalizzati'!R82-'Entrate tot e finalizzati'!S82</f>
        <v>0</v>
      </c>
      <c r="M82" s="116">
        <f>+'Entrate tot e finalizzati'!T82-'Entrate tot e finalizzati'!U82</f>
        <v>0</v>
      </c>
      <c r="N82" s="116">
        <f>+'Entrate tot e finalizzati'!V82-'Entrate tot e finalizzati'!W82</f>
        <v>0</v>
      </c>
    </row>
    <row r="83" spans="1:14" s="2" customFormat="1" ht="12.75">
      <c r="A83" s="145"/>
      <c r="C83" s="51" t="s">
        <v>52</v>
      </c>
      <c r="D83" s="70"/>
      <c r="F83" s="116">
        <f>+'Entrate tot e finalizzati'!F83-'Entrate tot e finalizzati'!G83</f>
        <v>852</v>
      </c>
      <c r="G83" s="139">
        <f>+'Entrate tot e finalizzati'!H83-'Entrate tot e finalizzati'!I83</f>
        <v>883</v>
      </c>
      <c r="H83" s="116">
        <f>+'Entrate tot e finalizzati'!J83-'Entrate tot e finalizzati'!K83</f>
        <v>871</v>
      </c>
      <c r="I83" s="116">
        <f>+'Entrate tot e finalizzati'!L83-'Entrate tot e finalizzati'!M83</f>
        <v>869</v>
      </c>
      <c r="J83" s="116">
        <f>+'Entrate tot e finalizzati'!N83-'Entrate tot e finalizzati'!O83</f>
        <v>958</v>
      </c>
      <c r="K83" s="116">
        <f>+'Entrate tot e finalizzati'!P83-'Entrate tot e finalizzati'!Q83</f>
        <v>962</v>
      </c>
      <c r="L83" s="116">
        <f>+'Entrate tot e finalizzati'!R83-'Entrate tot e finalizzati'!S83</f>
        <v>829</v>
      </c>
      <c r="M83" s="116">
        <f>+'Entrate tot e finalizzati'!T83-'Entrate tot e finalizzati'!U83</f>
        <v>682</v>
      </c>
      <c r="N83" s="116">
        <f>+'Entrate tot e finalizzati'!V83-'Entrate tot e finalizzati'!W83</f>
        <v>809</v>
      </c>
    </row>
    <row r="84" spans="1:14" s="2" customFormat="1" ht="12.75">
      <c r="A84" s="145"/>
      <c r="C84" s="51" t="s">
        <v>53</v>
      </c>
      <c r="D84" s="70"/>
      <c r="F84" s="116">
        <f>+'Entrate tot e finalizzati'!F84-'Entrate tot e finalizzati'!G84</f>
        <v>3461</v>
      </c>
      <c r="G84" s="139">
        <f>+'Entrate tot e finalizzati'!H84-'Entrate tot e finalizzati'!I84</f>
        <v>3742</v>
      </c>
      <c r="H84" s="116">
        <f>+'Entrate tot e finalizzati'!J84-'Entrate tot e finalizzati'!K84</f>
        <v>0</v>
      </c>
      <c r="I84" s="116">
        <f>+'Entrate tot e finalizzati'!L84-'Entrate tot e finalizzati'!M84</f>
        <v>487</v>
      </c>
      <c r="J84" s="116">
        <f>+'Entrate tot e finalizzati'!N84-'Entrate tot e finalizzati'!O84</f>
        <v>0</v>
      </c>
      <c r="K84" s="116">
        <f>+'Entrate tot e finalizzati'!P84-'Entrate tot e finalizzati'!Q84</f>
        <v>0</v>
      </c>
      <c r="L84" s="116">
        <f>+'Entrate tot e finalizzati'!R84-'Entrate tot e finalizzati'!S84</f>
        <v>0</v>
      </c>
      <c r="M84" s="116">
        <f>+'Entrate tot e finalizzati'!T84-'Entrate tot e finalizzati'!U84</f>
        <v>0</v>
      </c>
      <c r="N84" s="116">
        <f>+'Entrate tot e finalizzati'!V84-'Entrate tot e finalizzati'!W84</f>
        <v>0</v>
      </c>
    </row>
    <row r="85" spans="1:14" s="2" customFormat="1" ht="12.75">
      <c r="A85" s="145"/>
      <c r="C85" s="51" t="s">
        <v>25</v>
      </c>
      <c r="D85" s="70"/>
      <c r="F85" s="116">
        <f>+'Entrate tot e finalizzati'!F85-'Entrate tot e finalizzati'!G85</f>
        <v>140</v>
      </c>
      <c r="G85" s="139">
        <f>+'Entrate tot e finalizzati'!H85-'Entrate tot e finalizzati'!I85</f>
        <v>146</v>
      </c>
      <c r="H85" s="116">
        <f>+'Entrate tot e finalizzati'!J85-'Entrate tot e finalizzati'!K85</f>
        <v>156</v>
      </c>
      <c r="I85" s="116">
        <f>+'Entrate tot e finalizzati'!L85-'Entrate tot e finalizzati'!M85</f>
        <v>182</v>
      </c>
      <c r="J85" s="116">
        <f>+'Entrate tot e finalizzati'!N85-'Entrate tot e finalizzati'!O85</f>
        <v>237</v>
      </c>
      <c r="K85" s="116">
        <f>+'Entrate tot e finalizzati'!P85-'Entrate tot e finalizzati'!Q85</f>
        <v>367</v>
      </c>
      <c r="L85" s="116">
        <f>+'Entrate tot e finalizzati'!R85-'Entrate tot e finalizzati'!S85</f>
        <v>306</v>
      </c>
      <c r="M85" s="116">
        <f>+'Entrate tot e finalizzati'!T85-'Entrate tot e finalizzati'!U85</f>
        <v>443</v>
      </c>
      <c r="N85" s="116">
        <f>+'Entrate tot e finalizzati'!V85-'Entrate tot e finalizzati'!W85</f>
        <v>343</v>
      </c>
    </row>
    <row r="86" spans="1:14" s="2" customFormat="1" ht="12.75">
      <c r="A86" s="145"/>
      <c r="C86" s="51" t="s">
        <v>55</v>
      </c>
      <c r="D86" s="70"/>
      <c r="F86" s="116">
        <f>+'Entrate tot e finalizzati'!F86-'Entrate tot e finalizzati'!G86</f>
        <v>3827</v>
      </c>
      <c r="G86" s="139">
        <f>+'Entrate tot e finalizzati'!H86-'Entrate tot e finalizzati'!I86</f>
        <v>5696</v>
      </c>
      <c r="H86" s="116">
        <f>+'Entrate tot e finalizzati'!J86-'Entrate tot e finalizzati'!K86</f>
        <v>5638</v>
      </c>
      <c r="I86" s="116">
        <f>+'Entrate tot e finalizzati'!L86-'Entrate tot e finalizzati'!M86</f>
        <v>5852</v>
      </c>
      <c r="J86" s="116">
        <f>+'Entrate tot e finalizzati'!N86-'Entrate tot e finalizzati'!O86</f>
        <v>5841</v>
      </c>
      <c r="K86" s="116">
        <f>+'Entrate tot e finalizzati'!P86-'Entrate tot e finalizzati'!Q86</f>
        <v>6900</v>
      </c>
      <c r="L86" s="116">
        <f>+'Entrate tot e finalizzati'!R86-'Entrate tot e finalizzati'!S86</f>
        <v>7525</v>
      </c>
      <c r="M86" s="116">
        <f>+'Entrate tot e finalizzati'!T86-'Entrate tot e finalizzati'!U86</f>
        <v>7790</v>
      </c>
      <c r="N86" s="116">
        <f>+'Entrate tot e finalizzati'!V86-'Entrate tot e finalizzati'!W86</f>
        <v>9242</v>
      </c>
    </row>
    <row r="87" spans="1:14" s="2" customFormat="1" ht="12.75">
      <c r="A87" s="145"/>
      <c r="C87" s="13" t="s">
        <v>41</v>
      </c>
      <c r="D87" s="70"/>
      <c r="F87" s="116">
        <f>+'Entrate tot e finalizzati'!F87-'Entrate tot e finalizzati'!G87</f>
        <v>0</v>
      </c>
      <c r="G87" s="139">
        <f>+'Entrate tot e finalizzati'!H87-'Entrate tot e finalizzati'!I87</f>
        <v>0</v>
      </c>
      <c r="H87" s="116">
        <f>+'Entrate tot e finalizzati'!J87-'Entrate tot e finalizzati'!K87</f>
        <v>0</v>
      </c>
      <c r="I87" s="116">
        <f>+'Entrate tot e finalizzati'!L87-'Entrate tot e finalizzati'!M87</f>
        <v>0</v>
      </c>
      <c r="J87" s="116">
        <f>+'Entrate tot e finalizzati'!N87-'Entrate tot e finalizzati'!O87</f>
        <v>6</v>
      </c>
      <c r="K87" s="116">
        <f>+'Entrate tot e finalizzati'!P87-'Entrate tot e finalizzati'!Q87</f>
        <v>1</v>
      </c>
      <c r="L87" s="116">
        <f>+'Entrate tot e finalizzati'!R87-'Entrate tot e finalizzati'!S87</f>
        <v>0</v>
      </c>
      <c r="M87" s="116">
        <f>+'Entrate tot e finalizzati'!T87-'Entrate tot e finalizzati'!U87</f>
        <v>0</v>
      </c>
      <c r="N87" s="116">
        <f>+'Entrate tot e finalizzati'!V87-'Entrate tot e finalizzati'!W87</f>
        <v>0</v>
      </c>
    </row>
    <row r="88" spans="1:14" s="2" customFormat="1" ht="12.75">
      <c r="A88" s="145"/>
      <c r="C88" s="51" t="s">
        <v>20</v>
      </c>
      <c r="D88" s="70"/>
      <c r="F88" s="116">
        <f>+'Entrate tot e finalizzati'!F88-'Entrate tot e finalizzati'!G88</f>
        <v>52</v>
      </c>
      <c r="G88" s="139">
        <f>+'Entrate tot e finalizzati'!H88-'Entrate tot e finalizzati'!I88</f>
        <v>64</v>
      </c>
      <c r="H88" s="116">
        <f>+'Entrate tot e finalizzati'!J88-'Entrate tot e finalizzati'!K88</f>
        <v>80</v>
      </c>
      <c r="I88" s="116">
        <f>+'Entrate tot e finalizzati'!L88-'Entrate tot e finalizzati'!M88</f>
        <v>21</v>
      </c>
      <c r="J88" s="116">
        <f>+'Entrate tot e finalizzati'!N88-'Entrate tot e finalizzati'!O88</f>
        <v>105</v>
      </c>
      <c r="K88" s="116">
        <f>+'Entrate tot e finalizzati'!P88-'Entrate tot e finalizzati'!Q88</f>
        <v>0</v>
      </c>
      <c r="L88" s="116">
        <f>+'Entrate tot e finalizzati'!R88-'Entrate tot e finalizzati'!S88</f>
        <v>37</v>
      </c>
      <c r="M88" s="116">
        <f>+'Entrate tot e finalizzati'!T88-'Entrate tot e finalizzati'!U88</f>
        <v>2</v>
      </c>
      <c r="N88" s="116">
        <f>+'Entrate tot e finalizzati'!V88-'Entrate tot e finalizzati'!W88</f>
        <v>304</v>
      </c>
    </row>
    <row r="89" spans="1:14" s="2" customFormat="1" ht="12.75">
      <c r="A89" s="145"/>
      <c r="C89" s="51" t="s">
        <v>56</v>
      </c>
      <c r="D89" s="70"/>
      <c r="F89" s="116">
        <f>+'Entrate tot e finalizzati'!F89-'Entrate tot e finalizzati'!G89</f>
        <v>0</v>
      </c>
      <c r="G89" s="139">
        <f>+'Entrate tot e finalizzati'!H89-'Entrate tot e finalizzati'!I89</f>
        <v>14609</v>
      </c>
      <c r="H89" s="116">
        <f>+'Entrate tot e finalizzati'!J89-'Entrate tot e finalizzati'!K89</f>
        <v>14828</v>
      </c>
      <c r="I89" s="116">
        <f>+'Entrate tot e finalizzati'!L89-'Entrate tot e finalizzati'!M89</f>
        <v>15006</v>
      </c>
      <c r="J89" s="116">
        <f>+'Entrate tot e finalizzati'!N89-'Entrate tot e finalizzati'!O89</f>
        <v>0</v>
      </c>
      <c r="K89" s="116">
        <f>+'Entrate tot e finalizzati'!P89-'Entrate tot e finalizzati'!Q89</f>
        <v>0</v>
      </c>
      <c r="L89" s="116">
        <f>+'Entrate tot e finalizzati'!R89-'Entrate tot e finalizzati'!S89</f>
        <v>0</v>
      </c>
      <c r="M89" s="116">
        <f>+'Entrate tot e finalizzati'!T89-'Entrate tot e finalizzati'!U89</f>
        <v>0</v>
      </c>
      <c r="N89" s="116">
        <f>+'Entrate tot e finalizzati'!V89-'Entrate tot e finalizzati'!W89</f>
        <v>0</v>
      </c>
    </row>
    <row r="90" spans="1:14" s="2" customFormat="1" ht="12.75">
      <c r="A90" s="145"/>
      <c r="C90" s="51" t="s">
        <v>57</v>
      </c>
      <c r="D90" s="70"/>
      <c r="F90" s="116">
        <f>+'Entrate tot e finalizzati'!F90-'Entrate tot e finalizzati'!G90</f>
        <v>0</v>
      </c>
      <c r="G90" s="139">
        <f>+'Entrate tot e finalizzati'!H90-'Entrate tot e finalizzati'!I90</f>
        <v>0</v>
      </c>
      <c r="H90" s="116">
        <f>+'Entrate tot e finalizzati'!J90-'Entrate tot e finalizzati'!K90</f>
        <v>0</v>
      </c>
      <c r="I90" s="116">
        <f>+'Entrate tot e finalizzati'!L90-'Entrate tot e finalizzati'!M90</f>
        <v>11362</v>
      </c>
      <c r="J90" s="116">
        <f>+'Entrate tot e finalizzati'!N90-'Entrate tot e finalizzati'!O90</f>
        <v>11362</v>
      </c>
      <c r="K90" s="116">
        <f>+'Entrate tot e finalizzati'!P90-'Entrate tot e finalizzati'!Q90</f>
        <v>23422</v>
      </c>
      <c r="L90" s="116">
        <f>+'Entrate tot e finalizzati'!R90-'Entrate tot e finalizzati'!S90</f>
        <v>23422</v>
      </c>
      <c r="M90" s="116">
        <f>+'Entrate tot e finalizzati'!T90-'Entrate tot e finalizzati'!U90</f>
        <v>23601</v>
      </c>
      <c r="N90" s="116">
        <f>+'Entrate tot e finalizzati'!V90-'Entrate tot e finalizzati'!W90</f>
        <v>24632</v>
      </c>
    </row>
    <row r="91" spans="1:14" s="2" customFormat="1" ht="12.75">
      <c r="A91" s="145"/>
      <c r="C91" s="51" t="s">
        <v>101</v>
      </c>
      <c r="D91" s="70"/>
      <c r="F91" s="116">
        <f>+'Entrate tot e finalizzati'!F91-'Entrate tot e finalizzati'!G91</f>
        <v>0</v>
      </c>
      <c r="G91" s="139">
        <f>+'Entrate tot e finalizzati'!H91-'Entrate tot e finalizzati'!I91</f>
        <v>0</v>
      </c>
      <c r="H91" s="116">
        <f>+'Entrate tot e finalizzati'!J91-'Entrate tot e finalizzati'!K91</f>
        <v>0</v>
      </c>
      <c r="I91" s="116">
        <f>+'Entrate tot e finalizzati'!L91-'Entrate tot e finalizzati'!M91</f>
        <v>0</v>
      </c>
      <c r="J91" s="116">
        <f>+'Entrate tot e finalizzati'!N91-'Entrate tot e finalizzati'!O91</f>
        <v>0</v>
      </c>
      <c r="K91" s="116">
        <f>+'Entrate tot e finalizzati'!P91-'Entrate tot e finalizzati'!Q91</f>
        <v>0</v>
      </c>
      <c r="L91" s="116">
        <f>+'Entrate tot e finalizzati'!R91-'Entrate tot e finalizzati'!S91</f>
        <v>846</v>
      </c>
      <c r="M91" s="116">
        <f>+'Entrate tot e finalizzati'!T91-'Entrate tot e finalizzati'!U91</f>
        <v>475</v>
      </c>
      <c r="N91" s="116">
        <f>+'Entrate tot e finalizzati'!V91-'Entrate tot e finalizzati'!W91</f>
        <v>870</v>
      </c>
    </row>
    <row r="92" spans="1:14" s="2" customFormat="1" ht="12.75">
      <c r="A92" s="145"/>
      <c r="C92" s="51" t="s">
        <v>58</v>
      </c>
      <c r="D92" s="70"/>
      <c r="F92" s="116">
        <f>+'Entrate tot e finalizzati'!F92-'Entrate tot e finalizzati'!G92</f>
        <v>0</v>
      </c>
      <c r="G92" s="139">
        <f>+'Entrate tot e finalizzati'!H92-'Entrate tot e finalizzati'!I92</f>
        <v>0</v>
      </c>
      <c r="H92" s="116">
        <f>+'Entrate tot e finalizzati'!J92-'Entrate tot e finalizzati'!K92</f>
        <v>2585</v>
      </c>
      <c r="I92" s="116">
        <f>+'Entrate tot e finalizzati'!L92-'Entrate tot e finalizzati'!M92</f>
        <v>3346</v>
      </c>
      <c r="J92" s="116">
        <f>+'Entrate tot e finalizzati'!N92-'Entrate tot e finalizzati'!O92</f>
        <v>4024</v>
      </c>
      <c r="K92" s="116">
        <f>+'Entrate tot e finalizzati'!P92-'Entrate tot e finalizzati'!Q92</f>
        <v>3697</v>
      </c>
      <c r="L92" s="116">
        <f>+'Entrate tot e finalizzati'!R92-'Entrate tot e finalizzati'!S92</f>
        <v>4043</v>
      </c>
      <c r="M92" s="116">
        <f>+'Entrate tot e finalizzati'!T92-'Entrate tot e finalizzati'!U92</f>
        <v>3697</v>
      </c>
      <c r="N92" s="116">
        <f>+'Entrate tot e finalizzati'!V92-'Entrate tot e finalizzati'!W92</f>
        <v>3738</v>
      </c>
    </row>
    <row r="93" spans="1:14" s="2" customFormat="1" ht="12.75">
      <c r="A93" s="145"/>
      <c r="C93" s="51" t="s">
        <v>59</v>
      </c>
      <c r="D93" s="70"/>
      <c r="F93" s="116">
        <f>+'Entrate tot e finalizzati'!F93-'Entrate tot e finalizzati'!G93</f>
        <v>0</v>
      </c>
      <c r="G93" s="139">
        <f>+'Entrate tot e finalizzati'!H93-'Entrate tot e finalizzati'!I93</f>
        <v>0</v>
      </c>
      <c r="H93" s="116">
        <f>+'Entrate tot e finalizzati'!J93-'Entrate tot e finalizzati'!K93</f>
        <v>3815</v>
      </c>
      <c r="I93" s="116">
        <f>+'Entrate tot e finalizzati'!L93-'Entrate tot e finalizzati'!M93</f>
        <v>2345</v>
      </c>
      <c r="J93" s="116">
        <f>+'Entrate tot e finalizzati'!N93-'Entrate tot e finalizzati'!O93</f>
        <v>395</v>
      </c>
      <c r="K93" s="116">
        <f>+'Entrate tot e finalizzati'!P93-'Entrate tot e finalizzati'!Q93</f>
        <v>0</v>
      </c>
      <c r="L93" s="116">
        <f>+'Entrate tot e finalizzati'!R93-'Entrate tot e finalizzati'!S93</f>
        <v>0</v>
      </c>
      <c r="M93" s="116">
        <f>+'Entrate tot e finalizzati'!T93-'Entrate tot e finalizzati'!U93</f>
        <v>0</v>
      </c>
      <c r="N93" s="116">
        <f>+'Entrate tot e finalizzati'!V93-'Entrate tot e finalizzati'!W93</f>
        <v>0</v>
      </c>
    </row>
    <row r="94" spans="1:14" s="2" customFormat="1" ht="12.75">
      <c r="A94" s="145"/>
      <c r="C94" s="51" t="s">
        <v>127</v>
      </c>
      <c r="D94" s="70"/>
      <c r="F94" s="116">
        <f>+'Entrate tot e finalizzati'!F94-'Entrate tot e finalizzati'!G94</f>
        <v>0</v>
      </c>
      <c r="G94" s="139">
        <f>+'Entrate tot e finalizzati'!H94-'Entrate tot e finalizzati'!I94</f>
        <v>0</v>
      </c>
      <c r="H94" s="116">
        <f>+'Entrate tot e finalizzati'!J94-'Entrate tot e finalizzati'!K94</f>
        <v>0</v>
      </c>
      <c r="I94" s="116">
        <f>+'Entrate tot e finalizzati'!L94-'Entrate tot e finalizzati'!M94</f>
        <v>0</v>
      </c>
      <c r="J94" s="116">
        <f>+'Entrate tot e finalizzati'!N94-'Entrate tot e finalizzati'!O94</f>
        <v>0</v>
      </c>
      <c r="K94" s="116">
        <f>+'Entrate tot e finalizzati'!P94-'Entrate tot e finalizzati'!Q94</f>
        <v>0</v>
      </c>
      <c r="L94" s="116">
        <f>+'Entrate tot e finalizzati'!R94-'Entrate tot e finalizzati'!S94</f>
        <v>0</v>
      </c>
      <c r="M94" s="116">
        <f>+'Entrate tot e finalizzati'!T94-'Entrate tot e finalizzati'!U94</f>
        <v>249</v>
      </c>
      <c r="N94" s="116">
        <f>+'Entrate tot e finalizzati'!V94-'Entrate tot e finalizzati'!W94</f>
        <v>434</v>
      </c>
    </row>
    <row r="95" spans="1:14" s="2" customFormat="1" ht="12.75">
      <c r="A95" s="145"/>
      <c r="B95" s="55"/>
      <c r="C95" s="51" t="s">
        <v>40</v>
      </c>
      <c r="D95" s="70"/>
      <c r="E95" s="55"/>
      <c r="F95" s="116">
        <f>+'Entrate tot e finalizzati'!F95-'Entrate tot e finalizzati'!G95</f>
        <v>0</v>
      </c>
      <c r="G95" s="139">
        <f>+'Entrate tot e finalizzati'!H95-'Entrate tot e finalizzati'!I95</f>
        <v>0</v>
      </c>
      <c r="H95" s="116">
        <f>+'Entrate tot e finalizzati'!J95-'Entrate tot e finalizzati'!K95</f>
        <v>0</v>
      </c>
      <c r="I95" s="116">
        <f>+'Entrate tot e finalizzati'!L95-'Entrate tot e finalizzati'!M95</f>
        <v>0</v>
      </c>
      <c r="J95" s="116">
        <f>+'Entrate tot e finalizzati'!N95-'Entrate tot e finalizzati'!O95</f>
        <v>568</v>
      </c>
      <c r="K95" s="116">
        <f>+'Entrate tot e finalizzati'!P95-'Entrate tot e finalizzati'!Q95</f>
        <v>0</v>
      </c>
      <c r="L95" s="116">
        <f>+'Entrate tot e finalizzati'!R95-'Entrate tot e finalizzati'!S95</f>
        <v>16</v>
      </c>
      <c r="M95" s="116">
        <f>+'Entrate tot e finalizzati'!T95-'Entrate tot e finalizzati'!U95</f>
        <v>0</v>
      </c>
      <c r="N95" s="116">
        <f>+'Entrate tot e finalizzati'!V95-'Entrate tot e finalizzati'!W95</f>
        <v>16</v>
      </c>
    </row>
    <row r="96" spans="1:14" s="2" customFormat="1" ht="12.75">
      <c r="A96" s="73"/>
      <c r="B96" s="78" t="s">
        <v>14</v>
      </c>
      <c r="C96" s="78"/>
      <c r="D96" s="74"/>
      <c r="F96" s="87">
        <f aca="true" t="shared" si="13" ref="F96:N96">SUM(F97:F106)</f>
        <v>5793</v>
      </c>
      <c r="G96" s="87">
        <f t="shared" si="13"/>
        <v>6349</v>
      </c>
      <c r="H96" s="87">
        <f t="shared" si="13"/>
        <v>6264</v>
      </c>
      <c r="I96" s="87">
        <f t="shared" si="13"/>
        <v>7933</v>
      </c>
      <c r="J96" s="87">
        <f t="shared" si="13"/>
        <v>11402</v>
      </c>
      <c r="K96" s="87">
        <f t="shared" si="13"/>
        <v>11895</v>
      </c>
      <c r="L96" s="87">
        <f t="shared" si="13"/>
        <v>11648</v>
      </c>
      <c r="M96" s="87">
        <f t="shared" si="13"/>
        <v>11738</v>
      </c>
      <c r="N96" s="87">
        <f t="shared" si="13"/>
        <v>11809</v>
      </c>
    </row>
    <row r="97" spans="1:14" s="2" customFormat="1" ht="12.75">
      <c r="A97" s="73"/>
      <c r="B97" s="78"/>
      <c r="C97" s="51" t="s">
        <v>128</v>
      </c>
      <c r="D97" s="74"/>
      <c r="F97" s="52">
        <f>+'Entrate tot e finalizzati'!F97-'Entrate tot e finalizzati'!G97</f>
        <v>105</v>
      </c>
      <c r="G97" s="52">
        <f>+'Entrate tot e finalizzati'!H97-'Entrate tot e finalizzati'!I97</f>
        <v>147</v>
      </c>
      <c r="H97" s="52">
        <f>+'Entrate tot e finalizzati'!J97-'Entrate tot e finalizzati'!K97</f>
        <v>128</v>
      </c>
      <c r="I97" s="52">
        <f>+'Entrate tot e finalizzati'!L97-'Entrate tot e finalizzati'!M97</f>
        <v>123</v>
      </c>
      <c r="J97" s="52">
        <f>+'Entrate tot e finalizzati'!N97-'Entrate tot e finalizzati'!O97</f>
        <v>0</v>
      </c>
      <c r="K97" s="52">
        <f>+'Entrate tot e finalizzati'!P97-'Entrate tot e finalizzati'!Q97</f>
        <v>0</v>
      </c>
      <c r="L97" s="52">
        <f>+'Entrate tot e finalizzati'!R97-'Entrate tot e finalizzati'!S97</f>
        <v>0</v>
      </c>
      <c r="M97" s="52">
        <f>+'Entrate tot e finalizzati'!T97-'Entrate tot e finalizzati'!U97</f>
        <v>0</v>
      </c>
      <c r="N97" s="52">
        <f>+'Entrate tot e finalizzati'!V97-'Entrate tot e finalizzati'!W97</f>
        <v>0</v>
      </c>
    </row>
    <row r="98" spans="1:14" s="2" customFormat="1" ht="12.75">
      <c r="A98" s="73"/>
      <c r="B98" s="78"/>
      <c r="C98" s="51" t="s">
        <v>62</v>
      </c>
      <c r="D98" s="74"/>
      <c r="F98" s="52">
        <f>+'Entrate tot e finalizzati'!F98-'Entrate tot e finalizzati'!G98</f>
        <v>3844</v>
      </c>
      <c r="G98" s="52">
        <f>+'Entrate tot e finalizzati'!H98-'Entrate tot e finalizzati'!I98</f>
        <v>4010</v>
      </c>
      <c r="H98" s="52">
        <f>+'Entrate tot e finalizzati'!J98-'Entrate tot e finalizzati'!K98</f>
        <v>4651</v>
      </c>
      <c r="I98" s="52">
        <f>+'Entrate tot e finalizzati'!L98-'Entrate tot e finalizzati'!M98</f>
        <v>4661</v>
      </c>
      <c r="J98" s="52">
        <f>+'Entrate tot e finalizzati'!N98-'Entrate tot e finalizzati'!O98</f>
        <v>5460</v>
      </c>
      <c r="K98" s="52">
        <f>+'Entrate tot e finalizzati'!P98-'Entrate tot e finalizzati'!Q98</f>
        <v>5457</v>
      </c>
      <c r="L98" s="52">
        <f>+'Entrate tot e finalizzati'!R98-'Entrate tot e finalizzati'!S98</f>
        <v>5686</v>
      </c>
      <c r="M98" s="52">
        <f>+'Entrate tot e finalizzati'!T98-'Entrate tot e finalizzati'!U98</f>
        <v>5615</v>
      </c>
      <c r="N98" s="52">
        <f>+'Entrate tot e finalizzati'!V98-'Entrate tot e finalizzati'!W98</f>
        <v>5702</v>
      </c>
    </row>
    <row r="99" spans="1:14" s="2" customFormat="1" ht="12.75">
      <c r="A99" s="73"/>
      <c r="B99" s="78"/>
      <c r="C99" s="51" t="s">
        <v>129</v>
      </c>
      <c r="D99" s="74"/>
      <c r="F99" s="52">
        <f>+'Entrate tot e finalizzati'!F99-'Entrate tot e finalizzati'!G99</f>
        <v>178</v>
      </c>
      <c r="G99" s="52">
        <f>+'Entrate tot e finalizzati'!H99-'Entrate tot e finalizzati'!I99</f>
        <v>177</v>
      </c>
      <c r="H99" s="52">
        <f>+'Entrate tot e finalizzati'!J99-'Entrate tot e finalizzati'!K99</f>
        <v>193</v>
      </c>
      <c r="I99" s="52">
        <f>+'Entrate tot e finalizzati'!L99-'Entrate tot e finalizzati'!M99</f>
        <v>189</v>
      </c>
      <c r="J99" s="52">
        <f>+'Entrate tot e finalizzati'!N99-'Entrate tot e finalizzati'!O99</f>
        <v>0</v>
      </c>
      <c r="K99" s="52">
        <f>+'Entrate tot e finalizzati'!P99-'Entrate tot e finalizzati'!Q99</f>
        <v>0</v>
      </c>
      <c r="L99" s="52">
        <f>+'Entrate tot e finalizzati'!R99-'Entrate tot e finalizzati'!S99</f>
        <v>0</v>
      </c>
      <c r="M99" s="52">
        <f>+'Entrate tot e finalizzati'!T99-'Entrate tot e finalizzati'!U99</f>
        <v>0</v>
      </c>
      <c r="N99" s="52">
        <f>+'Entrate tot e finalizzati'!V99-'Entrate tot e finalizzati'!W99</f>
        <v>0</v>
      </c>
    </row>
    <row r="100" spans="1:14" s="2" customFormat="1" ht="12.75">
      <c r="A100" s="73"/>
      <c r="B100" s="78"/>
      <c r="C100" s="51" t="s">
        <v>63</v>
      </c>
      <c r="D100" s="74"/>
      <c r="F100" s="52">
        <f>+'Entrate tot e finalizzati'!F100-'Entrate tot e finalizzati'!G100</f>
        <v>720</v>
      </c>
      <c r="G100" s="52">
        <f>+'Entrate tot e finalizzati'!H100-'Entrate tot e finalizzati'!I100</f>
        <v>695</v>
      </c>
      <c r="H100" s="52">
        <f>+'Entrate tot e finalizzati'!J100-'Entrate tot e finalizzati'!K100</f>
        <v>501</v>
      </c>
      <c r="I100" s="52">
        <f>+'Entrate tot e finalizzati'!L100-'Entrate tot e finalizzati'!M100</f>
        <v>134</v>
      </c>
      <c r="J100" s="52">
        <f>+'Entrate tot e finalizzati'!N100-'Entrate tot e finalizzati'!O100</f>
        <v>36</v>
      </c>
      <c r="K100" s="52">
        <f>+'Entrate tot e finalizzati'!P100-'Entrate tot e finalizzati'!Q100</f>
        <v>27</v>
      </c>
      <c r="L100" s="52">
        <f>+'Entrate tot e finalizzati'!R100-'Entrate tot e finalizzati'!S100</f>
        <v>18</v>
      </c>
      <c r="M100" s="52">
        <f>+'Entrate tot e finalizzati'!T100-'Entrate tot e finalizzati'!U100</f>
        <v>0</v>
      </c>
      <c r="N100" s="52">
        <f>+'Entrate tot e finalizzati'!V100-'Entrate tot e finalizzati'!W100</f>
        <v>0</v>
      </c>
    </row>
    <row r="101" spans="1:14" s="2" customFormat="1" ht="12.75">
      <c r="A101" s="73"/>
      <c r="B101" s="78"/>
      <c r="C101" s="51" t="s">
        <v>64</v>
      </c>
      <c r="D101" s="74"/>
      <c r="F101" s="52">
        <f>+'Entrate tot e finalizzati'!F101-'Entrate tot e finalizzati'!G101</f>
        <v>544</v>
      </c>
      <c r="G101" s="52">
        <f>+'Entrate tot e finalizzati'!H101-'Entrate tot e finalizzati'!I101</f>
        <v>581</v>
      </c>
      <c r="H101" s="52">
        <f>+'Entrate tot e finalizzati'!J101-'Entrate tot e finalizzati'!K101</f>
        <v>361</v>
      </c>
      <c r="I101" s="52">
        <f>+'Entrate tot e finalizzati'!L101-'Entrate tot e finalizzati'!M101</f>
        <v>282</v>
      </c>
      <c r="J101" s="52">
        <f>+'Entrate tot e finalizzati'!N101-'Entrate tot e finalizzati'!O101</f>
        <v>290</v>
      </c>
      <c r="K101" s="52">
        <f>+'Entrate tot e finalizzati'!P101-'Entrate tot e finalizzati'!Q101</f>
        <v>792</v>
      </c>
      <c r="L101" s="52">
        <f>+'Entrate tot e finalizzati'!R101-'Entrate tot e finalizzati'!S101</f>
        <v>304</v>
      </c>
      <c r="M101" s="52">
        <f>+'Entrate tot e finalizzati'!T101-'Entrate tot e finalizzati'!U101</f>
        <v>311</v>
      </c>
      <c r="N101" s="52">
        <f>+'Entrate tot e finalizzati'!V101-'Entrate tot e finalizzati'!W101</f>
        <v>317</v>
      </c>
    </row>
    <row r="102" spans="1:14" s="2" customFormat="1" ht="12.75">
      <c r="A102" s="73"/>
      <c r="B102" s="78"/>
      <c r="C102" s="13" t="s">
        <v>41</v>
      </c>
      <c r="D102" s="74"/>
      <c r="F102" s="52">
        <f>+'Entrate tot e finalizzati'!F102-'Entrate tot e finalizzati'!G102</f>
        <v>402</v>
      </c>
      <c r="G102" s="52">
        <f>+'Entrate tot e finalizzati'!H102-'Entrate tot e finalizzati'!I102</f>
        <v>739</v>
      </c>
      <c r="H102" s="52">
        <f>+'Entrate tot e finalizzati'!J102-'Entrate tot e finalizzati'!K102</f>
        <v>430</v>
      </c>
      <c r="I102" s="52">
        <f>+'Entrate tot e finalizzati'!L102-'Entrate tot e finalizzati'!M102</f>
        <v>272</v>
      </c>
      <c r="J102" s="52">
        <f>+'Entrate tot e finalizzati'!N102-'Entrate tot e finalizzati'!O102</f>
        <v>374</v>
      </c>
      <c r="K102" s="52">
        <f>+'Entrate tot e finalizzati'!P102-'Entrate tot e finalizzati'!Q102</f>
        <v>219</v>
      </c>
      <c r="L102" s="52">
        <f>+'Entrate tot e finalizzati'!R102-'Entrate tot e finalizzati'!S102</f>
        <v>212</v>
      </c>
      <c r="M102" s="52">
        <f>+'Entrate tot e finalizzati'!T102-'Entrate tot e finalizzati'!U102</f>
        <v>284</v>
      </c>
      <c r="N102" s="52">
        <f>+'Entrate tot e finalizzati'!V102-'Entrate tot e finalizzati'!W102</f>
        <v>198</v>
      </c>
    </row>
    <row r="103" spans="1:14" s="2" customFormat="1" ht="12.75">
      <c r="A103" s="73"/>
      <c r="B103" s="78"/>
      <c r="C103" s="50" t="s">
        <v>136</v>
      </c>
      <c r="D103" s="74"/>
      <c r="F103" s="52">
        <f>+'Entrate tot e finalizzati'!F103-'Entrate tot e finalizzati'!G103</f>
        <v>0</v>
      </c>
      <c r="G103" s="52">
        <f>+'Entrate tot e finalizzati'!H103-'Entrate tot e finalizzati'!I103</f>
        <v>0</v>
      </c>
      <c r="H103" s="52">
        <f>+'Entrate tot e finalizzati'!J103-'Entrate tot e finalizzati'!K103</f>
        <v>0</v>
      </c>
      <c r="I103" s="52">
        <f>+'Entrate tot e finalizzati'!L103-'Entrate tot e finalizzati'!M103</f>
        <v>0</v>
      </c>
      <c r="J103" s="52">
        <f>+'Entrate tot e finalizzati'!N103-'Entrate tot e finalizzati'!O103</f>
        <v>0</v>
      </c>
      <c r="K103" s="52">
        <f>+'Entrate tot e finalizzati'!P103-'Entrate tot e finalizzati'!Q103</f>
        <v>0</v>
      </c>
      <c r="L103" s="52">
        <f>+'Entrate tot e finalizzati'!R103-'Entrate tot e finalizzati'!S103</f>
        <v>0</v>
      </c>
      <c r="M103" s="52">
        <f>+'Entrate tot e finalizzati'!T103-'Entrate tot e finalizzati'!U103</f>
        <v>0</v>
      </c>
      <c r="N103" s="52">
        <f>+'Entrate tot e finalizzati'!V103-'Entrate tot e finalizzati'!W103</f>
        <v>0</v>
      </c>
    </row>
    <row r="104" spans="1:14" s="2" customFormat="1" ht="12.75">
      <c r="A104" s="73"/>
      <c r="B104" s="78"/>
      <c r="C104" s="51" t="s">
        <v>67</v>
      </c>
      <c r="D104" s="74"/>
      <c r="F104" s="52">
        <f>+'Entrate tot e finalizzati'!F104-'Entrate tot e finalizzati'!G104</f>
        <v>0</v>
      </c>
      <c r="G104" s="52">
        <f>+'Entrate tot e finalizzati'!H104-'Entrate tot e finalizzati'!I104</f>
        <v>0</v>
      </c>
      <c r="H104" s="52">
        <f>+'Entrate tot e finalizzati'!J104-'Entrate tot e finalizzati'!K104</f>
        <v>0</v>
      </c>
      <c r="I104" s="52">
        <f>+'Entrate tot e finalizzati'!L104-'Entrate tot e finalizzati'!M104</f>
        <v>0</v>
      </c>
      <c r="J104" s="52">
        <f>+'Entrate tot e finalizzati'!N104-'Entrate tot e finalizzati'!O104</f>
        <v>0</v>
      </c>
      <c r="K104" s="52">
        <f>+'Entrate tot e finalizzati'!P104-'Entrate tot e finalizzati'!Q104</f>
        <v>162</v>
      </c>
      <c r="L104" s="52">
        <f>+'Entrate tot e finalizzati'!R104-'Entrate tot e finalizzati'!S104</f>
        <v>114</v>
      </c>
      <c r="M104" s="52">
        <f>+'Entrate tot e finalizzati'!T104-'Entrate tot e finalizzati'!U104</f>
        <v>145</v>
      </c>
      <c r="N104" s="52">
        <f>+'Entrate tot e finalizzati'!V104-'Entrate tot e finalizzati'!W104</f>
        <v>145</v>
      </c>
    </row>
    <row r="105" spans="1:14" s="2" customFormat="1" ht="12.75">
      <c r="A105" s="73"/>
      <c r="B105" s="78"/>
      <c r="C105" s="51" t="s">
        <v>66</v>
      </c>
      <c r="D105" s="74"/>
      <c r="F105" s="52">
        <f>+'Entrate tot e finalizzati'!F105-'Entrate tot e finalizzati'!G105</f>
        <v>0</v>
      </c>
      <c r="G105" s="52">
        <f>+'Entrate tot e finalizzati'!H105-'Entrate tot e finalizzati'!I105</f>
        <v>0</v>
      </c>
      <c r="H105" s="52">
        <f>+'Entrate tot e finalizzati'!J105-'Entrate tot e finalizzati'!K105</f>
        <v>0</v>
      </c>
      <c r="I105" s="52">
        <f>+'Entrate tot e finalizzati'!L105-'Entrate tot e finalizzati'!M105</f>
        <v>0</v>
      </c>
      <c r="J105" s="52">
        <f>+'Entrate tot e finalizzati'!N105-'Entrate tot e finalizzati'!O105</f>
        <v>0</v>
      </c>
      <c r="K105" s="52">
        <f>+'Entrate tot e finalizzati'!P105-'Entrate tot e finalizzati'!Q105</f>
        <v>0</v>
      </c>
      <c r="L105" s="52">
        <f>+'Entrate tot e finalizzati'!R105-'Entrate tot e finalizzati'!S105</f>
        <v>0</v>
      </c>
      <c r="M105" s="52">
        <f>+'Entrate tot e finalizzati'!T105-'Entrate tot e finalizzati'!U105</f>
        <v>0</v>
      </c>
      <c r="N105" s="52">
        <f>+'Entrate tot e finalizzati'!V105-'Entrate tot e finalizzati'!W105</f>
        <v>0</v>
      </c>
    </row>
    <row r="106" spans="1:14" s="2" customFormat="1" ht="12.75">
      <c r="A106" s="81"/>
      <c r="B106" s="128"/>
      <c r="C106" s="82" t="s">
        <v>130</v>
      </c>
      <c r="D106" s="83"/>
      <c r="E106" s="85"/>
      <c r="F106" s="95">
        <f>+'Entrate tot e finalizzati'!F106-'Entrate tot e finalizzati'!G106</f>
        <v>0</v>
      </c>
      <c r="G106" s="95">
        <f>+'Entrate tot e finalizzati'!H106-'Entrate tot e finalizzati'!I106</f>
        <v>0</v>
      </c>
      <c r="H106" s="95">
        <f>+'Entrate tot e finalizzati'!J106-'Entrate tot e finalizzati'!K106</f>
        <v>0</v>
      </c>
      <c r="I106" s="95">
        <f>+'Entrate tot e finalizzati'!L106-'Entrate tot e finalizzati'!M106</f>
        <v>2272</v>
      </c>
      <c r="J106" s="95">
        <f>+'Entrate tot e finalizzati'!N106-'Entrate tot e finalizzati'!O106</f>
        <v>5242</v>
      </c>
      <c r="K106" s="95">
        <f>+'Entrate tot e finalizzati'!P106-'Entrate tot e finalizzati'!Q106</f>
        <v>5238</v>
      </c>
      <c r="L106" s="95">
        <f>+'Entrate tot e finalizzati'!R106-'Entrate tot e finalizzati'!S106</f>
        <v>5314</v>
      </c>
      <c r="M106" s="95">
        <f>+'Entrate tot e finalizzati'!T106-'Entrate tot e finalizzati'!U106</f>
        <v>5383</v>
      </c>
      <c r="N106" s="95">
        <f>+'Entrate tot e finalizzati'!V106-'Entrate tot e finalizzati'!W106</f>
        <v>5447</v>
      </c>
    </row>
    <row r="107" spans="1:14" s="2" customFormat="1" ht="12.75">
      <c r="A107" s="40" t="s">
        <v>111</v>
      </c>
      <c r="B107" s="41"/>
      <c r="C107" s="41"/>
      <c r="D107" s="42"/>
      <c r="E107" s="45"/>
      <c r="F107" s="49">
        <f aca="true" t="shared" si="14" ref="F107:N107">SUM(F108:F114)</f>
        <v>1262</v>
      </c>
      <c r="G107" s="49">
        <f t="shared" si="14"/>
        <v>409</v>
      </c>
      <c r="H107" s="49">
        <f t="shared" si="14"/>
        <v>1009</v>
      </c>
      <c r="I107" s="49">
        <f t="shared" si="14"/>
        <v>713</v>
      </c>
      <c r="J107" s="49">
        <f t="shared" si="14"/>
        <v>771</v>
      </c>
      <c r="K107" s="49">
        <f t="shared" si="14"/>
        <v>667</v>
      </c>
      <c r="L107" s="49">
        <f t="shared" si="14"/>
        <v>214</v>
      </c>
      <c r="M107" s="49">
        <f t="shared" si="14"/>
        <v>420</v>
      </c>
      <c r="N107" s="49">
        <f t="shared" si="14"/>
        <v>378</v>
      </c>
    </row>
    <row r="108" spans="1:14" s="2" customFormat="1" ht="12.75">
      <c r="A108" s="73"/>
      <c r="B108" s="51" t="s">
        <v>40</v>
      </c>
      <c r="C108" s="51"/>
      <c r="D108" s="74"/>
      <c r="F108" s="53">
        <f>+'Entrate tot e finalizzati'!F108-'Entrate tot e finalizzati'!G108</f>
        <v>0</v>
      </c>
      <c r="G108" s="53">
        <f>+'Entrate tot e finalizzati'!H108-'Entrate tot e finalizzati'!I108</f>
        <v>0</v>
      </c>
      <c r="H108" s="53">
        <f>+'Entrate tot e finalizzati'!J108-'Entrate tot e finalizzati'!K108</f>
        <v>0</v>
      </c>
      <c r="I108" s="53">
        <f>+'Entrate tot e finalizzati'!L108-'Entrate tot e finalizzati'!M108</f>
        <v>0</v>
      </c>
      <c r="J108" s="53">
        <f>+'Entrate tot e finalizzati'!N108-'Entrate tot e finalizzati'!O108</f>
        <v>207</v>
      </c>
      <c r="K108" s="53">
        <f>+'Entrate tot e finalizzati'!P108-'Entrate tot e finalizzati'!Q108</f>
        <v>207</v>
      </c>
      <c r="L108" s="53">
        <f>+'Entrate tot e finalizzati'!R108-'Entrate tot e finalizzati'!S108</f>
        <v>0</v>
      </c>
      <c r="M108" s="53">
        <f>+'Entrate tot e finalizzati'!T108-'Entrate tot e finalizzati'!U108</f>
        <v>0</v>
      </c>
      <c r="N108" s="53">
        <f>+'Entrate tot e finalizzati'!V108-'Entrate tot e finalizzati'!W108</f>
        <v>0</v>
      </c>
    </row>
    <row r="109" spans="1:14" s="2" customFormat="1" ht="12.75">
      <c r="A109" s="73"/>
      <c r="B109" s="13" t="s">
        <v>31</v>
      </c>
      <c r="C109" s="51"/>
      <c r="D109" s="74"/>
      <c r="F109" s="33">
        <f>+'Entrate tot e finalizzati'!F109-'Entrate tot e finalizzati'!G109</f>
        <v>138</v>
      </c>
      <c r="G109" s="33">
        <f>+'Entrate tot e finalizzati'!H109-'Entrate tot e finalizzati'!I109</f>
        <v>82</v>
      </c>
      <c r="H109" s="33">
        <f>+'Entrate tot e finalizzati'!J109-'Entrate tot e finalizzati'!K109</f>
        <v>232</v>
      </c>
      <c r="I109" s="33">
        <f>+'Entrate tot e finalizzati'!L109-'Entrate tot e finalizzati'!M109</f>
        <v>602</v>
      </c>
      <c r="J109" s="33">
        <f>+'Entrate tot e finalizzati'!N109-'Entrate tot e finalizzati'!O109</f>
        <v>564</v>
      </c>
      <c r="K109" s="33">
        <f>+'Entrate tot e finalizzati'!P109-'Entrate tot e finalizzati'!Q109</f>
        <v>183</v>
      </c>
      <c r="L109" s="33">
        <f>+'Entrate tot e finalizzati'!R109-'Entrate tot e finalizzati'!S109</f>
        <v>163</v>
      </c>
      <c r="M109" s="33">
        <f>+'Entrate tot e finalizzati'!T109-'Entrate tot e finalizzati'!U109</f>
        <v>283</v>
      </c>
      <c r="N109" s="33">
        <f>+'Entrate tot e finalizzati'!V109-'Entrate tot e finalizzati'!W109</f>
        <v>325</v>
      </c>
    </row>
    <row r="110" spans="1:14" s="2" customFormat="1" ht="12.75">
      <c r="A110" s="73"/>
      <c r="B110" s="50" t="s">
        <v>26</v>
      </c>
      <c r="C110" s="51"/>
      <c r="D110" s="74"/>
      <c r="F110" s="33">
        <f>+'Entrate tot e finalizzati'!F110-'Entrate tot e finalizzati'!G110</f>
        <v>0</v>
      </c>
      <c r="G110" s="33">
        <f>+'Entrate tot e finalizzati'!H110-'Entrate tot e finalizzati'!I110</f>
        <v>0</v>
      </c>
      <c r="H110" s="33">
        <f>+'Entrate tot e finalizzati'!J110-'Entrate tot e finalizzati'!K110</f>
        <v>0</v>
      </c>
      <c r="I110" s="33">
        <f>+'Entrate tot e finalizzati'!L110-'Entrate tot e finalizzati'!M110</f>
        <v>0</v>
      </c>
      <c r="J110" s="33">
        <f>+'Entrate tot e finalizzati'!N110-'Entrate tot e finalizzati'!O110</f>
        <v>0</v>
      </c>
      <c r="K110" s="33">
        <f>+'Entrate tot e finalizzati'!P110-'Entrate tot e finalizzati'!Q110</f>
        <v>32</v>
      </c>
      <c r="L110" s="33">
        <f>+'Entrate tot e finalizzati'!R110-'Entrate tot e finalizzati'!S110</f>
        <v>51</v>
      </c>
      <c r="M110" s="33">
        <f>+'Entrate tot e finalizzati'!T110-'Entrate tot e finalizzati'!U110</f>
        <v>29</v>
      </c>
      <c r="N110" s="33">
        <f>+'Entrate tot e finalizzati'!V110-'Entrate tot e finalizzati'!W110</f>
        <v>0</v>
      </c>
    </row>
    <row r="111" spans="1:14" s="2" customFormat="1" ht="12.75">
      <c r="A111" s="73"/>
      <c r="B111" s="51" t="s">
        <v>43</v>
      </c>
      <c r="C111" s="51"/>
      <c r="D111" s="74"/>
      <c r="F111" s="33">
        <f>+'Entrate tot e finalizzati'!F111-'Entrate tot e finalizzati'!G111</f>
        <v>2</v>
      </c>
      <c r="G111" s="33">
        <f>+'Entrate tot e finalizzati'!H111-'Entrate tot e finalizzati'!I111</f>
        <v>2</v>
      </c>
      <c r="H111" s="33">
        <f>+'Entrate tot e finalizzati'!J111-'Entrate tot e finalizzati'!K111</f>
        <v>2</v>
      </c>
      <c r="I111" s="33">
        <f>+'Entrate tot e finalizzati'!L111-'Entrate tot e finalizzati'!M111</f>
        <v>0</v>
      </c>
      <c r="J111" s="33">
        <f>+'Entrate tot e finalizzati'!N111-'Entrate tot e finalizzati'!O111</f>
        <v>0</v>
      </c>
      <c r="K111" s="33">
        <f>+'Entrate tot e finalizzati'!P111-'Entrate tot e finalizzati'!Q111</f>
        <v>0</v>
      </c>
      <c r="L111" s="33">
        <f>+'Entrate tot e finalizzati'!R111-'Entrate tot e finalizzati'!S111</f>
        <v>0</v>
      </c>
      <c r="M111" s="33">
        <f>+'Entrate tot e finalizzati'!T111-'Entrate tot e finalizzati'!U111</f>
        <v>0</v>
      </c>
      <c r="N111" s="33">
        <f>+'Entrate tot e finalizzati'!V111-'Entrate tot e finalizzati'!W111</f>
        <v>0</v>
      </c>
    </row>
    <row r="112" spans="1:14" s="2" customFormat="1" ht="12.75">
      <c r="A112" s="73"/>
      <c r="B112" s="51" t="s">
        <v>135</v>
      </c>
      <c r="C112" s="51"/>
      <c r="D112" s="74"/>
      <c r="F112" s="33">
        <f>+'Entrate tot e finalizzati'!F112-'Entrate tot e finalizzati'!G112</f>
        <v>0</v>
      </c>
      <c r="G112" s="33">
        <f>+'Entrate tot e finalizzati'!H112-'Entrate tot e finalizzati'!I112</f>
        <v>0</v>
      </c>
      <c r="H112" s="33">
        <f>+'Entrate tot e finalizzati'!J112-'Entrate tot e finalizzati'!K112</f>
        <v>0</v>
      </c>
      <c r="I112" s="33">
        <f>+'Entrate tot e finalizzati'!L112-'Entrate tot e finalizzati'!M112</f>
        <v>0</v>
      </c>
      <c r="J112" s="33">
        <f>+'Entrate tot e finalizzati'!N112-'Entrate tot e finalizzati'!O112</f>
        <v>0</v>
      </c>
      <c r="K112" s="33">
        <f>+'Entrate tot e finalizzati'!P112-'Entrate tot e finalizzati'!Q112</f>
        <v>0</v>
      </c>
      <c r="L112" s="33">
        <f>+'Entrate tot e finalizzati'!R112-'Entrate tot e finalizzati'!S112</f>
        <v>0</v>
      </c>
      <c r="M112" s="33">
        <f>+'Entrate tot e finalizzati'!T112-'Entrate tot e finalizzati'!U112</f>
        <v>0</v>
      </c>
      <c r="N112" s="33">
        <f>+'Entrate tot e finalizzati'!V112-'Entrate tot e finalizzati'!W112</f>
        <v>0</v>
      </c>
    </row>
    <row r="113" spans="1:14" s="2" customFormat="1" ht="12.75">
      <c r="A113" s="73"/>
      <c r="B113" s="51" t="s">
        <v>20</v>
      </c>
      <c r="C113" s="51"/>
      <c r="D113" s="74"/>
      <c r="F113" s="33">
        <f>+'Entrate tot e finalizzati'!F113-'Entrate tot e finalizzati'!G113</f>
        <v>0</v>
      </c>
      <c r="G113" s="33">
        <f>+'Entrate tot e finalizzati'!H113-'Entrate tot e finalizzati'!I113</f>
        <v>56</v>
      </c>
      <c r="H113" s="33">
        <f>+'Entrate tot e finalizzati'!J113-'Entrate tot e finalizzati'!K113</f>
        <v>0</v>
      </c>
      <c r="I113" s="33">
        <f>+'Entrate tot e finalizzati'!L113-'Entrate tot e finalizzati'!M113</f>
        <v>111</v>
      </c>
      <c r="J113" s="33">
        <f>+'Entrate tot e finalizzati'!N113-'Entrate tot e finalizzati'!O113</f>
        <v>0</v>
      </c>
      <c r="K113" s="33">
        <f>+'Entrate tot e finalizzati'!P113-'Entrate tot e finalizzati'!Q113</f>
        <v>0</v>
      </c>
      <c r="L113" s="33">
        <f>+'Entrate tot e finalizzati'!R113-'Entrate tot e finalizzati'!S113</f>
        <v>0</v>
      </c>
      <c r="M113" s="33">
        <f>+'Entrate tot e finalizzati'!T113-'Entrate tot e finalizzati'!U113</f>
        <v>108</v>
      </c>
      <c r="N113" s="33">
        <f>+'Entrate tot e finalizzati'!V113-'Entrate tot e finalizzati'!W113</f>
        <v>53</v>
      </c>
    </row>
    <row r="114" spans="1:14" s="2" customFormat="1" ht="12.75">
      <c r="A114" s="81"/>
      <c r="B114" s="82" t="s">
        <v>72</v>
      </c>
      <c r="C114" s="82"/>
      <c r="D114" s="83"/>
      <c r="E114" s="85"/>
      <c r="F114" s="34">
        <f>+'Entrate tot e finalizzati'!F114-'Entrate tot e finalizzati'!G114</f>
        <v>1122</v>
      </c>
      <c r="G114" s="34">
        <f>+'Entrate tot e finalizzati'!H114-'Entrate tot e finalizzati'!I114</f>
        <v>269</v>
      </c>
      <c r="H114" s="34">
        <f>+'Entrate tot e finalizzati'!J114-'Entrate tot e finalizzati'!K114</f>
        <v>775</v>
      </c>
      <c r="I114" s="34">
        <f>+'Entrate tot e finalizzati'!L114-'Entrate tot e finalizzati'!M114</f>
        <v>0</v>
      </c>
      <c r="J114" s="34">
        <f>+'Entrate tot e finalizzati'!N114-'Entrate tot e finalizzati'!O114</f>
        <v>0</v>
      </c>
      <c r="K114" s="34">
        <f>+'Entrate tot e finalizzati'!P114-'Entrate tot e finalizzati'!Q114</f>
        <v>245</v>
      </c>
      <c r="L114" s="34">
        <f>+'Entrate tot e finalizzati'!R114-'Entrate tot e finalizzati'!S114</f>
        <v>0</v>
      </c>
      <c r="M114" s="34">
        <f>+'Entrate tot e finalizzati'!T114-'Entrate tot e finalizzati'!U114</f>
        <v>0</v>
      </c>
      <c r="N114" s="34">
        <f>+'Entrate tot e finalizzati'!V114-'Entrate tot e finalizzati'!W114</f>
        <v>0</v>
      </c>
    </row>
    <row r="115" spans="1:14" s="2" customFormat="1" ht="12.75">
      <c r="A115" s="130" t="s">
        <v>113</v>
      </c>
      <c r="B115" s="125"/>
      <c r="C115" s="125"/>
      <c r="D115" s="126"/>
      <c r="E115" s="127"/>
      <c r="F115" s="129">
        <f aca="true" t="shared" si="15" ref="F115:N115">+F116+F119+F129+F140</f>
        <v>21380</v>
      </c>
      <c r="G115" s="129">
        <f t="shared" si="15"/>
        <v>23542</v>
      </c>
      <c r="H115" s="129">
        <f t="shared" si="15"/>
        <v>24139</v>
      </c>
      <c r="I115" s="129">
        <f t="shared" si="15"/>
        <v>24125</v>
      </c>
      <c r="J115" s="129">
        <f t="shared" si="15"/>
        <v>29772</v>
      </c>
      <c r="K115" s="129">
        <f t="shared" si="15"/>
        <v>29582</v>
      </c>
      <c r="L115" s="129">
        <f t="shared" si="15"/>
        <v>24440</v>
      </c>
      <c r="M115" s="129">
        <f t="shared" si="15"/>
        <v>26773</v>
      </c>
      <c r="N115" s="129">
        <f t="shared" si="15"/>
        <v>26153</v>
      </c>
    </row>
    <row r="116" spans="1:14" s="157" customFormat="1" ht="12.75">
      <c r="A116" s="138"/>
      <c r="B116" s="78" t="s">
        <v>114</v>
      </c>
      <c r="D116" s="158"/>
      <c r="F116" s="87">
        <f aca="true" t="shared" si="16" ref="F116:N116">SUM(F117:F118)</f>
        <v>0</v>
      </c>
      <c r="G116" s="87">
        <f t="shared" si="16"/>
        <v>0</v>
      </c>
      <c r="H116" s="87">
        <f t="shared" si="16"/>
        <v>0</v>
      </c>
      <c r="I116" s="87">
        <f t="shared" si="16"/>
        <v>0</v>
      </c>
      <c r="J116" s="87">
        <f t="shared" si="16"/>
        <v>0</v>
      </c>
      <c r="K116" s="87">
        <f t="shared" si="16"/>
        <v>0</v>
      </c>
      <c r="L116" s="87">
        <f t="shared" si="16"/>
        <v>0</v>
      </c>
      <c r="M116" s="87">
        <f t="shared" si="16"/>
        <v>0</v>
      </c>
      <c r="N116" s="87">
        <f t="shared" si="16"/>
        <v>0</v>
      </c>
    </row>
    <row r="117" spans="1:14" s="2" customFormat="1" ht="12.75">
      <c r="A117" s="73"/>
      <c r="B117" s="51"/>
      <c r="C117" s="51" t="s">
        <v>135</v>
      </c>
      <c r="D117" s="74"/>
      <c r="F117" s="52">
        <f>+'Entrate tot e finalizzati'!F117-'Entrate tot e finalizzati'!G117</f>
        <v>0</v>
      </c>
      <c r="G117" s="53">
        <f>+'Entrate tot e finalizzati'!H117-'Entrate tot e finalizzati'!I117</f>
        <v>0</v>
      </c>
      <c r="H117" s="71">
        <f>+'Entrate tot e finalizzati'!J117-'Entrate tot e finalizzati'!K117</f>
        <v>0</v>
      </c>
      <c r="I117" s="71">
        <f>+'Entrate tot e finalizzati'!L117-'Entrate tot e finalizzati'!M117</f>
        <v>0</v>
      </c>
      <c r="J117" s="71">
        <f>+'Entrate tot e finalizzati'!N117-'Entrate tot e finalizzati'!O117</f>
        <v>0</v>
      </c>
      <c r="K117" s="52">
        <f>+'Entrate tot e finalizzati'!P117-'Entrate tot e finalizzati'!Q117</f>
        <v>0</v>
      </c>
      <c r="L117" s="71">
        <f>+'Entrate tot e finalizzati'!R117-'Entrate tot e finalizzati'!S117</f>
        <v>0</v>
      </c>
      <c r="M117" s="71">
        <f>+'Entrate tot e finalizzati'!T117-'Entrate tot e finalizzati'!U117</f>
        <v>0</v>
      </c>
      <c r="N117" s="71">
        <f>+'Entrate tot e finalizzati'!V117-'Entrate tot e finalizzati'!W117</f>
        <v>0</v>
      </c>
    </row>
    <row r="118" spans="1:14" s="2" customFormat="1" ht="12.75">
      <c r="A118" s="73"/>
      <c r="B118" s="51"/>
      <c r="C118" s="51" t="s">
        <v>74</v>
      </c>
      <c r="D118" s="74"/>
      <c r="F118" s="52">
        <f>+'Entrate tot e finalizzati'!F118-'Entrate tot e finalizzati'!G118</f>
        <v>0</v>
      </c>
      <c r="G118" s="53">
        <f>+'Entrate tot e finalizzati'!H118-'Entrate tot e finalizzati'!I118</f>
        <v>0</v>
      </c>
      <c r="H118" s="71">
        <f>+'Entrate tot e finalizzati'!J118-'Entrate tot e finalizzati'!K118</f>
        <v>0</v>
      </c>
      <c r="I118" s="71">
        <f>+'Entrate tot e finalizzati'!L118-'Entrate tot e finalizzati'!M118</f>
        <v>0</v>
      </c>
      <c r="J118" s="71">
        <f>+'Entrate tot e finalizzati'!N118-'Entrate tot e finalizzati'!O118</f>
        <v>0</v>
      </c>
      <c r="K118" s="52">
        <f>+'Entrate tot e finalizzati'!P118-'Entrate tot e finalizzati'!Q118</f>
        <v>0</v>
      </c>
      <c r="L118" s="71">
        <f>+'Entrate tot e finalizzati'!R118-'Entrate tot e finalizzati'!S118</f>
        <v>0</v>
      </c>
      <c r="M118" s="71">
        <f>+'Entrate tot e finalizzati'!T118-'Entrate tot e finalizzati'!U118</f>
        <v>0</v>
      </c>
      <c r="N118" s="71">
        <f>+'Entrate tot e finalizzati'!V118-'Entrate tot e finalizzati'!W118</f>
        <v>0</v>
      </c>
    </row>
    <row r="119" spans="1:14" s="2" customFormat="1" ht="12.75">
      <c r="A119" s="73"/>
      <c r="B119" s="78" t="s">
        <v>115</v>
      </c>
      <c r="C119" s="78"/>
      <c r="D119" s="74"/>
      <c r="F119" s="87">
        <f aca="true" t="shared" si="17" ref="F119:N119">SUM(F120:F128)</f>
        <v>7015</v>
      </c>
      <c r="G119" s="87">
        <f t="shared" si="17"/>
        <v>7386</v>
      </c>
      <c r="H119" s="87">
        <f t="shared" si="17"/>
        <v>7765</v>
      </c>
      <c r="I119" s="87">
        <f t="shared" si="17"/>
        <v>8212</v>
      </c>
      <c r="J119" s="87">
        <f t="shared" si="17"/>
        <v>8276</v>
      </c>
      <c r="K119" s="87">
        <f t="shared" si="17"/>
        <v>7671</v>
      </c>
      <c r="L119" s="87">
        <f t="shared" si="17"/>
        <v>273</v>
      </c>
      <c r="M119" s="87">
        <f t="shared" si="17"/>
        <v>136</v>
      </c>
      <c r="N119" s="87">
        <f t="shared" si="17"/>
        <v>29</v>
      </c>
    </row>
    <row r="120" spans="1:14" s="2" customFormat="1" ht="12.75">
      <c r="A120" s="73"/>
      <c r="B120" s="51"/>
      <c r="C120" s="7" t="s">
        <v>68</v>
      </c>
      <c r="D120" s="74"/>
      <c r="F120" s="35">
        <f>+'Entrate tot e finalizzati'!F120-'Entrate tot e finalizzati'!G120</f>
        <v>2713</v>
      </c>
      <c r="G120" s="35">
        <f>+'Entrate tot e finalizzati'!H120-'Entrate tot e finalizzati'!I120</f>
        <v>3258</v>
      </c>
      <c r="H120" s="35">
        <f>+'Entrate tot e finalizzati'!J120-'Entrate tot e finalizzati'!K120</f>
        <v>3206</v>
      </c>
      <c r="I120" s="35">
        <f>+'Entrate tot e finalizzati'!L120-'Entrate tot e finalizzati'!M120</f>
        <v>2763</v>
      </c>
      <c r="J120" s="35">
        <f>+'Entrate tot e finalizzati'!N120-'Entrate tot e finalizzati'!O120</f>
        <v>2868</v>
      </c>
      <c r="K120" s="35">
        <f>+'Entrate tot e finalizzati'!P120-'Entrate tot e finalizzati'!Q120</f>
        <v>3458</v>
      </c>
      <c r="L120" s="35">
        <f>+'Entrate tot e finalizzati'!R120-'Entrate tot e finalizzati'!S120</f>
        <v>0</v>
      </c>
      <c r="M120" s="35">
        <f>+'Entrate tot e finalizzati'!T120-'Entrate tot e finalizzati'!U120</f>
        <v>0</v>
      </c>
      <c r="N120" s="35">
        <f>+'Entrate tot e finalizzati'!V120-'Entrate tot e finalizzati'!W120</f>
        <v>0</v>
      </c>
    </row>
    <row r="121" spans="1:14" s="2" customFormat="1" ht="12.75">
      <c r="A121" s="73"/>
      <c r="B121" s="51"/>
      <c r="C121" s="7" t="s">
        <v>69</v>
      </c>
      <c r="D121" s="74"/>
      <c r="F121" s="35">
        <f>+'Entrate tot e finalizzati'!F121-'Entrate tot e finalizzati'!G121</f>
        <v>2295</v>
      </c>
      <c r="G121" s="35">
        <f>+'Entrate tot e finalizzati'!H121-'Entrate tot e finalizzati'!I121</f>
        <v>1644</v>
      </c>
      <c r="H121" s="35">
        <f>+'Entrate tot e finalizzati'!J121-'Entrate tot e finalizzati'!K121</f>
        <v>1647</v>
      </c>
      <c r="I121" s="35">
        <f>+'Entrate tot e finalizzati'!L121-'Entrate tot e finalizzati'!M121</f>
        <v>1455</v>
      </c>
      <c r="J121" s="35">
        <f>+'Entrate tot e finalizzati'!N121-'Entrate tot e finalizzati'!O121</f>
        <v>1241</v>
      </c>
      <c r="K121" s="35">
        <f>+'Entrate tot e finalizzati'!P121-'Entrate tot e finalizzati'!Q121</f>
        <v>974</v>
      </c>
      <c r="L121" s="35">
        <f>+'Entrate tot e finalizzati'!R121-'Entrate tot e finalizzati'!S121</f>
        <v>0</v>
      </c>
      <c r="M121" s="35">
        <f>+'Entrate tot e finalizzati'!T121-'Entrate tot e finalizzati'!U121</f>
        <v>0</v>
      </c>
      <c r="N121" s="35">
        <f>+'Entrate tot e finalizzati'!V121-'Entrate tot e finalizzati'!W121</f>
        <v>0</v>
      </c>
    </row>
    <row r="122" spans="1:14" s="2" customFormat="1" ht="12.75">
      <c r="A122" s="73"/>
      <c r="B122" s="51"/>
      <c r="C122" s="7" t="s">
        <v>70</v>
      </c>
      <c r="D122" s="74"/>
      <c r="F122" s="35">
        <f>+'Entrate tot e finalizzati'!F122-'Entrate tot e finalizzati'!G122</f>
        <v>13</v>
      </c>
      <c r="G122" s="35">
        <f>+'Entrate tot e finalizzati'!H122-'Entrate tot e finalizzati'!I122</f>
        <v>573</v>
      </c>
      <c r="H122" s="35">
        <f>+'Entrate tot e finalizzati'!J122-'Entrate tot e finalizzati'!K122</f>
        <v>573</v>
      </c>
      <c r="I122" s="35">
        <f>+'Entrate tot e finalizzati'!L122-'Entrate tot e finalizzati'!M122</f>
        <v>688</v>
      </c>
      <c r="J122" s="35">
        <f>+'Entrate tot e finalizzati'!N122-'Entrate tot e finalizzati'!O122</f>
        <v>989</v>
      </c>
      <c r="K122" s="35">
        <f>+'Entrate tot e finalizzati'!P122-'Entrate tot e finalizzati'!Q122</f>
        <v>296</v>
      </c>
      <c r="L122" s="35">
        <f>+'Entrate tot e finalizzati'!R122-'Entrate tot e finalizzati'!S122</f>
        <v>252</v>
      </c>
      <c r="M122" s="35">
        <f>+'Entrate tot e finalizzati'!T122-'Entrate tot e finalizzati'!U122</f>
        <v>107</v>
      </c>
      <c r="N122" s="35">
        <f>+'Entrate tot e finalizzati'!V122-'Entrate tot e finalizzati'!W122</f>
        <v>0</v>
      </c>
    </row>
    <row r="123" spans="1:14" s="2" customFormat="1" ht="12.75">
      <c r="A123" s="73"/>
      <c r="B123" s="51"/>
      <c r="C123" s="50" t="s">
        <v>71</v>
      </c>
      <c r="D123" s="74"/>
      <c r="F123" s="52">
        <f>+'Entrate tot e finalizzati'!F123-'Entrate tot e finalizzati'!G123</f>
        <v>1994</v>
      </c>
      <c r="G123" s="52">
        <f>+'Entrate tot e finalizzati'!H123-'Entrate tot e finalizzati'!I123</f>
        <v>1911</v>
      </c>
      <c r="H123" s="52">
        <f>+'Entrate tot e finalizzati'!J123-'Entrate tot e finalizzati'!K123</f>
        <v>2339</v>
      </c>
      <c r="I123" s="52">
        <f>+'Entrate tot e finalizzati'!L123-'Entrate tot e finalizzati'!M123</f>
        <v>3306</v>
      </c>
      <c r="J123" s="52">
        <f>+'Entrate tot e finalizzati'!N123-'Entrate tot e finalizzati'!O123</f>
        <v>3149</v>
      </c>
      <c r="K123" s="52">
        <f>+'Entrate tot e finalizzati'!P123-'Entrate tot e finalizzati'!Q123</f>
        <v>2942</v>
      </c>
      <c r="L123" s="52">
        <f>+'Entrate tot e finalizzati'!R123-'Entrate tot e finalizzati'!S123</f>
        <v>0</v>
      </c>
      <c r="M123" s="52">
        <f>+'Entrate tot e finalizzati'!T123-'Entrate tot e finalizzati'!U123</f>
        <v>0</v>
      </c>
      <c r="N123" s="52">
        <f>+'Entrate tot e finalizzati'!V123-'Entrate tot e finalizzati'!W123</f>
        <v>0</v>
      </c>
    </row>
    <row r="124" spans="1:14" s="2" customFormat="1" ht="12.75">
      <c r="A124" s="73"/>
      <c r="B124" s="51"/>
      <c r="C124" s="51" t="s">
        <v>72</v>
      </c>
      <c r="D124" s="74"/>
      <c r="F124" s="52">
        <f>+'Entrate tot e finalizzati'!F124-'Entrate tot e finalizzati'!G124</f>
        <v>0</v>
      </c>
      <c r="G124" s="52">
        <f>+'Entrate tot e finalizzati'!H124-'Entrate tot e finalizzati'!I124</f>
        <v>0</v>
      </c>
      <c r="H124" s="52">
        <f>+'Entrate tot e finalizzati'!J124-'Entrate tot e finalizzati'!K124</f>
        <v>0</v>
      </c>
      <c r="I124" s="52">
        <f>+'Entrate tot e finalizzati'!L124-'Entrate tot e finalizzati'!M124</f>
        <v>0</v>
      </c>
      <c r="J124" s="52">
        <f>+'Entrate tot e finalizzati'!N124-'Entrate tot e finalizzati'!O124</f>
        <v>29</v>
      </c>
      <c r="K124" s="52">
        <f>+'Entrate tot e finalizzati'!P124-'Entrate tot e finalizzati'!Q124</f>
        <v>1</v>
      </c>
      <c r="L124" s="52">
        <f>+'Entrate tot e finalizzati'!R124-'Entrate tot e finalizzati'!S124</f>
        <v>0</v>
      </c>
      <c r="M124" s="52">
        <f>+'Entrate tot e finalizzati'!T124-'Entrate tot e finalizzati'!U124</f>
        <v>0</v>
      </c>
      <c r="N124" s="52">
        <f>+'Entrate tot e finalizzati'!V124-'Entrate tot e finalizzati'!W124</f>
        <v>0</v>
      </c>
    </row>
    <row r="125" spans="1:14" s="2" customFormat="1" ht="12.75">
      <c r="A125" s="73"/>
      <c r="B125" s="51"/>
      <c r="C125" s="51" t="s">
        <v>135</v>
      </c>
      <c r="D125" s="74"/>
      <c r="F125" s="52">
        <f>+'Entrate tot e finalizzati'!F125-'Entrate tot e finalizzati'!G125</f>
        <v>0</v>
      </c>
      <c r="G125" s="52">
        <f>+'Entrate tot e finalizzati'!H125-'Entrate tot e finalizzati'!I125</f>
        <v>0</v>
      </c>
      <c r="H125" s="52">
        <f>+'Entrate tot e finalizzati'!J125-'Entrate tot e finalizzati'!K125</f>
        <v>0</v>
      </c>
      <c r="I125" s="52">
        <f>+'Entrate tot e finalizzati'!L125-'Entrate tot e finalizzati'!M125</f>
        <v>0</v>
      </c>
      <c r="J125" s="52">
        <f>+'Entrate tot e finalizzati'!N125-'Entrate tot e finalizzati'!O125</f>
        <v>0</v>
      </c>
      <c r="K125" s="52">
        <f>+'Entrate tot e finalizzati'!P125-'Entrate tot e finalizzati'!Q125</f>
        <v>0</v>
      </c>
      <c r="L125" s="52">
        <f>+'Entrate tot e finalizzati'!R125-'Entrate tot e finalizzati'!S125</f>
        <v>0</v>
      </c>
      <c r="M125" s="52">
        <f>+'Entrate tot e finalizzati'!T125-'Entrate tot e finalizzati'!U125</f>
        <v>0</v>
      </c>
      <c r="N125" s="52">
        <f>+'Entrate tot e finalizzati'!V125-'Entrate tot e finalizzati'!W125</f>
        <v>0</v>
      </c>
    </row>
    <row r="126" spans="1:14" s="2" customFormat="1" ht="12.75">
      <c r="A126" s="73"/>
      <c r="B126" s="51"/>
      <c r="C126" s="51" t="s">
        <v>80</v>
      </c>
      <c r="D126" s="74"/>
      <c r="F126" s="52">
        <f>+'Entrate tot e finalizzati'!F126-'Entrate tot e finalizzati'!G126</f>
        <v>0</v>
      </c>
      <c r="G126" s="52">
        <f>+'Entrate tot e finalizzati'!H126-'Entrate tot e finalizzati'!I126</f>
        <v>0</v>
      </c>
      <c r="H126" s="52">
        <f>+'Entrate tot e finalizzati'!J126-'Entrate tot e finalizzati'!K126</f>
        <v>0</v>
      </c>
      <c r="I126" s="52">
        <f>+'Entrate tot e finalizzati'!L126-'Entrate tot e finalizzati'!M126</f>
        <v>0</v>
      </c>
      <c r="J126" s="52">
        <f>+'Entrate tot e finalizzati'!N126-'Entrate tot e finalizzati'!O126</f>
        <v>0</v>
      </c>
      <c r="K126" s="52">
        <f>+'Entrate tot e finalizzati'!P126-'Entrate tot e finalizzati'!Q126</f>
        <v>0</v>
      </c>
      <c r="L126" s="52">
        <f>+'Entrate tot e finalizzati'!R126-'Entrate tot e finalizzati'!S126</f>
        <v>0</v>
      </c>
      <c r="M126" s="52">
        <f>+'Entrate tot e finalizzati'!T126-'Entrate tot e finalizzati'!U126</f>
        <v>0</v>
      </c>
      <c r="N126" s="52">
        <f>+'Entrate tot e finalizzati'!V126-'Entrate tot e finalizzati'!W126</f>
        <v>0</v>
      </c>
    </row>
    <row r="127" spans="1:14" s="2" customFormat="1" ht="12.75">
      <c r="A127" s="73"/>
      <c r="B127" s="51"/>
      <c r="C127" s="51" t="s">
        <v>74</v>
      </c>
      <c r="D127" s="74"/>
      <c r="F127" s="52">
        <f>+'Entrate tot e finalizzati'!F127-'Entrate tot e finalizzati'!G127</f>
        <v>0</v>
      </c>
      <c r="G127" s="52">
        <f>+'Entrate tot e finalizzati'!H127-'Entrate tot e finalizzati'!I127</f>
        <v>0</v>
      </c>
      <c r="H127" s="52">
        <f>+'Entrate tot e finalizzati'!J127-'Entrate tot e finalizzati'!K127</f>
        <v>0</v>
      </c>
      <c r="I127" s="52">
        <f>+'Entrate tot e finalizzati'!L127-'Entrate tot e finalizzati'!M127</f>
        <v>0</v>
      </c>
      <c r="J127" s="52">
        <f>+'Entrate tot e finalizzati'!N127-'Entrate tot e finalizzati'!O127</f>
        <v>0</v>
      </c>
      <c r="K127" s="52">
        <f>+'Entrate tot e finalizzati'!P127-'Entrate tot e finalizzati'!Q127</f>
        <v>0</v>
      </c>
      <c r="L127" s="52">
        <f>+'Entrate tot e finalizzati'!R127-'Entrate tot e finalizzati'!S127</f>
        <v>21</v>
      </c>
      <c r="M127" s="52">
        <f>+'Entrate tot e finalizzati'!T127-'Entrate tot e finalizzati'!U127</f>
        <v>29</v>
      </c>
      <c r="N127" s="52">
        <f>+'Entrate tot e finalizzati'!V127-'Entrate tot e finalizzati'!W127</f>
        <v>29</v>
      </c>
    </row>
    <row r="128" spans="1:14" s="2" customFormat="1" ht="12.75">
      <c r="A128" s="73"/>
      <c r="B128" s="51"/>
      <c r="C128" s="7" t="s">
        <v>75</v>
      </c>
      <c r="D128" s="74"/>
      <c r="F128" s="33">
        <f>+'Entrate tot e finalizzati'!F128-'Entrate tot e finalizzati'!G128</f>
        <v>0</v>
      </c>
      <c r="G128" s="33">
        <f>+'Entrate tot e finalizzati'!H128-'Entrate tot e finalizzati'!I128</f>
        <v>0</v>
      </c>
      <c r="H128" s="33">
        <f>+'Entrate tot e finalizzati'!J128-'Entrate tot e finalizzati'!K128</f>
        <v>0</v>
      </c>
      <c r="I128" s="33">
        <f>+'Entrate tot e finalizzati'!L128-'Entrate tot e finalizzati'!M128</f>
        <v>0</v>
      </c>
      <c r="J128" s="33">
        <f>+'Entrate tot e finalizzati'!N128-'Entrate tot e finalizzati'!O128</f>
        <v>0</v>
      </c>
      <c r="K128" s="33">
        <f>+'Entrate tot e finalizzati'!P128-'Entrate tot e finalizzati'!Q128</f>
        <v>0</v>
      </c>
      <c r="L128" s="33">
        <f>+'Entrate tot e finalizzati'!R128-'Entrate tot e finalizzati'!S128</f>
        <v>0</v>
      </c>
      <c r="M128" s="33">
        <f>+'Entrate tot e finalizzati'!T128-'Entrate tot e finalizzati'!U128</f>
        <v>0</v>
      </c>
      <c r="N128" s="33">
        <f>+'Entrate tot e finalizzati'!V128-'Entrate tot e finalizzati'!W128</f>
        <v>0</v>
      </c>
    </row>
    <row r="129" spans="1:14" s="2" customFormat="1" ht="12.75">
      <c r="A129" s="73"/>
      <c r="B129" s="78" t="s">
        <v>116</v>
      </c>
      <c r="C129" s="78"/>
      <c r="D129" s="74"/>
      <c r="F129" s="87">
        <f aca="true" t="shared" si="18" ref="F129:N129">SUM(F130:F139)</f>
        <v>2498</v>
      </c>
      <c r="G129" s="87">
        <f t="shared" si="18"/>
        <v>2506</v>
      </c>
      <c r="H129" s="87">
        <f t="shared" si="18"/>
        <v>2864</v>
      </c>
      <c r="I129" s="87">
        <f t="shared" si="18"/>
        <v>2973</v>
      </c>
      <c r="J129" s="87">
        <f t="shared" si="18"/>
        <v>5020</v>
      </c>
      <c r="K129" s="87">
        <f t="shared" si="18"/>
        <v>5387</v>
      </c>
      <c r="L129" s="87">
        <f t="shared" si="18"/>
        <v>6203</v>
      </c>
      <c r="M129" s="87">
        <f t="shared" si="18"/>
        <v>6479</v>
      </c>
      <c r="N129" s="87">
        <f t="shared" si="18"/>
        <v>6007</v>
      </c>
    </row>
    <row r="130" spans="1:14" s="2" customFormat="1" ht="12.75">
      <c r="A130" s="73"/>
      <c r="B130" s="51"/>
      <c r="C130" s="7" t="s">
        <v>75</v>
      </c>
      <c r="D130" s="74"/>
      <c r="F130" s="52">
        <f>+'Entrate tot e finalizzati'!F130-'Entrate tot e finalizzati'!G130</f>
        <v>0</v>
      </c>
      <c r="G130" s="52">
        <f>+'Entrate tot e finalizzati'!H130-'Entrate tot e finalizzati'!I130</f>
        <v>0</v>
      </c>
      <c r="H130" s="52">
        <f>+'Entrate tot e finalizzati'!J130-'Entrate tot e finalizzati'!K130</f>
        <v>0</v>
      </c>
      <c r="I130" s="52">
        <f>+'Entrate tot e finalizzati'!L130-'Entrate tot e finalizzati'!M130</f>
        <v>0</v>
      </c>
      <c r="J130" s="52">
        <f>+'Entrate tot e finalizzati'!N130-'Entrate tot e finalizzati'!O130</f>
        <v>0</v>
      </c>
      <c r="K130" s="52">
        <f>+'Entrate tot e finalizzati'!P130-'Entrate tot e finalizzati'!Q130</f>
        <v>0</v>
      </c>
      <c r="L130" s="52">
        <f>+'Entrate tot e finalizzati'!R130-'Entrate tot e finalizzati'!S130</f>
        <v>0</v>
      </c>
      <c r="M130" s="52">
        <f>+'Entrate tot e finalizzati'!T130-'Entrate tot e finalizzati'!U130</f>
        <v>0</v>
      </c>
      <c r="N130" s="52">
        <f>+'Entrate tot e finalizzati'!V130-'Entrate tot e finalizzati'!W130</f>
        <v>0</v>
      </c>
    </row>
    <row r="131" spans="1:14" s="2" customFormat="1" ht="12.75">
      <c r="A131" s="73"/>
      <c r="B131" s="51"/>
      <c r="C131" s="51" t="s">
        <v>30</v>
      </c>
      <c r="D131" s="74"/>
      <c r="F131" s="52">
        <f>+'Entrate tot e finalizzati'!F131-'Entrate tot e finalizzati'!G131</f>
        <v>878</v>
      </c>
      <c r="G131" s="52">
        <f>+'Entrate tot e finalizzati'!H131-'Entrate tot e finalizzati'!I131</f>
        <v>645</v>
      </c>
      <c r="H131" s="52">
        <f>+'Entrate tot e finalizzati'!J131-'Entrate tot e finalizzati'!K131</f>
        <v>608</v>
      </c>
      <c r="I131" s="52">
        <f>+'Entrate tot e finalizzati'!L131-'Entrate tot e finalizzati'!M131</f>
        <v>507</v>
      </c>
      <c r="J131" s="52">
        <f>+'Entrate tot e finalizzati'!N131-'Entrate tot e finalizzati'!O131</f>
        <v>2083</v>
      </c>
      <c r="K131" s="52">
        <f>+'Entrate tot e finalizzati'!P131-'Entrate tot e finalizzati'!Q131</f>
        <v>2066</v>
      </c>
      <c r="L131" s="52">
        <f>+'Entrate tot e finalizzati'!R131-'Entrate tot e finalizzati'!S131</f>
        <v>2212</v>
      </c>
      <c r="M131" s="52">
        <f>+'Entrate tot e finalizzati'!T131-'Entrate tot e finalizzati'!U131</f>
        <v>2521</v>
      </c>
      <c r="N131" s="52">
        <f>+'Entrate tot e finalizzati'!V131-'Entrate tot e finalizzati'!W131</f>
        <v>1685</v>
      </c>
    </row>
    <row r="132" spans="1:14" s="2" customFormat="1" ht="12.75">
      <c r="A132" s="73"/>
      <c r="B132" s="51"/>
      <c r="C132" s="51" t="s">
        <v>135</v>
      </c>
      <c r="D132" s="74"/>
      <c r="F132" s="52">
        <f>+'Entrate tot e finalizzati'!F132-'Entrate tot e finalizzati'!G132</f>
        <v>0</v>
      </c>
      <c r="G132" s="52">
        <f>+'Entrate tot e finalizzati'!H132-'Entrate tot e finalizzati'!I132</f>
        <v>0</v>
      </c>
      <c r="H132" s="52">
        <f>+'Entrate tot e finalizzati'!J132-'Entrate tot e finalizzati'!K132</f>
        <v>0</v>
      </c>
      <c r="I132" s="52">
        <f>+'Entrate tot e finalizzati'!L132-'Entrate tot e finalizzati'!M132</f>
        <v>0</v>
      </c>
      <c r="J132" s="52">
        <f>+'Entrate tot e finalizzati'!N132-'Entrate tot e finalizzati'!O132</f>
        <v>0</v>
      </c>
      <c r="K132" s="52">
        <f>+'Entrate tot e finalizzati'!P132-'Entrate tot e finalizzati'!Q132</f>
        <v>0</v>
      </c>
      <c r="L132" s="52">
        <f>+'Entrate tot e finalizzati'!R132-'Entrate tot e finalizzati'!S132</f>
        <v>0</v>
      </c>
      <c r="M132" s="52">
        <f>+'Entrate tot e finalizzati'!T132-'Entrate tot e finalizzati'!U132</f>
        <v>0</v>
      </c>
      <c r="N132" s="52">
        <f>+'Entrate tot e finalizzati'!V132-'Entrate tot e finalizzati'!W132</f>
        <v>0</v>
      </c>
    </row>
    <row r="133" spans="1:14" s="2" customFormat="1" ht="12.75">
      <c r="A133" s="73"/>
      <c r="B133" s="51"/>
      <c r="C133" s="51" t="s">
        <v>74</v>
      </c>
      <c r="D133" s="74"/>
      <c r="F133" s="52">
        <f>+'Entrate tot e finalizzati'!F133-'Entrate tot e finalizzati'!G133</f>
        <v>0</v>
      </c>
      <c r="G133" s="52">
        <f>+'Entrate tot e finalizzati'!H133-'Entrate tot e finalizzati'!I133</f>
        <v>0</v>
      </c>
      <c r="H133" s="52">
        <f>+'Entrate tot e finalizzati'!J133-'Entrate tot e finalizzati'!K133</f>
        <v>0</v>
      </c>
      <c r="I133" s="52">
        <f>+'Entrate tot e finalizzati'!L133-'Entrate tot e finalizzati'!M133</f>
        <v>0</v>
      </c>
      <c r="J133" s="52">
        <f>+'Entrate tot e finalizzati'!N133-'Entrate tot e finalizzati'!O133</f>
        <v>0</v>
      </c>
      <c r="K133" s="52">
        <f>+'Entrate tot e finalizzati'!P133-'Entrate tot e finalizzati'!Q133</f>
        <v>0</v>
      </c>
      <c r="L133" s="52">
        <f>+'Entrate tot e finalizzati'!R133-'Entrate tot e finalizzati'!S133</f>
        <v>0</v>
      </c>
      <c r="M133" s="52">
        <f>+'Entrate tot e finalizzati'!T133-'Entrate tot e finalizzati'!U133</f>
        <v>0</v>
      </c>
      <c r="N133" s="52">
        <f>+'Entrate tot e finalizzati'!V133-'Entrate tot e finalizzati'!W133</f>
        <v>0</v>
      </c>
    </row>
    <row r="134" spans="1:14" s="2" customFormat="1" ht="12.75">
      <c r="A134" s="73"/>
      <c r="B134" s="51"/>
      <c r="C134" s="50" t="s">
        <v>131</v>
      </c>
      <c r="D134" s="74"/>
      <c r="F134" s="52">
        <f>+'Entrate tot e finalizzati'!F134-'Entrate tot e finalizzati'!G134</f>
        <v>1026</v>
      </c>
      <c r="G134" s="52">
        <f>+'Entrate tot e finalizzati'!H134-'Entrate tot e finalizzati'!I134</f>
        <v>1241</v>
      </c>
      <c r="H134" s="52">
        <f>+'Entrate tot e finalizzati'!J134-'Entrate tot e finalizzati'!K134</f>
        <v>1437</v>
      </c>
      <c r="I134" s="52">
        <f>+'Entrate tot e finalizzati'!L134-'Entrate tot e finalizzati'!M134</f>
        <v>1862</v>
      </c>
      <c r="J134" s="52">
        <f>+'Entrate tot e finalizzati'!N134-'Entrate tot e finalizzati'!O134</f>
        <v>1773</v>
      </c>
      <c r="K134" s="52">
        <f>+'Entrate tot e finalizzati'!P134-'Entrate tot e finalizzati'!Q134</f>
        <v>2154</v>
      </c>
      <c r="L134" s="52">
        <f>+'Entrate tot e finalizzati'!R134-'Entrate tot e finalizzati'!S134</f>
        <v>2327</v>
      </c>
      <c r="M134" s="52">
        <f>+'Entrate tot e finalizzati'!T134-'Entrate tot e finalizzati'!U134</f>
        <v>2302</v>
      </c>
      <c r="N134" s="52">
        <f>+'Entrate tot e finalizzati'!V134-'Entrate tot e finalizzati'!W134</f>
        <v>2746</v>
      </c>
    </row>
    <row r="135" spans="1:14" s="2" customFormat="1" ht="12.75">
      <c r="A135" s="73"/>
      <c r="B135" s="51"/>
      <c r="C135" s="50" t="s">
        <v>103</v>
      </c>
      <c r="D135" s="74"/>
      <c r="F135" s="52">
        <f>+'Entrate tot e finalizzati'!F135-'Entrate tot e finalizzati'!G135</f>
        <v>0</v>
      </c>
      <c r="G135" s="52">
        <f>+'Entrate tot e finalizzati'!H135-'Entrate tot e finalizzati'!I135</f>
        <v>0</v>
      </c>
      <c r="H135" s="52">
        <f>+'Entrate tot e finalizzati'!J135-'Entrate tot e finalizzati'!K135</f>
        <v>0</v>
      </c>
      <c r="I135" s="52">
        <f>+'Entrate tot e finalizzati'!L135-'Entrate tot e finalizzati'!M135</f>
        <v>0</v>
      </c>
      <c r="J135" s="52">
        <f>+'Entrate tot e finalizzati'!N135-'Entrate tot e finalizzati'!O135</f>
        <v>0</v>
      </c>
      <c r="K135" s="52">
        <f>+'Entrate tot e finalizzati'!P135-'Entrate tot e finalizzati'!Q135</f>
        <v>0</v>
      </c>
      <c r="L135" s="52">
        <f>+'Entrate tot e finalizzati'!R135-'Entrate tot e finalizzati'!S135</f>
        <v>380</v>
      </c>
      <c r="M135" s="52">
        <f>+'Entrate tot e finalizzati'!T135-'Entrate tot e finalizzati'!U135</f>
        <v>361</v>
      </c>
      <c r="N135" s="52">
        <f>+'Entrate tot e finalizzati'!V135-'Entrate tot e finalizzati'!W135</f>
        <v>300</v>
      </c>
    </row>
    <row r="136" spans="1:14" s="2" customFormat="1" ht="12.75">
      <c r="A136" s="73"/>
      <c r="B136" s="51"/>
      <c r="C136" s="51" t="s">
        <v>54</v>
      </c>
      <c r="D136" s="74"/>
      <c r="F136" s="52">
        <f>+'Entrate tot e finalizzati'!F136-'Entrate tot e finalizzati'!G136</f>
        <v>0</v>
      </c>
      <c r="G136" s="52">
        <f>+'Entrate tot e finalizzati'!H136-'Entrate tot e finalizzati'!I136</f>
        <v>0</v>
      </c>
      <c r="H136" s="52">
        <f>+'Entrate tot e finalizzati'!J136-'Entrate tot e finalizzati'!K136</f>
        <v>0</v>
      </c>
      <c r="I136" s="52">
        <f>+'Entrate tot e finalizzati'!L136-'Entrate tot e finalizzati'!M136</f>
        <v>0</v>
      </c>
      <c r="J136" s="52">
        <f>+'Entrate tot e finalizzati'!N136-'Entrate tot e finalizzati'!O136</f>
        <v>0</v>
      </c>
      <c r="K136" s="52">
        <f>+'Entrate tot e finalizzati'!P136-'Entrate tot e finalizzati'!Q136</f>
        <v>0</v>
      </c>
      <c r="L136" s="52">
        <f>+'Entrate tot e finalizzati'!R136-'Entrate tot e finalizzati'!S136</f>
        <v>0</v>
      </c>
      <c r="M136" s="52">
        <f>+'Entrate tot e finalizzati'!T136-'Entrate tot e finalizzati'!U136</f>
        <v>0</v>
      </c>
      <c r="N136" s="52">
        <f>+'Entrate tot e finalizzati'!V136-'Entrate tot e finalizzati'!W136</f>
        <v>0</v>
      </c>
    </row>
    <row r="137" spans="1:14" s="2" customFormat="1" ht="12.75">
      <c r="A137" s="73"/>
      <c r="B137" s="51"/>
      <c r="C137" s="51" t="s">
        <v>23</v>
      </c>
      <c r="D137" s="74"/>
      <c r="F137" s="52">
        <f>+'Entrate tot e finalizzati'!F137-'Entrate tot e finalizzati'!G137</f>
        <v>387</v>
      </c>
      <c r="G137" s="52">
        <f>+'Entrate tot e finalizzati'!H137-'Entrate tot e finalizzati'!I137</f>
        <v>516</v>
      </c>
      <c r="H137" s="52">
        <f>+'Entrate tot e finalizzati'!J137-'Entrate tot e finalizzati'!K137</f>
        <v>638</v>
      </c>
      <c r="I137" s="52">
        <f>+'Entrate tot e finalizzati'!L137-'Entrate tot e finalizzati'!M137</f>
        <v>516</v>
      </c>
      <c r="J137" s="52">
        <f>+'Entrate tot e finalizzati'!N137-'Entrate tot e finalizzati'!O137</f>
        <v>697</v>
      </c>
      <c r="K137" s="52">
        <f>+'Entrate tot e finalizzati'!P137-'Entrate tot e finalizzati'!Q137</f>
        <v>697</v>
      </c>
      <c r="L137" s="52">
        <f>+'Entrate tot e finalizzati'!R137-'Entrate tot e finalizzati'!S137</f>
        <v>490</v>
      </c>
      <c r="M137" s="52">
        <f>+'Entrate tot e finalizzati'!T137-'Entrate tot e finalizzati'!U137</f>
        <v>550</v>
      </c>
      <c r="N137" s="52">
        <f>+'Entrate tot e finalizzati'!V137-'Entrate tot e finalizzati'!W137</f>
        <v>425</v>
      </c>
    </row>
    <row r="138" spans="1:14" s="2" customFormat="1" ht="12.75">
      <c r="A138" s="73"/>
      <c r="B138" s="51"/>
      <c r="C138" s="50" t="s">
        <v>24</v>
      </c>
      <c r="D138" s="74"/>
      <c r="F138" s="52">
        <f>+'Entrate tot e finalizzati'!F138-'Entrate tot e finalizzati'!G138</f>
        <v>0</v>
      </c>
      <c r="G138" s="52">
        <f>+'Entrate tot e finalizzati'!H138-'Entrate tot e finalizzati'!I138</f>
        <v>0</v>
      </c>
      <c r="H138" s="52">
        <f>+'Entrate tot e finalizzati'!J138-'Entrate tot e finalizzati'!K138</f>
        <v>0</v>
      </c>
      <c r="I138" s="52">
        <f>+'Entrate tot e finalizzati'!L138-'Entrate tot e finalizzati'!M138</f>
        <v>0</v>
      </c>
      <c r="J138" s="52">
        <f>+'Entrate tot e finalizzati'!N138-'Entrate tot e finalizzati'!O138</f>
        <v>0</v>
      </c>
      <c r="K138" s="52">
        <f>+'Entrate tot e finalizzati'!P138-'Entrate tot e finalizzati'!Q138</f>
        <v>0</v>
      </c>
      <c r="L138" s="52">
        <f>+'Entrate tot e finalizzati'!R138-'Entrate tot e finalizzati'!S138</f>
        <v>0</v>
      </c>
      <c r="M138" s="52">
        <f>+'Entrate tot e finalizzati'!T138-'Entrate tot e finalizzati'!U138</f>
        <v>0</v>
      </c>
      <c r="N138" s="52">
        <f>+'Entrate tot e finalizzati'!V138-'Entrate tot e finalizzati'!W138</f>
        <v>0</v>
      </c>
    </row>
    <row r="139" spans="1:14" s="2" customFormat="1" ht="12.75">
      <c r="A139" s="81"/>
      <c r="B139" s="82"/>
      <c r="C139" s="23" t="s">
        <v>73</v>
      </c>
      <c r="D139" s="83"/>
      <c r="E139" s="85"/>
      <c r="F139" s="95">
        <f>+'Entrate tot e finalizzati'!F139-'Entrate tot e finalizzati'!G139</f>
        <v>207</v>
      </c>
      <c r="G139" s="95">
        <f>+'Entrate tot e finalizzati'!H139-'Entrate tot e finalizzati'!I139</f>
        <v>104</v>
      </c>
      <c r="H139" s="95">
        <f>+'Entrate tot e finalizzati'!J139-'Entrate tot e finalizzati'!K139</f>
        <v>181</v>
      </c>
      <c r="I139" s="95">
        <f>+'Entrate tot e finalizzati'!L139-'Entrate tot e finalizzati'!M139</f>
        <v>88</v>
      </c>
      <c r="J139" s="95">
        <f>+'Entrate tot e finalizzati'!N139-'Entrate tot e finalizzati'!O139</f>
        <v>467</v>
      </c>
      <c r="K139" s="95">
        <f>+'Entrate tot e finalizzati'!P139-'Entrate tot e finalizzati'!Q139</f>
        <v>470</v>
      </c>
      <c r="L139" s="95">
        <f>+'Entrate tot e finalizzati'!R139-'Entrate tot e finalizzati'!S139</f>
        <v>794</v>
      </c>
      <c r="M139" s="95">
        <f>+'Entrate tot e finalizzati'!T139-'Entrate tot e finalizzati'!U139</f>
        <v>745</v>
      </c>
      <c r="N139" s="95">
        <f>+'Entrate tot e finalizzati'!V139-'Entrate tot e finalizzati'!W139</f>
        <v>851</v>
      </c>
    </row>
    <row r="140" spans="1:14" s="2" customFormat="1" ht="12.75">
      <c r="A140" s="73"/>
      <c r="B140" s="78" t="s">
        <v>15</v>
      </c>
      <c r="C140" s="78"/>
      <c r="D140" s="74"/>
      <c r="F140" s="87">
        <f aca="true" t="shared" si="19" ref="F140:N140">SUM(F141:F152)</f>
        <v>11867</v>
      </c>
      <c r="G140" s="87">
        <f t="shared" si="19"/>
        <v>13650</v>
      </c>
      <c r="H140" s="87">
        <f t="shared" si="19"/>
        <v>13510</v>
      </c>
      <c r="I140" s="87">
        <f t="shared" si="19"/>
        <v>12940</v>
      </c>
      <c r="J140" s="87">
        <f t="shared" si="19"/>
        <v>16476</v>
      </c>
      <c r="K140" s="87">
        <f t="shared" si="19"/>
        <v>16524</v>
      </c>
      <c r="L140" s="87">
        <f t="shared" si="19"/>
        <v>17964</v>
      </c>
      <c r="M140" s="87">
        <f t="shared" si="19"/>
        <v>20158</v>
      </c>
      <c r="N140" s="87">
        <f t="shared" si="19"/>
        <v>20117</v>
      </c>
    </row>
    <row r="141" spans="1:14" s="2" customFormat="1" ht="12.75">
      <c r="A141" s="73"/>
      <c r="B141" s="51"/>
      <c r="C141" s="7" t="s">
        <v>75</v>
      </c>
      <c r="D141" s="74"/>
      <c r="F141" s="94">
        <f>+'Entrate tot e finalizzati'!F141-'Entrate tot e finalizzati'!G141</f>
        <v>176</v>
      </c>
      <c r="G141" s="53">
        <f>+'Entrate tot e finalizzati'!H141-'Entrate tot e finalizzati'!I141</f>
        <v>0</v>
      </c>
      <c r="H141" s="94">
        <f>+'Entrate tot e finalizzati'!J141-'Entrate tot e finalizzati'!K141</f>
        <v>0</v>
      </c>
      <c r="I141" s="94">
        <f>+'Entrate tot e finalizzati'!L141-'Entrate tot e finalizzati'!M141</f>
        <v>0</v>
      </c>
      <c r="J141" s="93">
        <f>+'Entrate tot e finalizzati'!N141-'Entrate tot e finalizzati'!O141</f>
        <v>0</v>
      </c>
      <c r="K141" s="93">
        <f>+'Entrate tot e finalizzati'!P141-'Entrate tot e finalizzati'!Q141</f>
        <v>0</v>
      </c>
      <c r="L141" s="93">
        <f>+'Entrate tot e finalizzati'!R141-'Entrate tot e finalizzati'!S141</f>
        <v>0</v>
      </c>
      <c r="M141" s="93">
        <f>+'Entrate tot e finalizzati'!T141-'Entrate tot e finalizzati'!U141</f>
        <v>0</v>
      </c>
      <c r="N141" s="93">
        <f>+'Entrate tot e finalizzati'!V141-'Entrate tot e finalizzati'!W141</f>
        <v>0</v>
      </c>
    </row>
    <row r="142" spans="1:14" s="2" customFormat="1" ht="12.75">
      <c r="A142" s="73"/>
      <c r="B142" s="51"/>
      <c r="C142" s="50" t="s">
        <v>24</v>
      </c>
      <c r="D142" s="74"/>
      <c r="F142" s="94">
        <f>+'Entrate tot e finalizzati'!F142-'Entrate tot e finalizzati'!G142</f>
        <v>0</v>
      </c>
      <c r="G142" s="53">
        <f>+'Entrate tot e finalizzati'!H142-'Entrate tot e finalizzati'!I142</f>
        <v>0</v>
      </c>
      <c r="H142" s="94">
        <f>+'Entrate tot e finalizzati'!J142-'Entrate tot e finalizzati'!K142</f>
        <v>0</v>
      </c>
      <c r="I142" s="94">
        <f>+'Entrate tot e finalizzati'!L142-'Entrate tot e finalizzati'!M142</f>
        <v>0</v>
      </c>
      <c r="J142" s="93">
        <f>+'Entrate tot e finalizzati'!N142-'Entrate tot e finalizzati'!O142</f>
        <v>0</v>
      </c>
      <c r="K142" s="93">
        <f>+'Entrate tot e finalizzati'!P142-'Entrate tot e finalizzati'!Q142</f>
        <v>0</v>
      </c>
      <c r="L142" s="93">
        <f>+'Entrate tot e finalizzati'!R142-'Entrate tot e finalizzati'!S142</f>
        <v>0</v>
      </c>
      <c r="M142" s="93">
        <f>+'Entrate tot e finalizzati'!T142-'Entrate tot e finalizzati'!U142</f>
        <v>0</v>
      </c>
      <c r="N142" s="93">
        <f>+'Entrate tot e finalizzati'!V142-'Entrate tot e finalizzati'!W142</f>
        <v>0</v>
      </c>
    </row>
    <row r="143" spans="1:14" s="2" customFormat="1" ht="12.75">
      <c r="A143" s="73"/>
      <c r="B143" s="51"/>
      <c r="C143" s="51" t="s">
        <v>135</v>
      </c>
      <c r="D143" s="74"/>
      <c r="F143" s="94">
        <f>+'Entrate tot e finalizzati'!F143-'Entrate tot e finalizzati'!G143</f>
        <v>0</v>
      </c>
      <c r="G143" s="94">
        <f>+'Entrate tot e finalizzati'!H143-'Entrate tot e finalizzati'!I143</f>
        <v>0</v>
      </c>
      <c r="H143" s="94">
        <f>+'Entrate tot e finalizzati'!J143-'Entrate tot e finalizzati'!K143</f>
        <v>0</v>
      </c>
      <c r="I143" s="94">
        <f>+'Entrate tot e finalizzati'!L143-'Entrate tot e finalizzati'!M143</f>
        <v>0</v>
      </c>
      <c r="J143" s="93">
        <f>+'Entrate tot e finalizzati'!N143-'Entrate tot e finalizzati'!O143</f>
        <v>0</v>
      </c>
      <c r="K143" s="93">
        <f>+'Entrate tot e finalizzati'!P143-'Entrate tot e finalizzati'!Q143</f>
        <v>0</v>
      </c>
      <c r="L143" s="93">
        <f>+'Entrate tot e finalizzati'!R143-'Entrate tot e finalizzati'!S143</f>
        <v>0</v>
      </c>
      <c r="M143" s="116">
        <f>+'Entrate tot e finalizzati'!T143-'Entrate tot e finalizzati'!U143</f>
        <v>0</v>
      </c>
      <c r="N143" s="116">
        <f>+'Entrate tot e finalizzati'!V143-'Entrate tot e finalizzati'!W143</f>
        <v>0</v>
      </c>
    </row>
    <row r="144" spans="1:14" s="2" customFormat="1" ht="12.75">
      <c r="A144" s="73"/>
      <c r="B144" s="51"/>
      <c r="C144" s="50" t="s">
        <v>29</v>
      </c>
      <c r="D144" s="74"/>
      <c r="F144" s="107">
        <f>+'Entrate tot e finalizzati'!F144-'Entrate tot e finalizzati'!G144</f>
        <v>3099</v>
      </c>
      <c r="G144" s="107">
        <f>+'Entrate tot e finalizzati'!H144-'Entrate tot e finalizzati'!I144</f>
        <v>3852</v>
      </c>
      <c r="H144" s="107">
        <f>+'Entrate tot e finalizzati'!J144-'Entrate tot e finalizzati'!K144</f>
        <v>3682</v>
      </c>
      <c r="I144" s="107">
        <f>+'Entrate tot e finalizzati'!L144-'Entrate tot e finalizzati'!M144</f>
        <v>2987</v>
      </c>
      <c r="J144" s="116">
        <f>+'Entrate tot e finalizzati'!N144-'Entrate tot e finalizzati'!O144</f>
        <v>2849</v>
      </c>
      <c r="K144" s="116">
        <f>+'Entrate tot e finalizzati'!P144-'Entrate tot e finalizzati'!Q144</f>
        <v>2993</v>
      </c>
      <c r="L144" s="116">
        <f>+'Entrate tot e finalizzati'!R144-'Entrate tot e finalizzati'!S144</f>
        <v>2900</v>
      </c>
      <c r="M144" s="116">
        <f>+'Entrate tot e finalizzati'!T144-'Entrate tot e finalizzati'!U144</f>
        <v>3100</v>
      </c>
      <c r="N144" s="116">
        <f>+'Entrate tot e finalizzati'!V144-'Entrate tot e finalizzati'!W144</f>
        <v>3450</v>
      </c>
    </row>
    <row r="145" spans="1:14" s="2" customFormat="1" ht="12.75">
      <c r="A145" s="73"/>
      <c r="B145" s="51"/>
      <c r="C145" s="51" t="s">
        <v>74</v>
      </c>
      <c r="D145" s="74"/>
      <c r="F145" s="94">
        <f>+'Entrate tot e finalizzati'!F145-'Entrate tot e finalizzati'!G145</f>
        <v>168</v>
      </c>
      <c r="G145" s="94">
        <f>+'Entrate tot e finalizzati'!H145-'Entrate tot e finalizzati'!I145</f>
        <v>168</v>
      </c>
      <c r="H145" s="94">
        <f>+'Entrate tot e finalizzati'!J145-'Entrate tot e finalizzati'!K145</f>
        <v>156</v>
      </c>
      <c r="I145" s="94">
        <f>+'Entrate tot e finalizzati'!L145-'Entrate tot e finalizzati'!M145</f>
        <v>168</v>
      </c>
      <c r="J145" s="116">
        <f>+'Entrate tot e finalizzati'!N145-'Entrate tot e finalizzati'!O145</f>
        <v>2276</v>
      </c>
      <c r="K145" s="116">
        <f>+'Entrate tot e finalizzati'!P145-'Entrate tot e finalizzati'!Q145</f>
        <v>2374</v>
      </c>
      <c r="L145" s="116">
        <f>+'Entrate tot e finalizzati'!R145-'Entrate tot e finalizzati'!S145</f>
        <v>3104</v>
      </c>
      <c r="M145" s="116">
        <f>+'Entrate tot e finalizzati'!T145-'Entrate tot e finalizzati'!U145</f>
        <v>5115</v>
      </c>
      <c r="N145" s="116">
        <f>+'Entrate tot e finalizzati'!V145-'Entrate tot e finalizzati'!W145</f>
        <v>3409</v>
      </c>
    </row>
    <row r="146" spans="1:14" s="2" customFormat="1" ht="12.75">
      <c r="A146" s="73"/>
      <c r="B146" s="51"/>
      <c r="C146" s="51" t="s">
        <v>30</v>
      </c>
      <c r="D146" s="74"/>
      <c r="F146" s="94">
        <f>+'Entrate tot e finalizzati'!F146-'Entrate tot e finalizzati'!G146</f>
        <v>382</v>
      </c>
      <c r="G146" s="94">
        <f>+'Entrate tot e finalizzati'!H146-'Entrate tot e finalizzati'!I146</f>
        <v>362</v>
      </c>
      <c r="H146" s="94">
        <f>+'Entrate tot e finalizzati'!J146-'Entrate tot e finalizzati'!K146</f>
        <v>0</v>
      </c>
      <c r="I146" s="94">
        <f>+'Entrate tot e finalizzati'!L146-'Entrate tot e finalizzati'!M146</f>
        <v>0</v>
      </c>
      <c r="J146" s="116">
        <f>+'Entrate tot e finalizzati'!N146-'Entrate tot e finalizzati'!O146</f>
        <v>0</v>
      </c>
      <c r="K146" s="116">
        <f>+'Entrate tot e finalizzati'!P146-'Entrate tot e finalizzati'!Q146</f>
        <v>0</v>
      </c>
      <c r="L146" s="116">
        <f>+'Entrate tot e finalizzati'!R146-'Entrate tot e finalizzati'!S146</f>
        <v>0</v>
      </c>
      <c r="M146" s="116">
        <f>+'Entrate tot e finalizzati'!T146-'Entrate tot e finalizzati'!U146</f>
        <v>0</v>
      </c>
      <c r="N146" s="116">
        <f>+'Entrate tot e finalizzati'!V146-'Entrate tot e finalizzati'!W146</f>
        <v>350</v>
      </c>
    </row>
    <row r="147" spans="1:14" s="2" customFormat="1" ht="12.75">
      <c r="A147" s="73"/>
      <c r="B147" s="51"/>
      <c r="C147" s="50" t="s">
        <v>76</v>
      </c>
      <c r="D147" s="74"/>
      <c r="F147" s="94">
        <f>+'Entrate tot e finalizzati'!F147-'Entrate tot e finalizzati'!G147</f>
        <v>762</v>
      </c>
      <c r="G147" s="94">
        <f>+'Entrate tot e finalizzati'!H147-'Entrate tot e finalizzati'!I147</f>
        <v>830</v>
      </c>
      <c r="H147" s="94">
        <f>+'Entrate tot e finalizzati'!J147-'Entrate tot e finalizzati'!K147</f>
        <v>992</v>
      </c>
      <c r="I147" s="94">
        <f>+'Entrate tot e finalizzati'!L147-'Entrate tot e finalizzati'!M147</f>
        <v>904</v>
      </c>
      <c r="J147" s="116">
        <f>+'Entrate tot e finalizzati'!N147-'Entrate tot e finalizzati'!O147</f>
        <v>864</v>
      </c>
      <c r="K147" s="116">
        <f>+'Entrate tot e finalizzati'!P147-'Entrate tot e finalizzati'!Q147</f>
        <v>897</v>
      </c>
      <c r="L147" s="116">
        <f>+'Entrate tot e finalizzati'!R147-'Entrate tot e finalizzati'!S147</f>
        <v>949</v>
      </c>
      <c r="M147" s="116">
        <f>+'Entrate tot e finalizzati'!T147-'Entrate tot e finalizzati'!U147</f>
        <v>885</v>
      </c>
      <c r="N147" s="116">
        <f>+'Entrate tot e finalizzati'!V147-'Entrate tot e finalizzati'!W147</f>
        <v>960</v>
      </c>
    </row>
    <row r="148" spans="1:14" s="2" customFormat="1" ht="12.75">
      <c r="A148" s="73"/>
      <c r="B148" s="51"/>
      <c r="C148" s="51" t="s">
        <v>23</v>
      </c>
      <c r="D148" s="74"/>
      <c r="F148" s="94">
        <f>+'Entrate tot e finalizzati'!F148-'Entrate tot e finalizzati'!G148</f>
        <v>0</v>
      </c>
      <c r="G148" s="94">
        <f>+'Entrate tot e finalizzati'!H148-'Entrate tot e finalizzati'!I148</f>
        <v>306</v>
      </c>
      <c r="H148" s="94">
        <f>+'Entrate tot e finalizzati'!J148-'Entrate tot e finalizzati'!K148</f>
        <v>310</v>
      </c>
      <c r="I148" s="94">
        <f>+'Entrate tot e finalizzati'!L148-'Entrate tot e finalizzati'!M148</f>
        <v>0</v>
      </c>
      <c r="J148" s="116">
        <f>+'Entrate tot e finalizzati'!N148-'Entrate tot e finalizzati'!O148</f>
        <v>310</v>
      </c>
      <c r="K148" s="116">
        <f>+'Entrate tot e finalizzati'!P148-'Entrate tot e finalizzati'!Q148</f>
        <v>310</v>
      </c>
      <c r="L148" s="116">
        <f>+'Entrate tot e finalizzati'!R148-'Entrate tot e finalizzati'!S148</f>
        <v>436</v>
      </c>
      <c r="M148" s="116">
        <f>+'Entrate tot e finalizzati'!T148-'Entrate tot e finalizzati'!U148</f>
        <v>444</v>
      </c>
      <c r="N148" s="116">
        <f>+'Entrate tot e finalizzati'!V148-'Entrate tot e finalizzati'!W148</f>
        <v>423</v>
      </c>
    </row>
    <row r="149" spans="1:14" s="2" customFormat="1" ht="12.75">
      <c r="A149" s="73"/>
      <c r="B149" s="51"/>
      <c r="C149" s="51" t="s">
        <v>77</v>
      </c>
      <c r="D149" s="74"/>
      <c r="F149" s="94">
        <f>+'Entrate tot e finalizzati'!F149-'Entrate tot e finalizzati'!G149</f>
        <v>0</v>
      </c>
      <c r="G149" s="107">
        <f>+'Entrate tot e finalizzati'!H149-'Entrate tot e finalizzati'!I149</f>
        <v>0</v>
      </c>
      <c r="H149" s="94">
        <f>+'Entrate tot e finalizzati'!J149-'Entrate tot e finalizzati'!K149</f>
        <v>0</v>
      </c>
      <c r="I149" s="94">
        <f>+'Entrate tot e finalizzati'!L149-'Entrate tot e finalizzati'!M149</f>
        <v>0</v>
      </c>
      <c r="J149" s="116">
        <f>+'Entrate tot e finalizzati'!N149-'Entrate tot e finalizzati'!O149</f>
        <v>0</v>
      </c>
      <c r="K149" s="116">
        <f>+'Entrate tot e finalizzati'!P149-'Entrate tot e finalizzati'!Q149</f>
        <v>0</v>
      </c>
      <c r="L149" s="116">
        <f>+'Entrate tot e finalizzati'!R149-'Entrate tot e finalizzati'!S149</f>
        <v>0</v>
      </c>
      <c r="M149" s="116">
        <f>+'Entrate tot e finalizzati'!T149-'Entrate tot e finalizzati'!U149</f>
        <v>0</v>
      </c>
      <c r="N149" s="116">
        <f>+'Entrate tot e finalizzati'!V149-'Entrate tot e finalizzati'!W149</f>
        <v>0</v>
      </c>
    </row>
    <row r="150" spans="1:14" s="2" customFormat="1" ht="12.75">
      <c r="A150" s="73"/>
      <c r="B150" s="51"/>
      <c r="C150" s="50" t="s">
        <v>78</v>
      </c>
      <c r="D150" s="74"/>
      <c r="F150" s="94">
        <f>+'Entrate tot e finalizzati'!F150-'Entrate tot e finalizzati'!G150</f>
        <v>7179</v>
      </c>
      <c r="G150" s="107">
        <f>+'Entrate tot e finalizzati'!H150-'Entrate tot e finalizzati'!I150</f>
        <v>8031</v>
      </c>
      <c r="H150" s="94">
        <f>+'Entrate tot e finalizzati'!J150-'Entrate tot e finalizzati'!K150</f>
        <v>8326</v>
      </c>
      <c r="I150" s="94">
        <f>+'Entrate tot e finalizzati'!L150-'Entrate tot e finalizzati'!M150</f>
        <v>8881</v>
      </c>
      <c r="J150" s="116">
        <f>+'Entrate tot e finalizzati'!N150-'Entrate tot e finalizzati'!O150</f>
        <v>9296</v>
      </c>
      <c r="K150" s="116">
        <f>+'Entrate tot e finalizzati'!P150-'Entrate tot e finalizzati'!Q150</f>
        <v>9640</v>
      </c>
      <c r="L150" s="116">
        <f>+'Entrate tot e finalizzati'!R150-'Entrate tot e finalizzati'!S150</f>
        <v>10270</v>
      </c>
      <c r="M150" s="116">
        <f>+'Entrate tot e finalizzati'!T150-'Entrate tot e finalizzati'!U150</f>
        <v>10270</v>
      </c>
      <c r="N150" s="116">
        <f>+'Entrate tot e finalizzati'!V150-'Entrate tot e finalizzati'!W150</f>
        <v>11150</v>
      </c>
    </row>
    <row r="151" spans="1:14" s="2" customFormat="1" ht="12.75">
      <c r="A151" s="73"/>
      <c r="B151" s="51"/>
      <c r="C151" s="51" t="s">
        <v>72</v>
      </c>
      <c r="D151" s="74"/>
      <c r="F151" s="94">
        <f>+'Entrate tot e finalizzati'!F151-'Entrate tot e finalizzati'!G151</f>
        <v>101</v>
      </c>
      <c r="G151" s="107">
        <f>+'Entrate tot e finalizzati'!H151-'Entrate tot e finalizzati'!I151</f>
        <v>101</v>
      </c>
      <c r="H151" s="94">
        <f>+'Entrate tot e finalizzati'!J151-'Entrate tot e finalizzati'!K151</f>
        <v>44</v>
      </c>
      <c r="I151" s="94">
        <f>+'Entrate tot e finalizzati'!L151-'Entrate tot e finalizzati'!M151</f>
        <v>0</v>
      </c>
      <c r="J151" s="116">
        <f>+'Entrate tot e finalizzati'!N151-'Entrate tot e finalizzati'!O151</f>
        <v>0</v>
      </c>
      <c r="K151" s="116">
        <f>+'Entrate tot e finalizzati'!P151-'Entrate tot e finalizzati'!Q151</f>
        <v>0</v>
      </c>
      <c r="L151" s="116">
        <f>+'Entrate tot e finalizzati'!R151-'Entrate tot e finalizzati'!S151</f>
        <v>0</v>
      </c>
      <c r="M151" s="116">
        <f>+'Entrate tot e finalizzati'!T151-'Entrate tot e finalizzati'!U151</f>
        <v>0</v>
      </c>
      <c r="N151" s="116">
        <f>+'Entrate tot e finalizzati'!V151-'Entrate tot e finalizzati'!W151</f>
        <v>0</v>
      </c>
    </row>
    <row r="152" spans="1:14" s="2" customFormat="1" ht="12.75">
      <c r="A152" s="81"/>
      <c r="B152" s="82"/>
      <c r="C152" s="23" t="s">
        <v>73</v>
      </c>
      <c r="D152" s="83"/>
      <c r="E152" s="85"/>
      <c r="F152" s="98">
        <f>+'Entrate tot e finalizzati'!F152-'Entrate tot e finalizzati'!G152</f>
        <v>0</v>
      </c>
      <c r="G152" s="98">
        <f>+'Entrate tot e finalizzati'!H152-'Entrate tot e finalizzati'!I152</f>
        <v>0</v>
      </c>
      <c r="H152" s="98">
        <f>+'Entrate tot e finalizzati'!J152-'Entrate tot e finalizzati'!K152</f>
        <v>0</v>
      </c>
      <c r="I152" s="98">
        <f>+'Entrate tot e finalizzati'!L152-'Entrate tot e finalizzati'!M152</f>
        <v>0</v>
      </c>
      <c r="J152" s="147">
        <f>+'Entrate tot e finalizzati'!N152-'Entrate tot e finalizzati'!O152</f>
        <v>881</v>
      </c>
      <c r="K152" s="147">
        <f>+'Entrate tot e finalizzati'!P152-'Entrate tot e finalizzati'!Q152</f>
        <v>310</v>
      </c>
      <c r="L152" s="147">
        <f>+'Entrate tot e finalizzati'!R152-'Entrate tot e finalizzati'!S152</f>
        <v>305</v>
      </c>
      <c r="M152" s="147">
        <f>+'Entrate tot e finalizzati'!T152-'Entrate tot e finalizzati'!U152</f>
        <v>344</v>
      </c>
      <c r="N152" s="147">
        <f>+'Entrate tot e finalizzati'!V152-'Entrate tot e finalizzati'!W152</f>
        <v>375</v>
      </c>
    </row>
    <row r="153" spans="1:14" s="2" customFormat="1" ht="12.75">
      <c r="A153" s="124" t="s">
        <v>117</v>
      </c>
      <c r="B153" s="154"/>
      <c r="C153" s="154"/>
      <c r="D153" s="155"/>
      <c r="E153" s="127"/>
      <c r="F153" s="129">
        <f aca="true" t="shared" si="20" ref="F153:N153">F154+F157+F169+F178</f>
        <v>2517</v>
      </c>
      <c r="G153" s="129">
        <f t="shared" si="20"/>
        <v>4901</v>
      </c>
      <c r="H153" s="129">
        <f t="shared" si="20"/>
        <v>2348</v>
      </c>
      <c r="I153" s="129">
        <f t="shared" si="20"/>
        <v>2377</v>
      </c>
      <c r="J153" s="129">
        <f t="shared" si="20"/>
        <v>2022</v>
      </c>
      <c r="K153" s="129">
        <f t="shared" si="20"/>
        <v>3621</v>
      </c>
      <c r="L153" s="129">
        <f t="shared" si="20"/>
        <v>4271</v>
      </c>
      <c r="M153" s="129">
        <f t="shared" si="20"/>
        <v>4807</v>
      </c>
      <c r="N153" s="129">
        <f t="shared" si="20"/>
        <v>5413</v>
      </c>
    </row>
    <row r="154" spans="1:14" s="157" customFormat="1" ht="12.75">
      <c r="A154" s="138"/>
      <c r="B154" s="78" t="s">
        <v>97</v>
      </c>
      <c r="C154" s="78"/>
      <c r="D154" s="18"/>
      <c r="F154" s="111">
        <f aca="true" t="shared" si="21" ref="F154:N154">SUM(F155:F156)</f>
        <v>0</v>
      </c>
      <c r="G154" s="111">
        <f t="shared" si="21"/>
        <v>0</v>
      </c>
      <c r="H154" s="111">
        <f t="shared" si="21"/>
        <v>0</v>
      </c>
      <c r="I154" s="111">
        <f t="shared" si="21"/>
        <v>0</v>
      </c>
      <c r="J154" s="111">
        <f t="shared" si="21"/>
        <v>0</v>
      </c>
      <c r="K154" s="111">
        <f t="shared" si="21"/>
        <v>0</v>
      </c>
      <c r="L154" s="111">
        <f t="shared" si="21"/>
        <v>0</v>
      </c>
      <c r="M154" s="111">
        <f t="shared" si="21"/>
        <v>0</v>
      </c>
      <c r="N154" s="111">
        <f t="shared" si="21"/>
        <v>0</v>
      </c>
    </row>
    <row r="155" spans="1:14" s="77" customFormat="1" ht="12.75">
      <c r="A155" s="156"/>
      <c r="B155" s="148"/>
      <c r="C155" s="50" t="s">
        <v>72</v>
      </c>
      <c r="D155" s="28"/>
      <c r="F155" s="33">
        <f>+'Entrate tot e finalizzati'!F155-'Entrate tot e finalizzati'!G155</f>
        <v>0</v>
      </c>
      <c r="G155" s="33">
        <f>+'Entrate tot e finalizzati'!H155-'Entrate tot e finalizzati'!I155</f>
        <v>0</v>
      </c>
      <c r="H155" s="33">
        <f>+'Entrate tot e finalizzati'!J155-'Entrate tot e finalizzati'!K155</f>
        <v>0</v>
      </c>
      <c r="I155" s="33">
        <f>+'Entrate tot e finalizzati'!L155-'Entrate tot e finalizzati'!M155</f>
        <v>0</v>
      </c>
      <c r="J155" s="33">
        <f>+'Entrate tot e finalizzati'!N155-'Entrate tot e finalizzati'!O155</f>
        <v>0</v>
      </c>
      <c r="K155" s="33">
        <f>+'Entrate tot e finalizzati'!P155-'Entrate tot e finalizzati'!Q155</f>
        <v>0</v>
      </c>
      <c r="L155" s="33">
        <f>+'Entrate tot e finalizzati'!R155-'Entrate tot e finalizzati'!S155</f>
        <v>0</v>
      </c>
      <c r="M155" s="33">
        <f>+'Entrate tot e finalizzati'!T155-'Entrate tot e finalizzati'!U155</f>
        <v>0</v>
      </c>
      <c r="N155" s="33">
        <f>+'Entrate tot e finalizzati'!V155-'Entrate tot e finalizzati'!W155</f>
        <v>0</v>
      </c>
    </row>
    <row r="156" spans="1:14" s="77" customFormat="1" ht="12.75">
      <c r="A156" s="156"/>
      <c r="B156" s="148"/>
      <c r="C156" s="50" t="s">
        <v>24</v>
      </c>
      <c r="D156" s="28"/>
      <c r="F156" s="33">
        <f>+'Entrate tot e finalizzati'!F156-'Entrate tot e finalizzati'!G156</f>
        <v>0</v>
      </c>
      <c r="G156" s="33">
        <f>+'Entrate tot e finalizzati'!H156-'Entrate tot e finalizzati'!I156</f>
        <v>0</v>
      </c>
      <c r="H156" s="33">
        <f>+'Entrate tot e finalizzati'!J156-'Entrate tot e finalizzati'!K156</f>
        <v>0</v>
      </c>
      <c r="I156" s="33">
        <f>+'Entrate tot e finalizzati'!L156-'Entrate tot e finalizzati'!M156</f>
        <v>0</v>
      </c>
      <c r="J156" s="33">
        <f>+'Entrate tot e finalizzati'!N156-'Entrate tot e finalizzati'!O156</f>
        <v>0</v>
      </c>
      <c r="K156" s="33">
        <f>+'Entrate tot e finalizzati'!P156-'Entrate tot e finalizzati'!Q156</f>
        <v>0</v>
      </c>
      <c r="L156" s="33">
        <f>+'Entrate tot e finalizzati'!R156-'Entrate tot e finalizzati'!S156</f>
        <v>0</v>
      </c>
      <c r="M156" s="33">
        <f>+'Entrate tot e finalizzati'!T156-'Entrate tot e finalizzati'!U156</f>
        <v>0</v>
      </c>
      <c r="N156" s="33">
        <f>+'Entrate tot e finalizzati'!V156-'Entrate tot e finalizzati'!W156</f>
        <v>0</v>
      </c>
    </row>
    <row r="157" spans="1:14" s="2" customFormat="1" ht="12.75">
      <c r="A157" s="73"/>
      <c r="B157" s="78" t="s">
        <v>16</v>
      </c>
      <c r="C157" s="78"/>
      <c r="D157" s="18"/>
      <c r="F157" s="32">
        <f aca="true" t="shared" si="22" ref="F157:N157">SUM(F158:F168)</f>
        <v>364</v>
      </c>
      <c r="G157" s="32">
        <f t="shared" si="22"/>
        <v>3015</v>
      </c>
      <c r="H157" s="32">
        <f t="shared" si="22"/>
        <v>338</v>
      </c>
      <c r="I157" s="32">
        <f t="shared" si="22"/>
        <v>484</v>
      </c>
      <c r="J157" s="32">
        <f t="shared" si="22"/>
        <v>329</v>
      </c>
      <c r="K157" s="32">
        <f t="shared" si="22"/>
        <v>1760</v>
      </c>
      <c r="L157" s="32">
        <f t="shared" si="22"/>
        <v>2824</v>
      </c>
      <c r="M157" s="32">
        <f t="shared" si="22"/>
        <v>3173</v>
      </c>
      <c r="N157" s="32">
        <f t="shared" si="22"/>
        <v>3356</v>
      </c>
    </row>
    <row r="158" spans="1:14" s="2" customFormat="1" ht="12.75">
      <c r="A158" s="73"/>
      <c r="B158" s="78"/>
      <c r="C158" s="51" t="s">
        <v>74</v>
      </c>
      <c r="D158" s="18"/>
      <c r="F158" s="94">
        <f>+'Entrate tot e finalizzati'!F158-'Entrate tot e finalizzati'!G158</f>
        <v>0</v>
      </c>
      <c r="G158" s="53">
        <f>+'Entrate tot e finalizzati'!H158-'Entrate tot e finalizzati'!I158</f>
        <v>0</v>
      </c>
      <c r="H158" s="94">
        <f>+'Entrate tot e finalizzati'!J158-'Entrate tot e finalizzati'!K158</f>
        <v>0</v>
      </c>
      <c r="I158" s="94">
        <f>+'Entrate tot e finalizzati'!L158-'Entrate tot e finalizzati'!M158</f>
        <v>0</v>
      </c>
      <c r="J158" s="107">
        <f>+'Entrate tot e finalizzati'!N158-'Entrate tot e finalizzati'!O158</f>
        <v>0</v>
      </c>
      <c r="K158" s="107">
        <f>+'Entrate tot e finalizzati'!P158-'Entrate tot e finalizzati'!Q158</f>
        <v>0</v>
      </c>
      <c r="L158" s="107">
        <f>+'Entrate tot e finalizzati'!R158-'Entrate tot e finalizzati'!S158</f>
        <v>0</v>
      </c>
      <c r="M158" s="107">
        <f>+'Entrate tot e finalizzati'!T158-'Entrate tot e finalizzati'!U158</f>
        <v>0</v>
      </c>
      <c r="N158" s="107">
        <f>+'Entrate tot e finalizzati'!V158-'Entrate tot e finalizzati'!W158</f>
        <v>0</v>
      </c>
    </row>
    <row r="159" spans="1:14" s="2" customFormat="1" ht="12.75">
      <c r="A159" s="73"/>
      <c r="B159" s="78"/>
      <c r="C159" s="51" t="s">
        <v>79</v>
      </c>
      <c r="D159" s="18"/>
      <c r="F159" s="94">
        <f>+'Entrate tot e finalizzati'!F159-'Entrate tot e finalizzati'!G159</f>
        <v>243</v>
      </c>
      <c r="G159" s="53">
        <f>+'Entrate tot e finalizzati'!H159-'Entrate tot e finalizzati'!I159</f>
        <v>226</v>
      </c>
      <c r="H159" s="94">
        <f>+'Entrate tot e finalizzati'!J159-'Entrate tot e finalizzati'!K159</f>
        <v>230</v>
      </c>
      <c r="I159" s="94">
        <f>+'Entrate tot e finalizzati'!L159-'Entrate tot e finalizzati'!M159</f>
        <v>236</v>
      </c>
      <c r="J159" s="107">
        <f>+'Entrate tot e finalizzati'!N159-'Entrate tot e finalizzati'!O159</f>
        <v>314</v>
      </c>
      <c r="K159" s="107">
        <f>+'Entrate tot e finalizzati'!P159-'Entrate tot e finalizzati'!Q159</f>
        <v>157</v>
      </c>
      <c r="L159" s="107">
        <f>+'Entrate tot e finalizzati'!R159-'Entrate tot e finalizzati'!S159</f>
        <v>185</v>
      </c>
      <c r="M159" s="107">
        <f>+'Entrate tot e finalizzati'!T159-'Entrate tot e finalizzati'!U159</f>
        <v>205</v>
      </c>
      <c r="N159" s="107">
        <f>+'Entrate tot e finalizzati'!V159-'Entrate tot e finalizzati'!W159</f>
        <v>225</v>
      </c>
    </row>
    <row r="160" spans="1:14" s="2" customFormat="1" ht="12.75">
      <c r="A160" s="73"/>
      <c r="B160" s="78"/>
      <c r="C160" s="51" t="s">
        <v>135</v>
      </c>
      <c r="D160" s="18"/>
      <c r="F160" s="107">
        <f>+'Entrate tot e finalizzati'!F160-'Entrate tot e finalizzati'!G160</f>
        <v>0</v>
      </c>
      <c r="G160" s="53">
        <f>+'Entrate tot e finalizzati'!H160-'Entrate tot e finalizzati'!I160</f>
        <v>0</v>
      </c>
      <c r="H160" s="107">
        <f>+'Entrate tot e finalizzati'!J160-'Entrate tot e finalizzati'!K160</f>
        <v>0</v>
      </c>
      <c r="I160" s="107">
        <f>+'Entrate tot e finalizzati'!L160-'Entrate tot e finalizzati'!M160</f>
        <v>0</v>
      </c>
      <c r="J160" s="94">
        <f>+'Entrate tot e finalizzati'!N160-'Entrate tot e finalizzati'!O160</f>
        <v>0</v>
      </c>
      <c r="K160" s="107">
        <f>+'Entrate tot e finalizzati'!P160-'Entrate tot e finalizzati'!Q160</f>
        <v>0</v>
      </c>
      <c r="L160" s="107">
        <f>+'Entrate tot e finalizzati'!R160-'Entrate tot e finalizzati'!S160</f>
        <v>0</v>
      </c>
      <c r="M160" s="107">
        <f>+'Entrate tot e finalizzati'!T160-'Entrate tot e finalizzati'!U160</f>
        <v>0</v>
      </c>
      <c r="N160" s="107">
        <f>+'Entrate tot e finalizzati'!V160-'Entrate tot e finalizzati'!W160</f>
        <v>0</v>
      </c>
    </row>
    <row r="161" spans="1:14" s="2" customFormat="1" ht="12.75">
      <c r="A161" s="73"/>
      <c r="B161" s="78"/>
      <c r="C161" s="7" t="s">
        <v>75</v>
      </c>
      <c r="D161" s="18"/>
      <c r="F161" s="107">
        <f>+'Entrate tot e finalizzati'!F161-'Entrate tot e finalizzati'!G161</f>
        <v>121</v>
      </c>
      <c r="G161" s="53">
        <f>+'Entrate tot e finalizzati'!H161-'Entrate tot e finalizzati'!I161</f>
        <v>2789</v>
      </c>
      <c r="H161" s="107">
        <f>+'Entrate tot e finalizzati'!J161-'Entrate tot e finalizzati'!K161</f>
        <v>108</v>
      </c>
      <c r="I161" s="107">
        <f>+'Entrate tot e finalizzati'!L161-'Entrate tot e finalizzati'!M161</f>
        <v>248</v>
      </c>
      <c r="J161" s="94">
        <f>+'Entrate tot e finalizzati'!N161-'Entrate tot e finalizzati'!O161</f>
        <v>15</v>
      </c>
      <c r="K161" s="107">
        <f>+'Entrate tot e finalizzati'!P161-'Entrate tot e finalizzati'!Q161</f>
        <v>1032</v>
      </c>
      <c r="L161" s="107">
        <f>+'Entrate tot e finalizzati'!R161-'Entrate tot e finalizzati'!S161</f>
        <v>1432</v>
      </c>
      <c r="M161" s="107">
        <f>+'Entrate tot e finalizzati'!T161-'Entrate tot e finalizzati'!U161</f>
        <v>1522</v>
      </c>
      <c r="N161" s="107">
        <f>+'Entrate tot e finalizzati'!V161-'Entrate tot e finalizzati'!W161</f>
        <v>1150</v>
      </c>
    </row>
    <row r="162" spans="1:14" s="2" customFormat="1" ht="12.75">
      <c r="A162" s="73"/>
      <c r="B162" s="78"/>
      <c r="C162" s="50" t="s">
        <v>24</v>
      </c>
      <c r="D162" s="18"/>
      <c r="F162" s="94">
        <f>+'Entrate tot e finalizzati'!F162-'Entrate tot e finalizzati'!G162</f>
        <v>0</v>
      </c>
      <c r="G162" s="53">
        <f>+'Entrate tot e finalizzati'!H162-'Entrate tot e finalizzati'!I162</f>
        <v>0</v>
      </c>
      <c r="H162" s="94">
        <f>+'Entrate tot e finalizzati'!J162-'Entrate tot e finalizzati'!K162</f>
        <v>0</v>
      </c>
      <c r="I162" s="94">
        <f>+'Entrate tot e finalizzati'!L162-'Entrate tot e finalizzati'!M162</f>
        <v>0</v>
      </c>
      <c r="J162" s="94">
        <f>+'Entrate tot e finalizzati'!N162-'Entrate tot e finalizzati'!O162</f>
        <v>0</v>
      </c>
      <c r="K162" s="94">
        <f>+'Entrate tot e finalizzati'!P162-'Entrate tot e finalizzati'!Q162</f>
        <v>0</v>
      </c>
      <c r="L162" s="94">
        <f>+'Entrate tot e finalizzati'!R162-'Entrate tot e finalizzati'!S162</f>
        <v>0</v>
      </c>
      <c r="M162" s="94">
        <f>+'Entrate tot e finalizzati'!T162-'Entrate tot e finalizzati'!U162</f>
        <v>0</v>
      </c>
      <c r="N162" s="94">
        <f>+'Entrate tot e finalizzati'!V162-'Entrate tot e finalizzati'!W162</f>
        <v>0</v>
      </c>
    </row>
    <row r="163" spans="1:14" s="2" customFormat="1" ht="12.75">
      <c r="A163" s="73"/>
      <c r="B163" s="78"/>
      <c r="C163" s="51" t="s">
        <v>60</v>
      </c>
      <c r="D163" s="18"/>
      <c r="F163" s="94">
        <f>+'Entrate tot e finalizzati'!F163-'Entrate tot e finalizzati'!G163</f>
        <v>0</v>
      </c>
      <c r="G163" s="53">
        <f>+'Entrate tot e finalizzati'!H163-'Entrate tot e finalizzati'!I163</f>
        <v>0</v>
      </c>
      <c r="H163" s="94">
        <f>+'Entrate tot e finalizzati'!J163-'Entrate tot e finalizzati'!K163</f>
        <v>0</v>
      </c>
      <c r="I163" s="94">
        <f>+'Entrate tot e finalizzati'!L163-'Entrate tot e finalizzati'!M163</f>
        <v>0</v>
      </c>
      <c r="J163" s="94">
        <f>+'Entrate tot e finalizzati'!N163-'Entrate tot e finalizzati'!O163</f>
        <v>0</v>
      </c>
      <c r="K163" s="94">
        <f>+'Entrate tot e finalizzati'!P163-'Entrate tot e finalizzati'!Q163</f>
        <v>0</v>
      </c>
      <c r="L163" s="94">
        <f>+'Entrate tot e finalizzati'!R163-'Entrate tot e finalizzati'!S163</f>
        <v>0</v>
      </c>
      <c r="M163" s="94">
        <f>+'Entrate tot e finalizzati'!T163-'Entrate tot e finalizzati'!U163</f>
        <v>0</v>
      </c>
      <c r="N163" s="94">
        <f>+'Entrate tot e finalizzati'!V163-'Entrate tot e finalizzati'!W163</f>
        <v>0</v>
      </c>
    </row>
    <row r="164" spans="1:14" s="2" customFormat="1" ht="12.75">
      <c r="A164" s="73"/>
      <c r="B164" s="78"/>
      <c r="C164" s="51" t="s">
        <v>137</v>
      </c>
      <c r="D164" s="18"/>
      <c r="F164" s="94">
        <f>+'Entrate tot e finalizzati'!F164-'Entrate tot e finalizzati'!G164</f>
        <v>0</v>
      </c>
      <c r="G164" s="53">
        <f>+'Entrate tot e finalizzati'!H164-'Entrate tot e finalizzati'!I164</f>
        <v>0</v>
      </c>
      <c r="H164" s="94">
        <f>+'Entrate tot e finalizzati'!J164-'Entrate tot e finalizzati'!K164</f>
        <v>0</v>
      </c>
      <c r="I164" s="94">
        <f>+'Entrate tot e finalizzati'!L164-'Entrate tot e finalizzati'!M164</f>
        <v>0</v>
      </c>
      <c r="J164" s="94">
        <f>+'Entrate tot e finalizzati'!N164-'Entrate tot e finalizzati'!O164</f>
        <v>0</v>
      </c>
      <c r="K164" s="94">
        <f>+'Entrate tot e finalizzati'!P164-'Entrate tot e finalizzati'!Q164</f>
        <v>0</v>
      </c>
      <c r="L164" s="94">
        <f>+'Entrate tot e finalizzati'!R164-'Entrate tot e finalizzati'!S164</f>
        <v>0</v>
      </c>
      <c r="M164" s="94">
        <f>+'Entrate tot e finalizzati'!T164-'Entrate tot e finalizzati'!U164</f>
        <v>0</v>
      </c>
      <c r="N164" s="94">
        <f>+'Entrate tot e finalizzati'!V164-'Entrate tot e finalizzati'!W164</f>
        <v>0</v>
      </c>
    </row>
    <row r="165" spans="1:14" s="2" customFormat="1" ht="12.75">
      <c r="A165" s="73"/>
      <c r="B165" s="78"/>
      <c r="C165" s="51" t="s">
        <v>80</v>
      </c>
      <c r="D165" s="18"/>
      <c r="F165" s="94">
        <f>+'Entrate tot e finalizzati'!F165-'Entrate tot e finalizzati'!G165</f>
        <v>0</v>
      </c>
      <c r="G165" s="53">
        <f>+'Entrate tot e finalizzati'!H165-'Entrate tot e finalizzati'!I165</f>
        <v>0</v>
      </c>
      <c r="H165" s="94">
        <f>+'Entrate tot e finalizzati'!J165-'Entrate tot e finalizzati'!K165</f>
        <v>0</v>
      </c>
      <c r="I165" s="94">
        <f>+'Entrate tot e finalizzati'!L165-'Entrate tot e finalizzati'!M165</f>
        <v>0</v>
      </c>
      <c r="J165" s="107">
        <f>+'Entrate tot e finalizzati'!N165-'Entrate tot e finalizzati'!O165</f>
        <v>0</v>
      </c>
      <c r="K165" s="94">
        <f>+'Entrate tot e finalizzati'!P165-'Entrate tot e finalizzati'!Q165</f>
        <v>516</v>
      </c>
      <c r="L165" s="94">
        <f>+'Entrate tot e finalizzati'!R165-'Entrate tot e finalizzati'!S165</f>
        <v>517</v>
      </c>
      <c r="M165" s="94">
        <f>+'Entrate tot e finalizzati'!T165-'Entrate tot e finalizzati'!U165</f>
        <v>516</v>
      </c>
      <c r="N165" s="94">
        <f>+'Entrate tot e finalizzati'!V165-'Entrate tot e finalizzati'!W165</f>
        <v>515</v>
      </c>
    </row>
    <row r="166" spans="1:14" s="2" customFormat="1" ht="12.75">
      <c r="A166" s="73"/>
      <c r="B166" s="78"/>
      <c r="C166" s="13" t="s">
        <v>73</v>
      </c>
      <c r="D166" s="18"/>
      <c r="F166" s="94">
        <f>+'Entrate tot e finalizzati'!F166-'Entrate tot e finalizzati'!G166</f>
        <v>0</v>
      </c>
      <c r="G166" s="53">
        <f>+'Entrate tot e finalizzati'!H166-'Entrate tot e finalizzati'!I166</f>
        <v>0</v>
      </c>
      <c r="H166" s="94">
        <f>+'Entrate tot e finalizzati'!J166-'Entrate tot e finalizzati'!K166</f>
        <v>0</v>
      </c>
      <c r="I166" s="94">
        <f>+'Entrate tot e finalizzati'!L166-'Entrate tot e finalizzati'!M166</f>
        <v>0</v>
      </c>
      <c r="J166" s="107">
        <f>+'Entrate tot e finalizzati'!N166-'Entrate tot e finalizzati'!O166</f>
        <v>0</v>
      </c>
      <c r="K166" s="107">
        <f>+'Entrate tot e finalizzati'!P166-'Entrate tot e finalizzati'!Q166</f>
        <v>55</v>
      </c>
      <c r="L166" s="107">
        <f>+'Entrate tot e finalizzati'!R166-'Entrate tot e finalizzati'!S166</f>
        <v>90</v>
      </c>
      <c r="M166" s="107">
        <f>+'Entrate tot e finalizzati'!T166-'Entrate tot e finalizzati'!U166</f>
        <v>181</v>
      </c>
      <c r="N166" s="107">
        <f>+'Entrate tot e finalizzati'!V166-'Entrate tot e finalizzati'!W166</f>
        <v>0</v>
      </c>
    </row>
    <row r="167" spans="1:14" s="2" customFormat="1" ht="12.75">
      <c r="A167" s="73"/>
      <c r="B167" s="78"/>
      <c r="C167" s="13" t="s">
        <v>104</v>
      </c>
      <c r="D167" s="18"/>
      <c r="F167" s="94">
        <f>+'Entrate tot e finalizzati'!F167-'Entrate tot e finalizzati'!G167</f>
        <v>0</v>
      </c>
      <c r="G167" s="53">
        <f>+'Entrate tot e finalizzati'!H167-'Entrate tot e finalizzati'!I167</f>
        <v>0</v>
      </c>
      <c r="H167" s="94">
        <f>+'Entrate tot e finalizzati'!J167-'Entrate tot e finalizzati'!K167</f>
        <v>0</v>
      </c>
      <c r="I167" s="94">
        <f>+'Entrate tot e finalizzati'!L167-'Entrate tot e finalizzati'!M167</f>
        <v>0</v>
      </c>
      <c r="J167" s="107">
        <f>+'Entrate tot e finalizzati'!N167-'Entrate tot e finalizzati'!O167</f>
        <v>0</v>
      </c>
      <c r="K167" s="107">
        <f>+'Entrate tot e finalizzati'!P167-'Entrate tot e finalizzati'!Q167</f>
        <v>0</v>
      </c>
      <c r="L167" s="107">
        <f>+'Entrate tot e finalizzati'!R167-'Entrate tot e finalizzati'!S167</f>
        <v>600</v>
      </c>
      <c r="M167" s="107">
        <f>+'Entrate tot e finalizzati'!T167-'Entrate tot e finalizzati'!U167</f>
        <v>749</v>
      </c>
      <c r="N167" s="107">
        <f>+'Entrate tot e finalizzati'!V167-'Entrate tot e finalizzati'!W167</f>
        <v>1466</v>
      </c>
    </row>
    <row r="168" spans="1:14" s="2" customFormat="1" ht="12.75">
      <c r="A168" s="73"/>
      <c r="B168" s="78"/>
      <c r="C168" s="51" t="s">
        <v>81</v>
      </c>
      <c r="D168" s="18"/>
      <c r="F168" s="94">
        <f>+'Entrate tot e finalizzati'!F168-'Entrate tot e finalizzati'!G168</f>
        <v>0</v>
      </c>
      <c r="G168" s="53">
        <f>+'Entrate tot e finalizzati'!H168-'Entrate tot e finalizzati'!I168</f>
        <v>0</v>
      </c>
      <c r="H168" s="94">
        <f>+'Entrate tot e finalizzati'!J168-'Entrate tot e finalizzati'!K168</f>
        <v>0</v>
      </c>
      <c r="I168" s="94">
        <f>+'Entrate tot e finalizzati'!L168-'Entrate tot e finalizzati'!M168</f>
        <v>0</v>
      </c>
      <c r="J168" s="107">
        <f>+'Entrate tot e finalizzati'!N168-'Entrate tot e finalizzati'!O168</f>
        <v>0</v>
      </c>
      <c r="K168" s="107">
        <f>+'Entrate tot e finalizzati'!P168-'Entrate tot e finalizzati'!Q168</f>
        <v>0</v>
      </c>
      <c r="L168" s="107">
        <f>+'Entrate tot e finalizzati'!R168-'Entrate tot e finalizzati'!S168</f>
        <v>0</v>
      </c>
      <c r="M168" s="107">
        <f>+'Entrate tot e finalizzati'!T168-'Entrate tot e finalizzati'!U168</f>
        <v>0</v>
      </c>
      <c r="N168" s="107">
        <f>+'Entrate tot e finalizzati'!V168-'Entrate tot e finalizzati'!W168</f>
        <v>0</v>
      </c>
    </row>
    <row r="169" spans="1:14" s="2" customFormat="1" ht="12.75">
      <c r="A169" s="73"/>
      <c r="B169" s="123" t="s">
        <v>118</v>
      </c>
      <c r="C169" s="123"/>
      <c r="D169" s="18"/>
      <c r="F169" s="32">
        <f>SUM(F170:F177)</f>
        <v>6</v>
      </c>
      <c r="G169" s="32">
        <f aca="true" t="shared" si="23" ref="G169:N169">SUM(G170:G177)</f>
        <v>1</v>
      </c>
      <c r="H169" s="32">
        <f t="shared" si="23"/>
        <v>0</v>
      </c>
      <c r="I169" s="32">
        <f t="shared" si="23"/>
        <v>0</v>
      </c>
      <c r="J169" s="32">
        <f t="shared" si="23"/>
        <v>0</v>
      </c>
      <c r="K169" s="32">
        <f t="shared" si="23"/>
        <v>0</v>
      </c>
      <c r="L169" s="32">
        <f t="shared" si="23"/>
        <v>0</v>
      </c>
      <c r="M169" s="32">
        <f t="shared" si="23"/>
        <v>0</v>
      </c>
      <c r="N169" s="32">
        <f t="shared" si="23"/>
        <v>314</v>
      </c>
    </row>
    <row r="170" spans="1:14" s="2" customFormat="1" ht="12.75">
      <c r="A170" s="73"/>
      <c r="B170" s="78"/>
      <c r="C170" s="51" t="s">
        <v>72</v>
      </c>
      <c r="D170" s="18"/>
      <c r="F170" s="48">
        <f>+'Entrate tot e finalizzati'!F170-'Entrate tot e finalizzati'!G170</f>
        <v>0</v>
      </c>
      <c r="G170" s="33">
        <f>+'Entrate tot e finalizzati'!H170-'Entrate tot e finalizzati'!I170</f>
        <v>0</v>
      </c>
      <c r="H170" s="48">
        <f>+'Entrate tot e finalizzati'!J170-'Entrate tot e finalizzati'!K170</f>
        <v>0</v>
      </c>
      <c r="I170" s="48">
        <f>+'Entrate tot e finalizzati'!L170-'Entrate tot e finalizzati'!M170</f>
        <v>0</v>
      </c>
      <c r="J170" s="46">
        <f>+'Entrate tot e finalizzati'!N170-'Entrate tot e finalizzati'!O170</f>
        <v>0</v>
      </c>
      <c r="K170" s="46">
        <f>+'Entrate tot e finalizzati'!P170-'Entrate tot e finalizzati'!Q170</f>
        <v>0</v>
      </c>
      <c r="L170" s="46">
        <f>+'Entrate tot e finalizzati'!R170-'Entrate tot e finalizzati'!S170</f>
        <v>0</v>
      </c>
      <c r="M170" s="46">
        <f>+'Entrate tot e finalizzati'!T170-'Entrate tot e finalizzati'!U170</f>
        <v>0</v>
      </c>
      <c r="N170" s="46">
        <f>+'Entrate tot e finalizzati'!V170-'Entrate tot e finalizzati'!W170</f>
        <v>0</v>
      </c>
    </row>
    <row r="171" spans="1:14" s="2" customFormat="1" ht="12.75">
      <c r="A171" s="73"/>
      <c r="B171" s="78"/>
      <c r="C171" s="51" t="s">
        <v>74</v>
      </c>
      <c r="D171" s="18"/>
      <c r="F171" s="52">
        <f>+'Entrate tot e finalizzati'!F171-'Entrate tot e finalizzati'!G171</f>
        <v>0</v>
      </c>
      <c r="G171" s="53">
        <f>+'Entrate tot e finalizzati'!H171-'Entrate tot e finalizzati'!I171</f>
        <v>0</v>
      </c>
      <c r="H171" s="52">
        <f>+'Entrate tot e finalizzati'!J171-'Entrate tot e finalizzati'!K171</f>
        <v>0</v>
      </c>
      <c r="I171" s="52">
        <f>+'Entrate tot e finalizzati'!L171-'Entrate tot e finalizzati'!M171</f>
        <v>0</v>
      </c>
      <c r="J171" s="53">
        <f>+'Entrate tot e finalizzati'!N171-'Entrate tot e finalizzati'!O171</f>
        <v>0</v>
      </c>
      <c r="K171" s="53">
        <f>+'Entrate tot e finalizzati'!P171-'Entrate tot e finalizzati'!Q171</f>
        <v>0</v>
      </c>
      <c r="L171" s="53">
        <f>+'Entrate tot e finalizzati'!R171-'Entrate tot e finalizzati'!S171</f>
        <v>0</v>
      </c>
      <c r="M171" s="53">
        <f>+'Entrate tot e finalizzati'!T171-'Entrate tot e finalizzati'!U171</f>
        <v>0</v>
      </c>
      <c r="N171" s="53">
        <f>+'Entrate tot e finalizzati'!V171-'Entrate tot e finalizzati'!W171</f>
        <v>0</v>
      </c>
    </row>
    <row r="172" spans="1:14" s="2" customFormat="1" ht="12.75">
      <c r="A172" s="73"/>
      <c r="B172" s="78"/>
      <c r="C172" s="51" t="s">
        <v>77</v>
      </c>
      <c r="D172" s="18"/>
      <c r="F172" s="94">
        <f>+'Entrate tot e finalizzati'!F172-'Entrate tot e finalizzati'!G172</f>
        <v>0</v>
      </c>
      <c r="G172" s="93">
        <f>+'Entrate tot e finalizzati'!H172-'Entrate tot e finalizzati'!I172</f>
        <v>0</v>
      </c>
      <c r="H172" s="94">
        <f>+'Entrate tot e finalizzati'!J172-'Entrate tot e finalizzati'!K172</f>
        <v>0</v>
      </c>
      <c r="I172" s="94">
        <f>+'Entrate tot e finalizzati'!L172-'Entrate tot e finalizzati'!M172</f>
        <v>0</v>
      </c>
      <c r="J172" s="93">
        <f>+'Entrate tot e finalizzati'!N172-'Entrate tot e finalizzati'!O172</f>
        <v>0</v>
      </c>
      <c r="K172" s="93">
        <f>+'Entrate tot e finalizzati'!P172-'Entrate tot e finalizzati'!Q172</f>
        <v>0</v>
      </c>
      <c r="L172" s="93">
        <f>+'Entrate tot e finalizzati'!R172-'Entrate tot e finalizzati'!S172</f>
        <v>0</v>
      </c>
      <c r="M172" s="93">
        <f>+'Entrate tot e finalizzati'!T172-'Entrate tot e finalizzati'!U172</f>
        <v>0</v>
      </c>
      <c r="N172" s="93">
        <f>+'Entrate tot e finalizzati'!V172-'Entrate tot e finalizzati'!W172</f>
        <v>0</v>
      </c>
    </row>
    <row r="173" spans="1:14" s="2" customFormat="1" ht="12.75">
      <c r="A173" s="73"/>
      <c r="B173" s="78"/>
      <c r="C173" s="51" t="s">
        <v>135</v>
      </c>
      <c r="D173" s="18"/>
      <c r="F173" s="94">
        <f>+'Entrate tot e finalizzati'!F173-'Entrate tot e finalizzati'!G173</f>
        <v>0</v>
      </c>
      <c r="G173" s="93">
        <f>+'Entrate tot e finalizzati'!H173-'Entrate tot e finalizzati'!I173</f>
        <v>0</v>
      </c>
      <c r="H173" s="94">
        <f>+'Entrate tot e finalizzati'!J173-'Entrate tot e finalizzati'!K173</f>
        <v>0</v>
      </c>
      <c r="I173" s="94">
        <f>+'Entrate tot e finalizzati'!L173-'Entrate tot e finalizzati'!M173</f>
        <v>0</v>
      </c>
      <c r="J173" s="93">
        <f>+'Entrate tot e finalizzati'!N173-'Entrate tot e finalizzati'!O173</f>
        <v>0</v>
      </c>
      <c r="K173" s="93">
        <f>+'Entrate tot e finalizzati'!P173-'Entrate tot e finalizzati'!Q173</f>
        <v>0</v>
      </c>
      <c r="L173" s="93">
        <f>+'Entrate tot e finalizzati'!R173-'Entrate tot e finalizzati'!S173</f>
        <v>0</v>
      </c>
      <c r="M173" s="93">
        <f>+'Entrate tot e finalizzati'!T173-'Entrate tot e finalizzati'!U173</f>
        <v>0</v>
      </c>
      <c r="N173" s="93">
        <f>+'Entrate tot e finalizzati'!V173-'Entrate tot e finalizzati'!W173</f>
        <v>0</v>
      </c>
    </row>
    <row r="174" spans="1:14" s="2" customFormat="1" ht="12.75">
      <c r="A174" s="73"/>
      <c r="B174" s="51"/>
      <c r="C174" s="50" t="s">
        <v>24</v>
      </c>
      <c r="D174" s="74"/>
      <c r="F174" s="94">
        <f>+'Entrate tot e finalizzati'!F174-'Entrate tot e finalizzati'!G174</f>
        <v>0</v>
      </c>
      <c r="G174" s="93">
        <f>+'Entrate tot e finalizzati'!H174-'Entrate tot e finalizzati'!I174</f>
        <v>0</v>
      </c>
      <c r="H174" s="94">
        <f>+'Entrate tot e finalizzati'!J174-'Entrate tot e finalizzati'!K174</f>
        <v>0</v>
      </c>
      <c r="I174" s="94">
        <f>+'Entrate tot e finalizzati'!L174-'Entrate tot e finalizzati'!M174</f>
        <v>0</v>
      </c>
      <c r="J174" s="116">
        <f>+'Entrate tot e finalizzati'!N174-'Entrate tot e finalizzati'!O174</f>
        <v>0</v>
      </c>
      <c r="K174" s="116">
        <f>+'Entrate tot e finalizzati'!P174-'Entrate tot e finalizzati'!Q174</f>
        <v>0</v>
      </c>
      <c r="L174" s="116">
        <f>+'Entrate tot e finalizzati'!R174-'Entrate tot e finalizzati'!S174</f>
        <v>0</v>
      </c>
      <c r="M174" s="116">
        <f>+'Entrate tot e finalizzati'!T174-'Entrate tot e finalizzati'!U174</f>
        <v>0</v>
      </c>
      <c r="N174" s="116">
        <f>+'Entrate tot e finalizzati'!V174-'Entrate tot e finalizzati'!W174</f>
        <v>0</v>
      </c>
    </row>
    <row r="175" spans="1:14" s="2" customFormat="1" ht="12.75">
      <c r="A175" s="73"/>
      <c r="B175" s="51"/>
      <c r="C175" s="13" t="s">
        <v>73</v>
      </c>
      <c r="D175" s="74"/>
      <c r="F175" s="94">
        <f>+'Entrate tot e finalizzati'!F175-'Entrate tot e finalizzati'!G175</f>
        <v>6</v>
      </c>
      <c r="G175" s="93">
        <f>+'Entrate tot e finalizzati'!H175-'Entrate tot e finalizzati'!I175</f>
        <v>1</v>
      </c>
      <c r="H175" s="94">
        <f>+'Entrate tot e finalizzati'!J175-'Entrate tot e finalizzati'!K175</f>
        <v>0</v>
      </c>
      <c r="I175" s="94">
        <f>+'Entrate tot e finalizzati'!L175-'Entrate tot e finalizzati'!M175</f>
        <v>0</v>
      </c>
      <c r="J175" s="93">
        <f>+'Entrate tot e finalizzati'!N175-'Entrate tot e finalizzati'!O175</f>
        <v>0</v>
      </c>
      <c r="K175" s="93">
        <f>+'Entrate tot e finalizzati'!P175-'Entrate tot e finalizzati'!Q175</f>
        <v>0</v>
      </c>
      <c r="L175" s="93">
        <f>+'Entrate tot e finalizzati'!R175-'Entrate tot e finalizzati'!S175</f>
        <v>0</v>
      </c>
      <c r="M175" s="93">
        <f>+'Entrate tot e finalizzati'!T175-'Entrate tot e finalizzati'!U175</f>
        <v>0</v>
      </c>
      <c r="N175" s="93">
        <f>+'Entrate tot e finalizzati'!V175-'Entrate tot e finalizzati'!W175</f>
        <v>314</v>
      </c>
    </row>
    <row r="176" spans="1:14" s="2" customFormat="1" ht="12.75">
      <c r="A176" s="73"/>
      <c r="B176" s="51"/>
      <c r="C176" s="51" t="s">
        <v>80</v>
      </c>
      <c r="D176" s="74"/>
      <c r="F176" s="94">
        <f>+'Entrate tot e finalizzati'!F176-'Entrate tot e finalizzati'!G176</f>
        <v>0</v>
      </c>
      <c r="G176" s="93">
        <f>+'Entrate tot e finalizzati'!H176-'Entrate tot e finalizzati'!I176</f>
        <v>0</v>
      </c>
      <c r="H176" s="94">
        <f>+'Entrate tot e finalizzati'!J176-'Entrate tot e finalizzati'!K176</f>
        <v>0</v>
      </c>
      <c r="I176" s="94">
        <f>+'Entrate tot e finalizzati'!L176-'Entrate tot e finalizzati'!M176</f>
        <v>0</v>
      </c>
      <c r="J176" s="93">
        <f>+'Entrate tot e finalizzati'!N176-'Entrate tot e finalizzati'!O176</f>
        <v>0</v>
      </c>
      <c r="K176" s="93">
        <f>+'Entrate tot e finalizzati'!P176-'Entrate tot e finalizzati'!Q176</f>
        <v>0</v>
      </c>
      <c r="L176" s="93">
        <f>+'Entrate tot e finalizzati'!R176-'Entrate tot e finalizzati'!S176</f>
        <v>0</v>
      </c>
      <c r="M176" s="93">
        <f>+'Entrate tot e finalizzati'!T176-'Entrate tot e finalizzati'!U176</f>
        <v>0</v>
      </c>
      <c r="N176" s="93">
        <f>+'Entrate tot e finalizzati'!V176-'Entrate tot e finalizzati'!W176</f>
        <v>0</v>
      </c>
    </row>
    <row r="177" spans="1:14" s="2" customFormat="1" ht="12.75">
      <c r="A177" s="81"/>
      <c r="B177" s="82"/>
      <c r="C177" s="82" t="s">
        <v>75</v>
      </c>
      <c r="D177" s="83"/>
      <c r="E177" s="85"/>
      <c r="F177" s="96">
        <f>+'Entrate tot e finalizzati'!F177-'Entrate tot e finalizzati'!G177</f>
        <v>0</v>
      </c>
      <c r="G177" s="54">
        <f>+'Entrate tot e finalizzati'!H177-'Entrate tot e finalizzati'!I177</f>
        <v>0</v>
      </c>
      <c r="H177" s="96">
        <f>+'Entrate tot e finalizzati'!J177-'Entrate tot e finalizzati'!K177</f>
        <v>0</v>
      </c>
      <c r="I177" s="96">
        <f>+'Entrate tot e finalizzati'!L177-'Entrate tot e finalizzati'!M177</f>
        <v>0</v>
      </c>
      <c r="J177" s="96">
        <f>+'Entrate tot e finalizzati'!N177-'Entrate tot e finalizzati'!O177</f>
        <v>0</v>
      </c>
      <c r="K177" s="178">
        <f>+'Entrate tot e finalizzati'!P177-'Entrate tot e finalizzati'!Q177</f>
        <v>0</v>
      </c>
      <c r="L177" s="179">
        <f>+'Entrate tot e finalizzati'!R177-'Entrate tot e finalizzati'!S177</f>
        <v>0</v>
      </c>
      <c r="M177" s="179">
        <f>+'Entrate tot e finalizzati'!T177-'Entrate tot e finalizzati'!U177</f>
        <v>0</v>
      </c>
      <c r="N177" s="179">
        <f>+'Entrate tot e finalizzati'!V177-'Entrate tot e finalizzati'!W177</f>
        <v>0</v>
      </c>
    </row>
    <row r="178" spans="1:14" s="2" customFormat="1" ht="12.75">
      <c r="A178" s="73"/>
      <c r="B178" s="123" t="s">
        <v>17</v>
      </c>
      <c r="C178" s="123"/>
      <c r="D178" s="74"/>
      <c r="F178" s="87">
        <f aca="true" t="shared" si="24" ref="F178:N178">SUM(F179:F185)</f>
        <v>2147</v>
      </c>
      <c r="G178" s="87">
        <f t="shared" si="24"/>
        <v>1885</v>
      </c>
      <c r="H178" s="87">
        <f t="shared" si="24"/>
        <v>2010</v>
      </c>
      <c r="I178" s="87">
        <f t="shared" si="24"/>
        <v>1893</v>
      </c>
      <c r="J178" s="87">
        <f t="shared" si="24"/>
        <v>1693</v>
      </c>
      <c r="K178" s="87">
        <f t="shared" si="24"/>
        <v>1861</v>
      </c>
      <c r="L178" s="87">
        <f t="shared" si="24"/>
        <v>1447</v>
      </c>
      <c r="M178" s="87">
        <f t="shared" si="24"/>
        <v>1634</v>
      </c>
      <c r="N178" s="87">
        <f t="shared" si="24"/>
        <v>1743</v>
      </c>
    </row>
    <row r="179" spans="1:14" s="2" customFormat="1" ht="12.75">
      <c r="A179" s="73"/>
      <c r="B179" s="51"/>
      <c r="C179" s="51" t="s">
        <v>74</v>
      </c>
      <c r="D179" s="74"/>
      <c r="F179" s="71">
        <f>+'Entrate tot e finalizzati'!F179-'Entrate tot e finalizzati'!G179</f>
        <v>0</v>
      </c>
      <c r="G179" s="53">
        <f>+'Entrate tot e finalizzati'!H179-'Entrate tot e finalizzati'!I179</f>
        <v>0</v>
      </c>
      <c r="H179" s="71">
        <f>+'Entrate tot e finalizzati'!J179-'Entrate tot e finalizzati'!K179</f>
        <v>0</v>
      </c>
      <c r="I179" s="71">
        <f>+'Entrate tot e finalizzati'!L179-'Entrate tot e finalizzati'!M179</f>
        <v>0</v>
      </c>
      <c r="J179" s="71">
        <f>+'Entrate tot e finalizzati'!N179-'Entrate tot e finalizzati'!O179</f>
        <v>0</v>
      </c>
      <c r="K179" s="107">
        <f>+'Entrate tot e finalizzati'!P179-'Entrate tot e finalizzati'!Q179</f>
        <v>0</v>
      </c>
      <c r="L179" s="108">
        <f>+'Entrate tot e finalizzati'!R179-'Entrate tot e finalizzati'!S179</f>
        <v>0</v>
      </c>
      <c r="M179" s="108">
        <f>+'Entrate tot e finalizzati'!T179-'Entrate tot e finalizzati'!U179</f>
        <v>0</v>
      </c>
      <c r="N179" s="108">
        <f>+'Entrate tot e finalizzati'!V179-'Entrate tot e finalizzati'!W179</f>
        <v>0</v>
      </c>
    </row>
    <row r="180" spans="1:14" s="2" customFormat="1" ht="12.75">
      <c r="A180" s="73"/>
      <c r="B180" s="51"/>
      <c r="C180" s="51" t="s">
        <v>135</v>
      </c>
      <c r="D180" s="74"/>
      <c r="F180" s="94">
        <f>+'Entrate tot e finalizzati'!F180-'Entrate tot e finalizzati'!G180</f>
        <v>0</v>
      </c>
      <c r="G180" s="94">
        <f>+'Entrate tot e finalizzati'!H180-'Entrate tot e finalizzati'!I180</f>
        <v>0</v>
      </c>
      <c r="H180" s="94">
        <f>+'Entrate tot e finalizzati'!J180-'Entrate tot e finalizzati'!K180</f>
        <v>0</v>
      </c>
      <c r="I180" s="94">
        <f>+'Entrate tot e finalizzati'!L180-'Entrate tot e finalizzati'!M180</f>
        <v>0</v>
      </c>
      <c r="J180" s="93">
        <f>+'Entrate tot e finalizzati'!N180-'Entrate tot e finalizzati'!O180</f>
        <v>0</v>
      </c>
      <c r="K180" s="116">
        <f>+'Entrate tot e finalizzati'!P180-'Entrate tot e finalizzati'!Q180</f>
        <v>0</v>
      </c>
      <c r="L180" s="116">
        <f>+'Entrate tot e finalizzati'!R180-'Entrate tot e finalizzati'!S180</f>
        <v>0</v>
      </c>
      <c r="M180" s="116">
        <f>+'Entrate tot e finalizzati'!T180-'Entrate tot e finalizzati'!U180</f>
        <v>0</v>
      </c>
      <c r="N180" s="116">
        <f>+'Entrate tot e finalizzati'!V180-'Entrate tot e finalizzati'!W180</f>
        <v>0</v>
      </c>
    </row>
    <row r="181" spans="1:14" s="2" customFormat="1" ht="12.75">
      <c r="A181" s="73"/>
      <c r="B181" s="51"/>
      <c r="C181" s="7" t="s">
        <v>75</v>
      </c>
      <c r="D181" s="74"/>
      <c r="F181" s="94">
        <f>+'Entrate tot e finalizzati'!F181-'Entrate tot e finalizzati'!G181</f>
        <v>0</v>
      </c>
      <c r="G181" s="94">
        <f>+'Entrate tot e finalizzati'!H181-'Entrate tot e finalizzati'!I181</f>
        <v>0</v>
      </c>
      <c r="H181" s="94">
        <f>+'Entrate tot e finalizzati'!J181-'Entrate tot e finalizzati'!K181</f>
        <v>0</v>
      </c>
      <c r="I181" s="94">
        <f>+'Entrate tot e finalizzati'!L181-'Entrate tot e finalizzati'!M181</f>
        <v>0</v>
      </c>
      <c r="J181" s="93">
        <f>+'Entrate tot e finalizzati'!N181-'Entrate tot e finalizzati'!O181</f>
        <v>0</v>
      </c>
      <c r="K181" s="116">
        <f>+'Entrate tot e finalizzati'!P181-'Entrate tot e finalizzati'!Q181</f>
        <v>0</v>
      </c>
      <c r="L181" s="116">
        <f>+'Entrate tot e finalizzati'!R181-'Entrate tot e finalizzati'!S181</f>
        <v>0</v>
      </c>
      <c r="M181" s="116">
        <f>+'Entrate tot e finalizzati'!T181-'Entrate tot e finalizzati'!U181</f>
        <v>0</v>
      </c>
      <c r="N181" s="116">
        <f>+'Entrate tot e finalizzati'!V181-'Entrate tot e finalizzati'!W181</f>
        <v>0</v>
      </c>
    </row>
    <row r="182" spans="1:14" s="2" customFormat="1" ht="12.75">
      <c r="A182" s="73"/>
      <c r="B182" s="51"/>
      <c r="C182" s="51" t="s">
        <v>83</v>
      </c>
      <c r="D182" s="74"/>
      <c r="F182" s="94">
        <f>+'Entrate tot e finalizzati'!F182-'Entrate tot e finalizzati'!G182</f>
        <v>828</v>
      </c>
      <c r="G182" s="94">
        <f>+'Entrate tot e finalizzati'!H182-'Entrate tot e finalizzati'!I182</f>
        <v>868</v>
      </c>
      <c r="H182" s="94">
        <f>+'Entrate tot e finalizzati'!J182-'Entrate tot e finalizzati'!K182</f>
        <v>853</v>
      </c>
      <c r="I182" s="94">
        <f>+'Entrate tot e finalizzati'!L182-'Entrate tot e finalizzati'!M182</f>
        <v>803</v>
      </c>
      <c r="J182" s="93">
        <f>+'Entrate tot e finalizzati'!N182-'Entrate tot e finalizzati'!O182</f>
        <v>880</v>
      </c>
      <c r="K182" s="116">
        <f>+'Entrate tot e finalizzati'!P182-'Entrate tot e finalizzati'!Q182</f>
        <v>1100</v>
      </c>
      <c r="L182" s="116">
        <f>+'Entrate tot e finalizzati'!R182-'Entrate tot e finalizzati'!S182</f>
        <v>884</v>
      </c>
      <c r="M182" s="116">
        <f>+'Entrate tot e finalizzati'!T182-'Entrate tot e finalizzati'!U182</f>
        <v>989</v>
      </c>
      <c r="N182" s="116">
        <f>+'Entrate tot e finalizzati'!V182-'Entrate tot e finalizzati'!W182</f>
        <v>962</v>
      </c>
    </row>
    <row r="183" spans="1:14" s="2" customFormat="1" ht="12.75">
      <c r="A183" s="73"/>
      <c r="B183" s="51"/>
      <c r="C183" s="50" t="s">
        <v>82</v>
      </c>
      <c r="D183" s="74"/>
      <c r="F183" s="94">
        <f>+'Entrate tot e finalizzati'!F183-'Entrate tot e finalizzati'!G183</f>
        <v>549</v>
      </c>
      <c r="G183" s="94">
        <f>+'Entrate tot e finalizzati'!H183-'Entrate tot e finalizzati'!I183</f>
        <v>236</v>
      </c>
      <c r="H183" s="94">
        <f>+'Entrate tot e finalizzati'!J183-'Entrate tot e finalizzati'!K183</f>
        <v>1045</v>
      </c>
      <c r="I183" s="94">
        <f>+'Entrate tot e finalizzati'!L183-'Entrate tot e finalizzati'!M183</f>
        <v>991</v>
      </c>
      <c r="J183" s="116">
        <f>+'Entrate tot e finalizzati'!N183-'Entrate tot e finalizzati'!O183</f>
        <v>742</v>
      </c>
      <c r="K183" s="116">
        <f>+'Entrate tot e finalizzati'!P183-'Entrate tot e finalizzati'!Q183</f>
        <v>689</v>
      </c>
      <c r="L183" s="116">
        <f>+'Entrate tot e finalizzati'!R183-'Entrate tot e finalizzati'!S183</f>
        <v>501</v>
      </c>
      <c r="M183" s="116">
        <f>+'Entrate tot e finalizzati'!T183-'Entrate tot e finalizzati'!U183</f>
        <v>571</v>
      </c>
      <c r="N183" s="116">
        <f>+'Entrate tot e finalizzati'!V183-'Entrate tot e finalizzati'!W183</f>
        <v>721</v>
      </c>
    </row>
    <row r="184" spans="1:14" s="2" customFormat="1" ht="12.75">
      <c r="A184" s="73"/>
      <c r="B184" s="51"/>
      <c r="C184" s="50" t="s">
        <v>24</v>
      </c>
      <c r="D184" s="74"/>
      <c r="F184" s="94">
        <f>+'Entrate tot e finalizzati'!F184-'Entrate tot e finalizzati'!G184</f>
        <v>0</v>
      </c>
      <c r="G184" s="94">
        <f>+'Entrate tot e finalizzati'!H184-'Entrate tot e finalizzati'!I184</f>
        <v>0</v>
      </c>
      <c r="H184" s="94">
        <f>+'Entrate tot e finalizzati'!J184-'Entrate tot e finalizzati'!K184</f>
        <v>0</v>
      </c>
      <c r="I184" s="94">
        <f>+'Entrate tot e finalizzati'!L184-'Entrate tot e finalizzati'!M184</f>
        <v>0</v>
      </c>
      <c r="J184" s="116">
        <f>+'Entrate tot e finalizzati'!N184-'Entrate tot e finalizzati'!O184</f>
        <v>0</v>
      </c>
      <c r="K184" s="116">
        <f>+'Entrate tot e finalizzati'!P184-'Entrate tot e finalizzati'!Q184</f>
        <v>0</v>
      </c>
      <c r="L184" s="116">
        <f>+'Entrate tot e finalizzati'!R184-'Entrate tot e finalizzati'!S184</f>
        <v>0</v>
      </c>
      <c r="M184" s="116">
        <f>+'Entrate tot e finalizzati'!T184-'Entrate tot e finalizzati'!U184</f>
        <v>0</v>
      </c>
      <c r="N184" s="116">
        <f>+'Entrate tot e finalizzati'!V184-'Entrate tot e finalizzati'!W184</f>
        <v>0</v>
      </c>
    </row>
    <row r="185" spans="1:14" s="2" customFormat="1" ht="12.75">
      <c r="A185" s="81"/>
      <c r="B185" s="82"/>
      <c r="C185" s="23" t="s">
        <v>73</v>
      </c>
      <c r="D185" s="83"/>
      <c r="E185" s="85"/>
      <c r="F185" s="98">
        <f>+'Entrate tot e finalizzati'!F185-'Entrate tot e finalizzati'!G185</f>
        <v>770</v>
      </c>
      <c r="G185" s="98">
        <f>+'Entrate tot e finalizzati'!H185-'Entrate tot e finalizzati'!I185</f>
        <v>781</v>
      </c>
      <c r="H185" s="98">
        <f>+'Entrate tot e finalizzati'!J185-'Entrate tot e finalizzati'!K185</f>
        <v>112</v>
      </c>
      <c r="I185" s="98">
        <f>+'Entrate tot e finalizzati'!L185-'Entrate tot e finalizzati'!M185</f>
        <v>99</v>
      </c>
      <c r="J185" s="147">
        <f>+'Entrate tot e finalizzati'!N185-'Entrate tot e finalizzati'!O185</f>
        <v>71</v>
      </c>
      <c r="K185" s="147">
        <f>+'Entrate tot e finalizzati'!P185-'Entrate tot e finalizzati'!Q185</f>
        <v>72</v>
      </c>
      <c r="L185" s="147">
        <f>+'Entrate tot e finalizzati'!R185-'Entrate tot e finalizzati'!S185</f>
        <v>62</v>
      </c>
      <c r="M185" s="147">
        <f>+'Entrate tot e finalizzati'!T185-'Entrate tot e finalizzati'!U185</f>
        <v>74</v>
      </c>
      <c r="N185" s="147">
        <f>+'Entrate tot e finalizzati'!V185-'Entrate tot e finalizzati'!W185</f>
        <v>60</v>
      </c>
    </row>
    <row r="186" spans="1:14" s="127" customFormat="1" ht="12.75">
      <c r="A186" s="130" t="s">
        <v>119</v>
      </c>
      <c r="B186" s="125"/>
      <c r="C186" s="125"/>
      <c r="D186" s="126"/>
      <c r="F186" s="129">
        <f aca="true" t="shared" si="25" ref="F186:N186">+F190+F199+F208+F213+F187</f>
        <v>8341</v>
      </c>
      <c r="G186" s="129">
        <f t="shared" si="25"/>
        <v>11220</v>
      </c>
      <c r="H186" s="129">
        <f t="shared" si="25"/>
        <v>11855</v>
      </c>
      <c r="I186" s="129">
        <f t="shared" si="25"/>
        <v>10722</v>
      </c>
      <c r="J186" s="129">
        <f t="shared" si="25"/>
        <v>11324</v>
      </c>
      <c r="K186" s="129">
        <f t="shared" si="25"/>
        <v>6317</v>
      </c>
      <c r="L186" s="129">
        <f t="shared" si="25"/>
        <v>5343</v>
      </c>
      <c r="M186" s="129">
        <f t="shared" si="25"/>
        <v>4610</v>
      </c>
      <c r="N186" s="129">
        <f t="shared" si="25"/>
        <v>5917</v>
      </c>
    </row>
    <row r="187" spans="1:14" s="2" customFormat="1" ht="12.75">
      <c r="A187" s="73"/>
      <c r="B187" s="78" t="s">
        <v>132</v>
      </c>
      <c r="C187" s="78"/>
      <c r="D187" s="74"/>
      <c r="F187" s="87">
        <f aca="true" t="shared" si="26" ref="F187:N187">SUM(F188:F189)</f>
        <v>32</v>
      </c>
      <c r="G187" s="87">
        <f t="shared" si="26"/>
        <v>2</v>
      </c>
      <c r="H187" s="87">
        <f t="shared" si="26"/>
        <v>11</v>
      </c>
      <c r="I187" s="87">
        <f t="shared" si="26"/>
        <v>6</v>
      </c>
      <c r="J187" s="87">
        <f t="shared" si="26"/>
        <v>10</v>
      </c>
      <c r="K187" s="87">
        <f t="shared" si="26"/>
        <v>10</v>
      </c>
      <c r="L187" s="87">
        <f t="shared" si="26"/>
        <v>12</v>
      </c>
      <c r="M187" s="87">
        <f t="shared" si="26"/>
        <v>10</v>
      </c>
      <c r="N187" s="87">
        <f t="shared" si="26"/>
        <v>11</v>
      </c>
    </row>
    <row r="188" spans="1:14" s="2" customFormat="1" ht="12.75">
      <c r="A188" s="73"/>
      <c r="B188" s="17"/>
      <c r="C188" s="51" t="s">
        <v>72</v>
      </c>
      <c r="D188" s="74"/>
      <c r="F188" s="52">
        <f>+'Entrate tot e finalizzati'!F188-'Entrate tot e finalizzati'!G188</f>
        <v>32</v>
      </c>
      <c r="G188" s="52">
        <f>+'Entrate tot e finalizzati'!H188-'Entrate tot e finalizzati'!I188</f>
        <v>2</v>
      </c>
      <c r="H188" s="52">
        <f>+'Entrate tot e finalizzati'!J188-'Entrate tot e finalizzati'!K188</f>
        <v>11</v>
      </c>
      <c r="I188" s="52">
        <f>+'Entrate tot e finalizzati'!L188-'Entrate tot e finalizzati'!M188</f>
        <v>6</v>
      </c>
      <c r="J188" s="52">
        <f>+'Entrate tot e finalizzati'!N188-'Entrate tot e finalizzati'!O188</f>
        <v>10</v>
      </c>
      <c r="K188" s="52">
        <f>+'Entrate tot e finalizzati'!P188-'Entrate tot e finalizzati'!Q188</f>
        <v>10</v>
      </c>
      <c r="L188" s="52">
        <f>+'Entrate tot e finalizzati'!R188-'Entrate tot e finalizzati'!S188</f>
        <v>12</v>
      </c>
      <c r="M188" s="52">
        <f>+'Entrate tot e finalizzati'!T188-'Entrate tot e finalizzati'!U188</f>
        <v>10</v>
      </c>
      <c r="N188" s="52">
        <f>+'Entrate tot e finalizzati'!V188-'Entrate tot e finalizzati'!W188</f>
        <v>11</v>
      </c>
    </row>
    <row r="189" spans="1:14" s="2" customFormat="1" ht="12.75">
      <c r="A189" s="73"/>
      <c r="B189" s="17"/>
      <c r="C189" s="7" t="s">
        <v>75</v>
      </c>
      <c r="D189" s="74"/>
      <c r="F189" s="52">
        <f>+'Entrate tot e finalizzati'!F189-'Entrate tot e finalizzati'!G189</f>
        <v>0</v>
      </c>
      <c r="G189" s="52">
        <f>+'Entrate tot e finalizzati'!H189-'Entrate tot e finalizzati'!I189</f>
        <v>0</v>
      </c>
      <c r="H189" s="52">
        <f>+'Entrate tot e finalizzati'!J189-'Entrate tot e finalizzati'!K189</f>
        <v>0</v>
      </c>
      <c r="I189" s="52">
        <f>+'Entrate tot e finalizzati'!L189-'Entrate tot e finalizzati'!M189</f>
        <v>0</v>
      </c>
      <c r="J189" s="52">
        <f>+'Entrate tot e finalizzati'!N189-'Entrate tot e finalizzati'!O189</f>
        <v>0</v>
      </c>
      <c r="K189" s="52">
        <f>+'Entrate tot e finalizzati'!P189-'Entrate tot e finalizzati'!Q189</f>
        <v>0</v>
      </c>
      <c r="L189" s="52">
        <f>+'Entrate tot e finalizzati'!R189-'Entrate tot e finalizzati'!S189</f>
        <v>0</v>
      </c>
      <c r="M189" s="52">
        <f>+'Entrate tot e finalizzati'!T189-'Entrate tot e finalizzati'!U189</f>
        <v>0</v>
      </c>
      <c r="N189" s="52">
        <f>+'Entrate tot e finalizzati'!V189-'Entrate tot e finalizzati'!W189</f>
        <v>0</v>
      </c>
    </row>
    <row r="190" spans="1:14" s="2" customFormat="1" ht="12.75">
      <c r="A190" s="73"/>
      <c r="B190" s="78" t="s">
        <v>120</v>
      </c>
      <c r="C190" s="78"/>
      <c r="D190" s="74"/>
      <c r="F190" s="87">
        <f aca="true" t="shared" si="27" ref="F190:N190">SUM(F191:F198)</f>
        <v>1679</v>
      </c>
      <c r="G190" s="87">
        <f t="shared" si="27"/>
        <v>2173</v>
      </c>
      <c r="H190" s="87">
        <f t="shared" si="27"/>
        <v>1687</v>
      </c>
      <c r="I190" s="87">
        <f t="shared" si="27"/>
        <v>724</v>
      </c>
      <c r="J190" s="87">
        <f t="shared" si="27"/>
        <v>717</v>
      </c>
      <c r="K190" s="87">
        <f t="shared" si="27"/>
        <v>745</v>
      </c>
      <c r="L190" s="87">
        <f t="shared" si="27"/>
        <v>760</v>
      </c>
      <c r="M190" s="87">
        <f t="shared" si="27"/>
        <v>681</v>
      </c>
      <c r="N190" s="87">
        <f t="shared" si="27"/>
        <v>548</v>
      </c>
    </row>
    <row r="191" spans="1:14" s="2" customFormat="1" ht="12.75">
      <c r="A191" s="73"/>
      <c r="B191" s="17"/>
      <c r="C191" s="50" t="s">
        <v>24</v>
      </c>
      <c r="D191" s="74"/>
      <c r="F191" s="52">
        <f>+'Entrate tot e finalizzati'!F191-'Entrate tot e finalizzati'!G191</f>
        <v>0</v>
      </c>
      <c r="G191" s="52">
        <f>+'Entrate tot e finalizzati'!H191-'Entrate tot e finalizzati'!I191</f>
        <v>0</v>
      </c>
      <c r="H191" s="52">
        <f>+'Entrate tot e finalizzati'!J191-'Entrate tot e finalizzati'!K191</f>
        <v>0</v>
      </c>
      <c r="I191" s="52">
        <f>+'Entrate tot e finalizzati'!L191-'Entrate tot e finalizzati'!M191</f>
        <v>0</v>
      </c>
      <c r="J191" s="52">
        <f>+'Entrate tot e finalizzati'!N191-'Entrate tot e finalizzati'!O191</f>
        <v>0</v>
      </c>
      <c r="K191" s="52">
        <f>+'Entrate tot e finalizzati'!P191-'Entrate tot e finalizzati'!Q191</f>
        <v>0</v>
      </c>
      <c r="L191" s="52">
        <f>+'Entrate tot e finalizzati'!R191-'Entrate tot e finalizzati'!S191</f>
        <v>0</v>
      </c>
      <c r="M191" s="52">
        <f>+'Entrate tot e finalizzati'!T191-'Entrate tot e finalizzati'!U191</f>
        <v>0</v>
      </c>
      <c r="N191" s="52">
        <f>+'Entrate tot e finalizzati'!V191-'Entrate tot e finalizzati'!W191</f>
        <v>0</v>
      </c>
    </row>
    <row r="192" spans="1:14" s="2" customFormat="1" ht="12.75">
      <c r="A192" s="73"/>
      <c r="B192" s="17"/>
      <c r="C192" s="51" t="s">
        <v>72</v>
      </c>
      <c r="D192" s="74"/>
      <c r="F192" s="52">
        <f>+'Entrate tot e finalizzati'!F192-'Entrate tot e finalizzati'!G192</f>
        <v>0</v>
      </c>
      <c r="G192" s="52">
        <f>+'Entrate tot e finalizzati'!H192-'Entrate tot e finalizzati'!I192</f>
        <v>0</v>
      </c>
      <c r="H192" s="52">
        <f>+'Entrate tot e finalizzati'!J192-'Entrate tot e finalizzati'!K192</f>
        <v>0</v>
      </c>
      <c r="I192" s="52">
        <f>+'Entrate tot e finalizzati'!L192-'Entrate tot e finalizzati'!M192</f>
        <v>0</v>
      </c>
      <c r="J192" s="52">
        <f>+'Entrate tot e finalizzati'!N192-'Entrate tot e finalizzati'!O192</f>
        <v>0</v>
      </c>
      <c r="K192" s="52">
        <f>+'Entrate tot e finalizzati'!P192-'Entrate tot e finalizzati'!Q192</f>
        <v>0</v>
      </c>
      <c r="L192" s="52">
        <f>+'Entrate tot e finalizzati'!R192-'Entrate tot e finalizzati'!S192</f>
        <v>0</v>
      </c>
      <c r="M192" s="52">
        <f>+'Entrate tot e finalizzati'!T192-'Entrate tot e finalizzati'!U192</f>
        <v>0</v>
      </c>
      <c r="N192" s="52">
        <f>+'Entrate tot e finalizzati'!V192-'Entrate tot e finalizzati'!W192</f>
        <v>0</v>
      </c>
    </row>
    <row r="193" spans="1:14" s="2" customFormat="1" ht="12.75">
      <c r="A193" s="73"/>
      <c r="B193" s="17"/>
      <c r="C193" s="7" t="s">
        <v>75</v>
      </c>
      <c r="D193" s="74"/>
      <c r="F193" s="52">
        <f>+'Entrate tot e finalizzati'!F193-'Entrate tot e finalizzati'!G193</f>
        <v>66</v>
      </c>
      <c r="G193" s="52">
        <f>+'Entrate tot e finalizzati'!H193-'Entrate tot e finalizzati'!I193</f>
        <v>0</v>
      </c>
      <c r="H193" s="52">
        <f>+'Entrate tot e finalizzati'!J193-'Entrate tot e finalizzati'!K193</f>
        <v>0</v>
      </c>
      <c r="I193" s="52">
        <f>+'Entrate tot e finalizzati'!L193-'Entrate tot e finalizzati'!M193</f>
        <v>0</v>
      </c>
      <c r="J193" s="52">
        <f>+'Entrate tot e finalizzati'!N193-'Entrate tot e finalizzati'!O193</f>
        <v>0</v>
      </c>
      <c r="K193" s="52">
        <f>+'Entrate tot e finalizzati'!P193-'Entrate tot e finalizzati'!Q193</f>
        <v>0</v>
      </c>
      <c r="L193" s="52">
        <f>+'Entrate tot e finalizzati'!R193-'Entrate tot e finalizzati'!S193</f>
        <v>136</v>
      </c>
      <c r="M193" s="52">
        <f>+'Entrate tot e finalizzati'!T193-'Entrate tot e finalizzati'!U193</f>
        <v>0</v>
      </c>
      <c r="N193" s="52">
        <f>+'Entrate tot e finalizzati'!V193-'Entrate tot e finalizzati'!W193</f>
        <v>0</v>
      </c>
    </row>
    <row r="194" spans="1:14" s="2" customFormat="1" ht="12.75">
      <c r="A194" s="73"/>
      <c r="B194" s="17"/>
      <c r="C194" s="51" t="s">
        <v>74</v>
      </c>
      <c r="D194" s="74"/>
      <c r="F194" s="52">
        <f>+'Entrate tot e finalizzati'!F194-'Entrate tot e finalizzati'!G194</f>
        <v>0</v>
      </c>
      <c r="G194" s="52">
        <f>+'Entrate tot e finalizzati'!H194-'Entrate tot e finalizzati'!I194</f>
        <v>0</v>
      </c>
      <c r="H194" s="52">
        <f>+'Entrate tot e finalizzati'!J194-'Entrate tot e finalizzati'!K194</f>
        <v>0</v>
      </c>
      <c r="I194" s="52">
        <f>+'Entrate tot e finalizzati'!L194-'Entrate tot e finalizzati'!M194</f>
        <v>0</v>
      </c>
      <c r="J194" s="52">
        <f>+'Entrate tot e finalizzati'!N194-'Entrate tot e finalizzati'!O194</f>
        <v>0</v>
      </c>
      <c r="K194" s="52">
        <f>+'Entrate tot e finalizzati'!P194-'Entrate tot e finalizzati'!Q194</f>
        <v>0</v>
      </c>
      <c r="L194" s="52">
        <f>+'Entrate tot e finalizzati'!R194-'Entrate tot e finalizzati'!S194</f>
        <v>0</v>
      </c>
      <c r="M194" s="52">
        <f>+'Entrate tot e finalizzati'!T194-'Entrate tot e finalizzati'!U194</f>
        <v>0</v>
      </c>
      <c r="N194" s="52">
        <f>+'Entrate tot e finalizzati'!V194-'Entrate tot e finalizzati'!W194</f>
        <v>0</v>
      </c>
    </row>
    <row r="195" spans="1:14" s="2" customFormat="1" ht="12.75">
      <c r="A195" s="73"/>
      <c r="B195" s="17"/>
      <c r="C195" s="51" t="s">
        <v>135</v>
      </c>
      <c r="D195" s="74"/>
      <c r="F195" s="52">
        <f>+'Entrate tot e finalizzati'!F195-'Entrate tot e finalizzati'!G195</f>
        <v>0</v>
      </c>
      <c r="G195" s="52">
        <f>+'Entrate tot e finalizzati'!H195-'Entrate tot e finalizzati'!I195</f>
        <v>0</v>
      </c>
      <c r="H195" s="52">
        <f>+'Entrate tot e finalizzati'!J195-'Entrate tot e finalizzati'!K195</f>
        <v>0</v>
      </c>
      <c r="I195" s="52">
        <f>+'Entrate tot e finalizzati'!L195-'Entrate tot e finalizzati'!M195</f>
        <v>0</v>
      </c>
      <c r="J195" s="52">
        <f>+'Entrate tot e finalizzati'!N195-'Entrate tot e finalizzati'!O195</f>
        <v>0</v>
      </c>
      <c r="K195" s="52">
        <f>+'Entrate tot e finalizzati'!P195-'Entrate tot e finalizzati'!Q195</f>
        <v>0</v>
      </c>
      <c r="L195" s="52">
        <f>+'Entrate tot e finalizzati'!R195-'Entrate tot e finalizzati'!S195</f>
        <v>0</v>
      </c>
      <c r="M195" s="52">
        <f>+'Entrate tot e finalizzati'!T195-'Entrate tot e finalizzati'!U195</f>
        <v>0</v>
      </c>
      <c r="N195" s="52">
        <f>+'Entrate tot e finalizzati'!V195-'Entrate tot e finalizzati'!W195</f>
        <v>0</v>
      </c>
    </row>
    <row r="196" spans="1:14" s="2" customFormat="1" ht="12.75">
      <c r="A196" s="73"/>
      <c r="B196" s="17"/>
      <c r="C196" s="13" t="s">
        <v>73</v>
      </c>
      <c r="D196" s="74"/>
      <c r="F196" s="52">
        <f>+'Entrate tot e finalizzati'!F196-'Entrate tot e finalizzati'!G196</f>
        <v>0</v>
      </c>
      <c r="G196" s="52">
        <f>+'Entrate tot e finalizzati'!H196-'Entrate tot e finalizzati'!I196</f>
        <v>0</v>
      </c>
      <c r="H196" s="52">
        <f>+'Entrate tot e finalizzati'!J196-'Entrate tot e finalizzati'!K196</f>
        <v>0</v>
      </c>
      <c r="I196" s="52">
        <f>+'Entrate tot e finalizzati'!L196-'Entrate tot e finalizzati'!M196</f>
        <v>0</v>
      </c>
      <c r="J196" s="52">
        <f>+'Entrate tot e finalizzati'!N196-'Entrate tot e finalizzati'!O196</f>
        <v>0</v>
      </c>
      <c r="K196" s="52">
        <f>+'Entrate tot e finalizzati'!P196-'Entrate tot e finalizzati'!Q196</f>
        <v>0</v>
      </c>
      <c r="L196" s="52">
        <f>+'Entrate tot e finalizzati'!R196-'Entrate tot e finalizzati'!S196</f>
        <v>0</v>
      </c>
      <c r="M196" s="52">
        <f>+'Entrate tot e finalizzati'!T196-'Entrate tot e finalizzati'!U196</f>
        <v>0</v>
      </c>
      <c r="N196" s="52">
        <f>+'Entrate tot e finalizzati'!V196-'Entrate tot e finalizzati'!W196</f>
        <v>0</v>
      </c>
    </row>
    <row r="197" spans="1:14" s="2" customFormat="1" ht="12.75">
      <c r="A197" s="73"/>
      <c r="B197" s="17"/>
      <c r="C197" s="13" t="s">
        <v>133</v>
      </c>
      <c r="D197" s="74"/>
      <c r="F197" s="52">
        <f>+'Entrate tot e finalizzati'!F197-'Entrate tot e finalizzati'!G197</f>
        <v>0</v>
      </c>
      <c r="G197" s="52">
        <f>+'Entrate tot e finalizzati'!H197-'Entrate tot e finalizzati'!I197</f>
        <v>0</v>
      </c>
      <c r="H197" s="52">
        <f>+'Entrate tot e finalizzati'!J197-'Entrate tot e finalizzati'!K197</f>
        <v>0</v>
      </c>
      <c r="I197" s="52">
        <f>+'Entrate tot e finalizzati'!L197-'Entrate tot e finalizzati'!M197</f>
        <v>0</v>
      </c>
      <c r="J197" s="52">
        <f>+'Entrate tot e finalizzati'!N197-'Entrate tot e finalizzati'!O197</f>
        <v>0</v>
      </c>
      <c r="K197" s="52">
        <f>+'Entrate tot e finalizzati'!P197-'Entrate tot e finalizzati'!Q197</f>
        <v>0</v>
      </c>
      <c r="L197" s="52">
        <f>+'Entrate tot e finalizzati'!R197-'Entrate tot e finalizzati'!S197</f>
        <v>0</v>
      </c>
      <c r="M197" s="52">
        <f>+'Entrate tot e finalizzati'!T197-'Entrate tot e finalizzati'!U197</f>
        <v>0</v>
      </c>
      <c r="N197" s="52">
        <f>+'Entrate tot e finalizzati'!V197-'Entrate tot e finalizzati'!W197</f>
        <v>0</v>
      </c>
    </row>
    <row r="198" spans="1:14" s="2" customFormat="1" ht="12.75">
      <c r="A198" s="73"/>
      <c r="B198" s="17"/>
      <c r="C198" s="50" t="s">
        <v>84</v>
      </c>
      <c r="D198" s="74"/>
      <c r="F198" s="52">
        <f>+'Entrate tot e finalizzati'!F198-'Entrate tot e finalizzati'!G198</f>
        <v>1613</v>
      </c>
      <c r="G198" s="52">
        <f>+'Entrate tot e finalizzati'!H198-'Entrate tot e finalizzati'!I198</f>
        <v>2173</v>
      </c>
      <c r="H198" s="52">
        <f>+'Entrate tot e finalizzati'!J198-'Entrate tot e finalizzati'!K198</f>
        <v>1687</v>
      </c>
      <c r="I198" s="52">
        <f>+'Entrate tot e finalizzati'!L198-'Entrate tot e finalizzati'!M198</f>
        <v>724</v>
      </c>
      <c r="J198" s="52">
        <f>+'Entrate tot e finalizzati'!N198-'Entrate tot e finalizzati'!O198</f>
        <v>717</v>
      </c>
      <c r="K198" s="52">
        <f>+'Entrate tot e finalizzati'!P198-'Entrate tot e finalizzati'!Q198</f>
        <v>745</v>
      </c>
      <c r="L198" s="52">
        <f>+'Entrate tot e finalizzati'!R198-'Entrate tot e finalizzati'!S198</f>
        <v>624</v>
      </c>
      <c r="M198" s="52">
        <f>+'Entrate tot e finalizzati'!T198-'Entrate tot e finalizzati'!U198</f>
        <v>681</v>
      </c>
      <c r="N198" s="52">
        <f>+'Entrate tot e finalizzati'!V198-'Entrate tot e finalizzati'!W198</f>
        <v>548</v>
      </c>
    </row>
    <row r="199" spans="1:14" s="2" customFormat="1" ht="12.75">
      <c r="A199" s="73"/>
      <c r="B199" s="17" t="s">
        <v>93</v>
      </c>
      <c r="C199" s="17"/>
      <c r="D199" s="74"/>
      <c r="F199" s="87">
        <f aca="true" t="shared" si="28" ref="F199:N199">SUM(F200:F207)</f>
        <v>569</v>
      </c>
      <c r="G199" s="87">
        <f t="shared" si="28"/>
        <v>1405</v>
      </c>
      <c r="H199" s="87">
        <f t="shared" si="28"/>
        <v>3027</v>
      </c>
      <c r="I199" s="87">
        <f t="shared" si="28"/>
        <v>3229</v>
      </c>
      <c r="J199" s="87">
        <f t="shared" si="28"/>
        <v>3939</v>
      </c>
      <c r="K199" s="87">
        <f t="shared" si="28"/>
        <v>4905</v>
      </c>
      <c r="L199" s="87">
        <f t="shared" si="28"/>
        <v>3863</v>
      </c>
      <c r="M199" s="87">
        <f t="shared" si="28"/>
        <v>3111</v>
      </c>
      <c r="N199" s="87">
        <f t="shared" si="28"/>
        <v>4265</v>
      </c>
    </row>
    <row r="200" spans="1:14" s="2" customFormat="1" ht="12.75">
      <c r="A200" s="73"/>
      <c r="B200" s="17"/>
      <c r="C200" s="13" t="s">
        <v>73</v>
      </c>
      <c r="D200" s="74"/>
      <c r="F200" s="52">
        <f>+'Entrate tot e finalizzati'!F200-'Entrate tot e finalizzati'!G200</f>
        <v>0</v>
      </c>
      <c r="G200" s="52">
        <f>+'Entrate tot e finalizzati'!H200-'Entrate tot e finalizzati'!I200</f>
        <v>0</v>
      </c>
      <c r="H200" s="52">
        <f>+'Entrate tot e finalizzati'!J200-'Entrate tot e finalizzati'!K200</f>
        <v>50</v>
      </c>
      <c r="I200" s="52">
        <f>+'Entrate tot e finalizzati'!L200-'Entrate tot e finalizzati'!M200</f>
        <v>2</v>
      </c>
      <c r="J200" s="53">
        <f>+'Entrate tot e finalizzati'!N200-'Entrate tot e finalizzati'!O200</f>
        <v>32</v>
      </c>
      <c r="K200" s="53">
        <f>+'Entrate tot e finalizzati'!P200-'Entrate tot e finalizzati'!Q200</f>
        <v>10</v>
      </c>
      <c r="L200" s="53">
        <f>+'Entrate tot e finalizzati'!R200-'Entrate tot e finalizzati'!S200</f>
        <v>2</v>
      </c>
      <c r="M200" s="53">
        <f>+'Entrate tot e finalizzati'!T200-'Entrate tot e finalizzati'!U200</f>
        <v>0</v>
      </c>
      <c r="N200" s="53">
        <f>+'Entrate tot e finalizzati'!V200-'Entrate tot e finalizzati'!W200</f>
        <v>0</v>
      </c>
    </row>
    <row r="201" spans="1:14" s="2" customFormat="1" ht="12.75">
      <c r="A201" s="73"/>
      <c r="B201" s="17"/>
      <c r="C201" s="51" t="s">
        <v>72</v>
      </c>
      <c r="D201" s="74"/>
      <c r="F201" s="52">
        <f>+'Entrate tot e finalizzati'!F201-'Entrate tot e finalizzati'!G201</f>
        <v>0</v>
      </c>
      <c r="G201" s="52">
        <f>+'Entrate tot e finalizzati'!H201-'Entrate tot e finalizzati'!I201</f>
        <v>0</v>
      </c>
      <c r="H201" s="52">
        <f>+'Entrate tot e finalizzati'!J201-'Entrate tot e finalizzati'!K201</f>
        <v>0</v>
      </c>
      <c r="I201" s="52">
        <f>+'Entrate tot e finalizzati'!L201-'Entrate tot e finalizzati'!M201</f>
        <v>0</v>
      </c>
      <c r="J201" s="53">
        <f>+'Entrate tot e finalizzati'!N201-'Entrate tot e finalizzati'!O201</f>
        <v>1</v>
      </c>
      <c r="K201" s="53">
        <f>+'Entrate tot e finalizzati'!P201-'Entrate tot e finalizzati'!Q201</f>
        <v>1</v>
      </c>
      <c r="L201" s="53">
        <f>+'Entrate tot e finalizzati'!R201-'Entrate tot e finalizzati'!S201</f>
        <v>1</v>
      </c>
      <c r="M201" s="53">
        <f>+'Entrate tot e finalizzati'!T201-'Entrate tot e finalizzati'!U201</f>
        <v>1</v>
      </c>
      <c r="N201" s="53">
        <f>+'Entrate tot e finalizzati'!V201-'Entrate tot e finalizzati'!W201</f>
        <v>1</v>
      </c>
    </row>
    <row r="202" spans="1:14" s="2" customFormat="1" ht="12.75">
      <c r="A202" s="73"/>
      <c r="B202" s="17"/>
      <c r="C202" s="51" t="s">
        <v>133</v>
      </c>
      <c r="D202" s="74"/>
      <c r="F202" s="52">
        <f>+'Entrate tot e finalizzati'!F202-'Entrate tot e finalizzati'!G202</f>
        <v>0</v>
      </c>
      <c r="G202" s="52">
        <f>+'Entrate tot e finalizzati'!H202-'Entrate tot e finalizzati'!I202</f>
        <v>0</v>
      </c>
      <c r="H202" s="52">
        <f>+'Entrate tot e finalizzati'!J202-'Entrate tot e finalizzati'!K202</f>
        <v>0</v>
      </c>
      <c r="I202" s="52">
        <f>+'Entrate tot e finalizzati'!L202-'Entrate tot e finalizzati'!M202</f>
        <v>0</v>
      </c>
      <c r="J202" s="53">
        <f>+'Entrate tot e finalizzati'!N202-'Entrate tot e finalizzati'!O202</f>
        <v>0</v>
      </c>
      <c r="K202" s="53">
        <f>+'Entrate tot e finalizzati'!P202-'Entrate tot e finalizzati'!Q202</f>
        <v>0</v>
      </c>
      <c r="L202" s="53">
        <f>+'Entrate tot e finalizzati'!R202-'Entrate tot e finalizzati'!S202</f>
        <v>0</v>
      </c>
      <c r="M202" s="53">
        <f>+'Entrate tot e finalizzati'!T202-'Entrate tot e finalizzati'!U202</f>
        <v>0</v>
      </c>
      <c r="N202" s="53">
        <f>+'Entrate tot e finalizzati'!V202-'Entrate tot e finalizzati'!W202</f>
        <v>7</v>
      </c>
    </row>
    <row r="203" spans="1:14" s="2" customFormat="1" ht="12.75">
      <c r="A203" s="73"/>
      <c r="B203" s="17"/>
      <c r="C203" s="51" t="s">
        <v>138</v>
      </c>
      <c r="D203" s="74"/>
      <c r="F203" s="52">
        <f>+'Entrate tot e finalizzati'!F203-'Entrate tot e finalizzati'!G203</f>
        <v>0</v>
      </c>
      <c r="G203" s="52">
        <f>+'Entrate tot e finalizzati'!H203-'Entrate tot e finalizzati'!I203</f>
        <v>0</v>
      </c>
      <c r="H203" s="52">
        <f>+'Entrate tot e finalizzati'!J203-'Entrate tot e finalizzati'!K203</f>
        <v>0</v>
      </c>
      <c r="I203" s="52">
        <f>+'Entrate tot e finalizzati'!L203-'Entrate tot e finalizzati'!M203</f>
        <v>0</v>
      </c>
      <c r="J203" s="53">
        <f>+'Entrate tot e finalizzati'!N203-'Entrate tot e finalizzati'!O203</f>
        <v>0</v>
      </c>
      <c r="K203" s="53">
        <f>+'Entrate tot e finalizzati'!P203-'Entrate tot e finalizzati'!Q203</f>
        <v>0</v>
      </c>
      <c r="L203" s="53">
        <f>+'Entrate tot e finalizzati'!R203-'Entrate tot e finalizzati'!S203</f>
        <v>10</v>
      </c>
      <c r="M203" s="53">
        <f>+'Entrate tot e finalizzati'!T203-'Entrate tot e finalizzati'!U203</f>
        <v>0</v>
      </c>
      <c r="N203" s="53">
        <f>+'Entrate tot e finalizzati'!V203-'Entrate tot e finalizzati'!W203</f>
        <v>0</v>
      </c>
    </row>
    <row r="204" spans="1:14" s="2" customFormat="1" ht="12.75">
      <c r="A204" s="73"/>
      <c r="B204" s="17"/>
      <c r="C204" s="51" t="s">
        <v>139</v>
      </c>
      <c r="D204" s="74"/>
      <c r="F204" s="52">
        <f>+'Entrate tot e finalizzati'!F204-'Entrate tot e finalizzati'!G204</f>
        <v>0</v>
      </c>
      <c r="G204" s="52">
        <f>+'Entrate tot e finalizzati'!H204-'Entrate tot e finalizzati'!I204</f>
        <v>0</v>
      </c>
      <c r="H204" s="52">
        <f>+'Entrate tot e finalizzati'!J204-'Entrate tot e finalizzati'!K204</f>
        <v>0</v>
      </c>
      <c r="I204" s="52">
        <f>+'Entrate tot e finalizzati'!L204-'Entrate tot e finalizzati'!M204</f>
        <v>0</v>
      </c>
      <c r="J204" s="53">
        <f>+'Entrate tot e finalizzati'!N204-'Entrate tot e finalizzati'!O204</f>
        <v>0</v>
      </c>
      <c r="K204" s="53">
        <f>+'Entrate tot e finalizzati'!P204-'Entrate tot e finalizzati'!Q204</f>
        <v>0</v>
      </c>
      <c r="L204" s="53">
        <f>+'Entrate tot e finalizzati'!R204-'Entrate tot e finalizzati'!S204</f>
        <v>0</v>
      </c>
      <c r="M204" s="53">
        <f>+'Entrate tot e finalizzati'!T204-'Entrate tot e finalizzati'!U204</f>
        <v>0</v>
      </c>
      <c r="N204" s="53">
        <f>+'Entrate tot e finalizzati'!V204-'Entrate tot e finalizzati'!W204</f>
        <v>0</v>
      </c>
    </row>
    <row r="205" spans="1:14" s="2" customFormat="1" ht="12.75">
      <c r="A205" s="73"/>
      <c r="B205" s="17"/>
      <c r="C205" s="51" t="s">
        <v>80</v>
      </c>
      <c r="D205" s="74"/>
      <c r="F205" s="52">
        <f>+'Entrate tot e finalizzati'!F205-'Entrate tot e finalizzati'!G205</f>
        <v>0</v>
      </c>
      <c r="G205" s="52">
        <f>+'Entrate tot e finalizzati'!H205-'Entrate tot e finalizzati'!I205</f>
        <v>0</v>
      </c>
      <c r="H205" s="52">
        <f>+'Entrate tot e finalizzati'!J205-'Entrate tot e finalizzati'!K205</f>
        <v>0</v>
      </c>
      <c r="I205" s="52">
        <f>+'Entrate tot e finalizzati'!L205-'Entrate tot e finalizzati'!M205</f>
        <v>10</v>
      </c>
      <c r="J205" s="53">
        <f>+'Entrate tot e finalizzati'!N205-'Entrate tot e finalizzati'!O205</f>
        <v>11</v>
      </c>
      <c r="K205" s="53">
        <f>+'Entrate tot e finalizzati'!P205-'Entrate tot e finalizzati'!Q205</f>
        <v>11</v>
      </c>
      <c r="L205" s="53">
        <f>+'Entrate tot e finalizzati'!R205-'Entrate tot e finalizzati'!S205</f>
        <v>11</v>
      </c>
      <c r="M205" s="53">
        <f>+'Entrate tot e finalizzati'!T205-'Entrate tot e finalizzati'!U205</f>
        <v>11</v>
      </c>
      <c r="N205" s="53">
        <f>+'Entrate tot e finalizzati'!V205-'Entrate tot e finalizzati'!W205</f>
        <v>11</v>
      </c>
    </row>
    <row r="206" spans="1:14" s="2" customFormat="1" ht="12.75">
      <c r="A206" s="73"/>
      <c r="B206" s="17"/>
      <c r="C206" s="7" t="s">
        <v>75</v>
      </c>
      <c r="D206" s="74"/>
      <c r="F206" s="52">
        <f>+'Entrate tot e finalizzati'!F206-'Entrate tot e finalizzati'!G206</f>
        <v>0</v>
      </c>
      <c r="G206" s="52">
        <f>+'Entrate tot e finalizzati'!H206-'Entrate tot e finalizzati'!I206</f>
        <v>0</v>
      </c>
      <c r="H206" s="52">
        <f>+'Entrate tot e finalizzati'!J206-'Entrate tot e finalizzati'!K206</f>
        <v>0</v>
      </c>
      <c r="I206" s="52">
        <f>+'Entrate tot e finalizzati'!L206-'Entrate tot e finalizzati'!M206</f>
        <v>0</v>
      </c>
      <c r="J206" s="53">
        <f>+'Entrate tot e finalizzati'!N206-'Entrate tot e finalizzati'!O206</f>
        <v>0</v>
      </c>
      <c r="K206" s="53">
        <f>+'Entrate tot e finalizzati'!P206-'Entrate tot e finalizzati'!Q206</f>
        <v>1033</v>
      </c>
      <c r="L206" s="53">
        <f>+'Entrate tot e finalizzati'!R206-'Entrate tot e finalizzati'!S206</f>
        <v>160</v>
      </c>
      <c r="M206" s="53">
        <f>+'Entrate tot e finalizzati'!T206-'Entrate tot e finalizzati'!U206</f>
        <v>0</v>
      </c>
      <c r="N206" s="53">
        <f>+'Entrate tot e finalizzati'!V206-'Entrate tot e finalizzati'!W206</f>
        <v>40</v>
      </c>
    </row>
    <row r="207" spans="1:14" s="2" customFormat="1" ht="12.75">
      <c r="A207" s="73"/>
      <c r="B207" s="17"/>
      <c r="C207" s="7" t="s">
        <v>85</v>
      </c>
      <c r="D207" s="74"/>
      <c r="F207" s="52">
        <f>+'Entrate tot e finalizzati'!F207-'Entrate tot e finalizzati'!G207</f>
        <v>569</v>
      </c>
      <c r="G207" s="52">
        <f>+'Entrate tot e finalizzati'!H207-'Entrate tot e finalizzati'!I207</f>
        <v>1405</v>
      </c>
      <c r="H207" s="52">
        <f>+'Entrate tot e finalizzati'!J207-'Entrate tot e finalizzati'!K207</f>
        <v>2977</v>
      </c>
      <c r="I207" s="52">
        <f>+'Entrate tot e finalizzati'!L207-'Entrate tot e finalizzati'!M207</f>
        <v>3217</v>
      </c>
      <c r="J207" s="53">
        <f>+'Entrate tot e finalizzati'!N207-'Entrate tot e finalizzati'!O207</f>
        <v>3895</v>
      </c>
      <c r="K207" s="53">
        <f>+'Entrate tot e finalizzati'!P207-'Entrate tot e finalizzati'!Q207</f>
        <v>3850</v>
      </c>
      <c r="L207" s="53">
        <f>+'Entrate tot e finalizzati'!R207-'Entrate tot e finalizzati'!S207</f>
        <v>3679</v>
      </c>
      <c r="M207" s="53">
        <f>+'Entrate tot e finalizzati'!T207-'Entrate tot e finalizzati'!U207</f>
        <v>3099</v>
      </c>
      <c r="N207" s="53">
        <f>+'Entrate tot e finalizzati'!V207-'Entrate tot e finalizzati'!W207</f>
        <v>4206</v>
      </c>
    </row>
    <row r="208" spans="1:14" s="2" customFormat="1" ht="12.75">
      <c r="A208" s="73"/>
      <c r="B208" s="17" t="s">
        <v>121</v>
      </c>
      <c r="C208" s="17"/>
      <c r="D208" s="74"/>
      <c r="F208" s="87">
        <f aca="true" t="shared" si="29" ref="F208:N208">SUM(F209:F212)</f>
        <v>6061</v>
      </c>
      <c r="G208" s="87">
        <f t="shared" si="29"/>
        <v>7640</v>
      </c>
      <c r="H208" s="87">
        <f t="shared" si="29"/>
        <v>7130</v>
      </c>
      <c r="I208" s="87">
        <f t="shared" si="29"/>
        <v>6763</v>
      </c>
      <c r="J208" s="87">
        <f t="shared" si="29"/>
        <v>6658</v>
      </c>
      <c r="K208" s="87">
        <f t="shared" si="29"/>
        <v>657</v>
      </c>
      <c r="L208" s="87">
        <f t="shared" si="29"/>
        <v>694</v>
      </c>
      <c r="M208" s="87">
        <f t="shared" si="29"/>
        <v>769</v>
      </c>
      <c r="N208" s="87">
        <f t="shared" si="29"/>
        <v>1074</v>
      </c>
    </row>
    <row r="209" spans="1:14" s="2" customFormat="1" ht="12.75">
      <c r="A209" s="73"/>
      <c r="B209" s="17"/>
      <c r="C209" s="51" t="s">
        <v>135</v>
      </c>
      <c r="D209" s="74"/>
      <c r="F209" s="52">
        <f>+'Entrate tot e finalizzati'!F209-'Entrate tot e finalizzati'!G209</f>
        <v>0</v>
      </c>
      <c r="G209" s="52">
        <f>+'Entrate tot e finalizzati'!H209-'Entrate tot e finalizzati'!I209</f>
        <v>0</v>
      </c>
      <c r="H209" s="52">
        <f>+'Entrate tot e finalizzati'!J209-'Entrate tot e finalizzati'!K209</f>
        <v>0</v>
      </c>
      <c r="I209" s="52">
        <f>+'Entrate tot e finalizzati'!L209-'Entrate tot e finalizzati'!M209</f>
        <v>0</v>
      </c>
      <c r="J209" s="53">
        <f>+'Entrate tot e finalizzati'!N209-'Entrate tot e finalizzati'!O209</f>
        <v>0</v>
      </c>
      <c r="K209" s="53">
        <f>+'Entrate tot e finalizzati'!P209-'Entrate tot e finalizzati'!Q209</f>
        <v>0</v>
      </c>
      <c r="L209" s="53">
        <f>+'Entrate tot e finalizzati'!R209-'Entrate tot e finalizzati'!S209</f>
        <v>0</v>
      </c>
      <c r="M209" s="53">
        <f>+'Entrate tot e finalizzati'!T209-'Entrate tot e finalizzati'!U209</f>
        <v>0</v>
      </c>
      <c r="N209" s="53">
        <f>+'Entrate tot e finalizzati'!V209-'Entrate tot e finalizzati'!W209</f>
        <v>0</v>
      </c>
    </row>
    <row r="210" spans="1:14" s="2" customFormat="1" ht="12.75">
      <c r="A210" s="73"/>
      <c r="B210" s="78"/>
      <c r="C210" s="51" t="s">
        <v>99</v>
      </c>
      <c r="D210" s="74"/>
      <c r="F210" s="52">
        <f>+'Entrate tot e finalizzati'!F210-'Entrate tot e finalizzati'!G210</f>
        <v>413</v>
      </c>
      <c r="G210" s="52">
        <f>+'Entrate tot e finalizzati'!H210-'Entrate tot e finalizzati'!I210</f>
        <v>609</v>
      </c>
      <c r="H210" s="52">
        <f>+'Entrate tot e finalizzati'!J210-'Entrate tot e finalizzati'!K210</f>
        <v>664</v>
      </c>
      <c r="I210" s="52">
        <f>+'Entrate tot e finalizzati'!L210-'Entrate tot e finalizzati'!M210</f>
        <v>629</v>
      </c>
      <c r="J210" s="52">
        <f>+'Entrate tot e finalizzati'!N210-'Entrate tot e finalizzati'!O210</f>
        <v>647</v>
      </c>
      <c r="K210" s="52">
        <f>+'Entrate tot e finalizzati'!P210-'Entrate tot e finalizzati'!Q210</f>
        <v>652</v>
      </c>
      <c r="L210" s="52">
        <f>+'Entrate tot e finalizzati'!R210-'Entrate tot e finalizzati'!S210</f>
        <v>689</v>
      </c>
      <c r="M210" s="52">
        <f>+'Entrate tot e finalizzati'!T210-'Entrate tot e finalizzati'!U210</f>
        <v>764</v>
      </c>
      <c r="N210" s="52">
        <f>+'Entrate tot e finalizzati'!V210-'Entrate tot e finalizzati'!W210</f>
        <v>1069</v>
      </c>
    </row>
    <row r="211" spans="1:14" s="2" customFormat="1" ht="12.75">
      <c r="A211" s="73"/>
      <c r="B211" s="78"/>
      <c r="C211" s="51" t="s">
        <v>65</v>
      </c>
      <c r="D211" s="74"/>
      <c r="F211" s="52">
        <f>+'Entrate tot e finalizzati'!F211-'Entrate tot e finalizzati'!G211</f>
        <v>5648</v>
      </c>
      <c r="G211" s="52">
        <f>+'Entrate tot e finalizzati'!H211-'Entrate tot e finalizzati'!I211</f>
        <v>7031</v>
      </c>
      <c r="H211" s="52">
        <f>+'Entrate tot e finalizzati'!J211-'Entrate tot e finalizzati'!K211</f>
        <v>6466</v>
      </c>
      <c r="I211" s="52">
        <f>+'Entrate tot e finalizzati'!L211-'Entrate tot e finalizzati'!M211</f>
        <v>6134</v>
      </c>
      <c r="J211" s="52">
        <f>+'Entrate tot e finalizzati'!N211-'Entrate tot e finalizzati'!O211</f>
        <v>6011</v>
      </c>
      <c r="K211" s="52">
        <f>+'Entrate tot e finalizzati'!P211-'Entrate tot e finalizzati'!Q211</f>
        <v>5</v>
      </c>
      <c r="L211" s="52">
        <f>+'Entrate tot e finalizzati'!R211-'Entrate tot e finalizzati'!S211</f>
        <v>5</v>
      </c>
      <c r="M211" s="52">
        <f>+'Entrate tot e finalizzati'!T211-'Entrate tot e finalizzati'!U211</f>
        <v>5</v>
      </c>
      <c r="N211" s="52">
        <f>+'Entrate tot e finalizzati'!V211-'Entrate tot e finalizzati'!W211</f>
        <v>5</v>
      </c>
    </row>
    <row r="212" spans="1:14" s="2" customFormat="1" ht="12.75">
      <c r="A212" s="81"/>
      <c r="B212" s="128"/>
      <c r="C212" s="82" t="s">
        <v>140</v>
      </c>
      <c r="D212" s="83"/>
      <c r="E212" s="85"/>
      <c r="F212" s="95">
        <f>+'Entrate tot e finalizzati'!F212-'Entrate tot e finalizzati'!G212</f>
        <v>0</v>
      </c>
      <c r="G212" s="95">
        <f>+'Entrate tot e finalizzati'!H212-'Entrate tot e finalizzati'!I212</f>
        <v>0</v>
      </c>
      <c r="H212" s="95">
        <f>+'Entrate tot e finalizzati'!J212-'Entrate tot e finalizzati'!K212</f>
        <v>0</v>
      </c>
      <c r="I212" s="95">
        <f>+'Entrate tot e finalizzati'!L212-'Entrate tot e finalizzati'!M212</f>
        <v>0</v>
      </c>
      <c r="J212" s="95">
        <f>+'Entrate tot e finalizzati'!N212-'Entrate tot e finalizzati'!O212</f>
        <v>0</v>
      </c>
      <c r="K212" s="95">
        <f>+'Entrate tot e finalizzati'!P212-'Entrate tot e finalizzati'!Q212</f>
        <v>0</v>
      </c>
      <c r="L212" s="95">
        <f>+'Entrate tot e finalizzati'!R212-'Entrate tot e finalizzati'!S212</f>
        <v>0</v>
      </c>
      <c r="M212" s="95">
        <f>+'Entrate tot e finalizzati'!T212-'Entrate tot e finalizzati'!U212</f>
        <v>0</v>
      </c>
      <c r="N212" s="95">
        <f>+'Entrate tot e finalizzati'!V212-'Entrate tot e finalizzati'!W212</f>
        <v>0</v>
      </c>
    </row>
    <row r="213" spans="1:14" s="2" customFormat="1" ht="12.75">
      <c r="A213" s="73"/>
      <c r="B213" s="17" t="s">
        <v>122</v>
      </c>
      <c r="C213" s="17"/>
      <c r="D213" s="74"/>
      <c r="F213" s="87">
        <f aca="true" t="shared" si="30" ref="F213:N213">SUM(F214:F219)</f>
        <v>0</v>
      </c>
      <c r="G213" s="87">
        <f t="shared" si="30"/>
        <v>0</v>
      </c>
      <c r="H213" s="87">
        <f t="shared" si="30"/>
        <v>0</v>
      </c>
      <c r="I213" s="87">
        <f t="shared" si="30"/>
        <v>0</v>
      </c>
      <c r="J213" s="87">
        <f t="shared" si="30"/>
        <v>0</v>
      </c>
      <c r="K213" s="87">
        <f t="shared" si="30"/>
        <v>0</v>
      </c>
      <c r="L213" s="87">
        <f t="shared" si="30"/>
        <v>14</v>
      </c>
      <c r="M213" s="87">
        <f t="shared" si="30"/>
        <v>39</v>
      </c>
      <c r="N213" s="87">
        <f t="shared" si="30"/>
        <v>19</v>
      </c>
    </row>
    <row r="214" spans="1:14" s="2" customFormat="1" ht="12.75">
      <c r="A214" s="73"/>
      <c r="B214" s="17"/>
      <c r="C214" s="51" t="s">
        <v>135</v>
      </c>
      <c r="D214" s="74"/>
      <c r="F214" s="52">
        <f>+'Entrate tot e finalizzati'!F214-'Entrate tot e finalizzati'!G214</f>
        <v>0</v>
      </c>
      <c r="G214" s="52">
        <f>+'Entrate tot e finalizzati'!H214-'Entrate tot e finalizzati'!I214</f>
        <v>0</v>
      </c>
      <c r="H214" s="52">
        <f>+'Entrate tot e finalizzati'!J214-'Entrate tot e finalizzati'!K214</f>
        <v>0</v>
      </c>
      <c r="I214" s="52">
        <f>+'Entrate tot e finalizzati'!L214-'Entrate tot e finalizzati'!M214</f>
        <v>0</v>
      </c>
      <c r="J214" s="53">
        <f>+'Entrate tot e finalizzati'!N214-'Entrate tot e finalizzati'!O214</f>
        <v>0</v>
      </c>
      <c r="K214" s="53">
        <f>+'Entrate tot e finalizzati'!P214-'Entrate tot e finalizzati'!Q214</f>
        <v>0</v>
      </c>
      <c r="L214" s="53">
        <f>+'Entrate tot e finalizzati'!R214-'Entrate tot e finalizzati'!S214</f>
        <v>0</v>
      </c>
      <c r="M214" s="53">
        <f>+'Entrate tot e finalizzati'!T214-'Entrate tot e finalizzati'!U214</f>
        <v>0</v>
      </c>
      <c r="N214" s="53">
        <f>+'Entrate tot e finalizzati'!V214-'Entrate tot e finalizzati'!W214</f>
        <v>0</v>
      </c>
    </row>
    <row r="215" spans="1:14" s="2" customFormat="1" ht="12.75">
      <c r="A215" s="73"/>
      <c r="B215" s="17"/>
      <c r="C215" s="50" t="s">
        <v>24</v>
      </c>
      <c r="D215" s="74"/>
      <c r="F215" s="52">
        <f>+'Entrate tot e finalizzati'!F215-'Entrate tot e finalizzati'!G215</f>
        <v>0</v>
      </c>
      <c r="G215" s="52">
        <f>+'Entrate tot e finalizzati'!H215-'Entrate tot e finalizzati'!I215</f>
        <v>0</v>
      </c>
      <c r="H215" s="52">
        <f>+'Entrate tot e finalizzati'!J215-'Entrate tot e finalizzati'!K215</f>
        <v>0</v>
      </c>
      <c r="I215" s="52">
        <f>+'Entrate tot e finalizzati'!L215-'Entrate tot e finalizzati'!M215</f>
        <v>0</v>
      </c>
      <c r="J215" s="53">
        <f>+'Entrate tot e finalizzati'!N215-'Entrate tot e finalizzati'!O215</f>
        <v>0</v>
      </c>
      <c r="K215" s="53">
        <f>+'Entrate tot e finalizzati'!P215-'Entrate tot e finalizzati'!Q215</f>
        <v>0</v>
      </c>
      <c r="L215" s="53">
        <f>+'Entrate tot e finalizzati'!R215-'Entrate tot e finalizzati'!S215</f>
        <v>0</v>
      </c>
      <c r="M215" s="53">
        <f>+'Entrate tot e finalizzati'!T215-'Entrate tot e finalizzati'!U215</f>
        <v>0</v>
      </c>
      <c r="N215" s="53">
        <f>+'Entrate tot e finalizzati'!V215-'Entrate tot e finalizzati'!W215</f>
        <v>0</v>
      </c>
    </row>
    <row r="216" spans="1:14" s="2" customFormat="1" ht="12.75">
      <c r="A216" s="73"/>
      <c r="B216" s="17"/>
      <c r="C216" s="51" t="s">
        <v>80</v>
      </c>
      <c r="D216" s="74"/>
      <c r="F216" s="52">
        <f>+'Entrate tot e finalizzati'!F216-'Entrate tot e finalizzati'!G216</f>
        <v>0</v>
      </c>
      <c r="G216" s="52">
        <f>+'Entrate tot e finalizzati'!H216-'Entrate tot e finalizzati'!I216</f>
        <v>0</v>
      </c>
      <c r="H216" s="52">
        <f>+'Entrate tot e finalizzati'!J216-'Entrate tot e finalizzati'!K216</f>
        <v>0</v>
      </c>
      <c r="I216" s="52">
        <f>+'Entrate tot e finalizzati'!L216-'Entrate tot e finalizzati'!M216</f>
        <v>0</v>
      </c>
      <c r="J216" s="53">
        <f>+'Entrate tot e finalizzati'!N216-'Entrate tot e finalizzati'!O216</f>
        <v>0</v>
      </c>
      <c r="K216" s="53">
        <f>+'Entrate tot e finalizzati'!P216-'Entrate tot e finalizzati'!Q216</f>
        <v>0</v>
      </c>
      <c r="L216" s="53">
        <f>+'Entrate tot e finalizzati'!R216-'Entrate tot e finalizzati'!S216</f>
        <v>14</v>
      </c>
      <c r="M216" s="53">
        <f>+'Entrate tot e finalizzati'!T216-'Entrate tot e finalizzati'!U216</f>
        <v>0</v>
      </c>
      <c r="N216" s="53">
        <f>+'Entrate tot e finalizzati'!V216-'Entrate tot e finalizzati'!W216</f>
        <v>0</v>
      </c>
    </row>
    <row r="217" spans="1:14" s="2" customFormat="1" ht="12.75">
      <c r="A217" s="73"/>
      <c r="B217" s="17"/>
      <c r="C217" s="51" t="s">
        <v>25</v>
      </c>
      <c r="D217" s="74"/>
      <c r="F217" s="52">
        <f>+'Entrate tot e finalizzati'!F217-'Entrate tot e finalizzati'!G217</f>
        <v>0</v>
      </c>
      <c r="G217" s="52">
        <f>+'Entrate tot e finalizzati'!H217-'Entrate tot e finalizzati'!I217</f>
        <v>0</v>
      </c>
      <c r="H217" s="52">
        <f>+'Entrate tot e finalizzati'!J217-'Entrate tot e finalizzati'!K217</f>
        <v>0</v>
      </c>
      <c r="I217" s="52">
        <f>+'Entrate tot e finalizzati'!L217-'Entrate tot e finalizzati'!M217</f>
        <v>0</v>
      </c>
      <c r="J217" s="53">
        <f>+'Entrate tot e finalizzati'!N217-'Entrate tot e finalizzati'!O217</f>
        <v>0</v>
      </c>
      <c r="K217" s="53">
        <f>+'Entrate tot e finalizzati'!P217-'Entrate tot e finalizzati'!Q217</f>
        <v>0</v>
      </c>
      <c r="L217" s="53">
        <f>+'Entrate tot e finalizzati'!R217-'Entrate tot e finalizzati'!S217</f>
        <v>0</v>
      </c>
      <c r="M217" s="53">
        <f>+'Entrate tot e finalizzati'!T217-'Entrate tot e finalizzati'!U217</f>
        <v>0</v>
      </c>
      <c r="N217" s="53">
        <f>+'Entrate tot e finalizzati'!V217-'Entrate tot e finalizzati'!W217</f>
        <v>0</v>
      </c>
    </row>
    <row r="218" spans="1:14" s="2" customFormat="1" ht="12.75">
      <c r="A218" s="73"/>
      <c r="B218" s="17"/>
      <c r="C218" s="7" t="s">
        <v>75</v>
      </c>
      <c r="D218" s="74"/>
      <c r="F218" s="52">
        <f>+'Entrate tot e finalizzati'!F218-'Entrate tot e finalizzati'!G218</f>
        <v>0</v>
      </c>
      <c r="G218" s="52">
        <f>+'Entrate tot e finalizzati'!H218-'Entrate tot e finalizzati'!I218</f>
        <v>0</v>
      </c>
      <c r="H218" s="52">
        <f>+'Entrate tot e finalizzati'!J218-'Entrate tot e finalizzati'!K218</f>
        <v>0</v>
      </c>
      <c r="I218" s="52">
        <f>+'Entrate tot e finalizzati'!L218-'Entrate tot e finalizzati'!M218</f>
        <v>0</v>
      </c>
      <c r="J218" s="53">
        <f>+'Entrate tot e finalizzati'!N218-'Entrate tot e finalizzati'!O218</f>
        <v>0</v>
      </c>
      <c r="K218" s="53">
        <f>+'Entrate tot e finalizzati'!P218-'Entrate tot e finalizzati'!Q218</f>
        <v>0</v>
      </c>
      <c r="L218" s="53">
        <f>+'Entrate tot e finalizzati'!R218-'Entrate tot e finalizzati'!S218</f>
        <v>0</v>
      </c>
      <c r="M218" s="53">
        <f>+'Entrate tot e finalizzati'!T218-'Entrate tot e finalizzati'!U218</f>
        <v>39</v>
      </c>
      <c r="N218" s="53">
        <f>+'Entrate tot e finalizzati'!V218-'Entrate tot e finalizzati'!W218</f>
        <v>19</v>
      </c>
    </row>
    <row r="219" spans="1:15" s="2" customFormat="1" ht="12.75">
      <c r="A219" s="81"/>
      <c r="B219" s="165"/>
      <c r="C219" s="82" t="s">
        <v>137</v>
      </c>
      <c r="D219" s="83"/>
      <c r="E219" s="85"/>
      <c r="F219" s="95">
        <f>+'Entrate tot e finalizzati'!F219-'Entrate tot e finalizzati'!G219</f>
        <v>0</v>
      </c>
      <c r="G219" s="95">
        <f>+'Entrate tot e finalizzati'!H219-'Entrate tot e finalizzati'!I219</f>
        <v>0</v>
      </c>
      <c r="H219" s="95">
        <f>+'Entrate tot e finalizzati'!J219-'Entrate tot e finalizzati'!K219</f>
        <v>0</v>
      </c>
      <c r="I219" s="95">
        <f>+'Entrate tot e finalizzati'!L219-'Entrate tot e finalizzati'!M219</f>
        <v>0</v>
      </c>
      <c r="J219" s="54">
        <f>+'Entrate tot e finalizzati'!N219-'Entrate tot e finalizzati'!O219</f>
        <v>0</v>
      </c>
      <c r="K219" s="54">
        <f>+'Entrate tot e finalizzati'!P219-'Entrate tot e finalizzati'!Q219</f>
        <v>0</v>
      </c>
      <c r="L219" s="54">
        <f>+'Entrate tot e finalizzati'!R219-'Entrate tot e finalizzati'!S219</f>
        <v>0</v>
      </c>
      <c r="M219" s="54">
        <f>+'Entrate tot e finalizzati'!T219-'Entrate tot e finalizzati'!U219</f>
        <v>0</v>
      </c>
      <c r="N219" s="54">
        <f>+'Entrate tot e finalizzati'!V219-'Entrate tot e finalizzati'!W219</f>
        <v>0</v>
      </c>
      <c r="O219" s="161"/>
    </row>
    <row r="220" spans="1:14" s="127" customFormat="1" ht="12.75">
      <c r="A220" s="130" t="s">
        <v>18</v>
      </c>
      <c r="B220" s="125"/>
      <c r="C220" s="125"/>
      <c r="D220" s="126"/>
      <c r="F220" s="129">
        <f aca="true" t="shared" si="31" ref="F220:N220">+F221+F225+F230</f>
        <v>800</v>
      </c>
      <c r="G220" s="129">
        <f t="shared" si="31"/>
        <v>811</v>
      </c>
      <c r="H220" s="129">
        <f t="shared" si="31"/>
        <v>796</v>
      </c>
      <c r="I220" s="129">
        <f t="shared" si="31"/>
        <v>648</v>
      </c>
      <c r="J220" s="129">
        <f t="shared" si="31"/>
        <v>583</v>
      </c>
      <c r="K220" s="129">
        <f t="shared" si="31"/>
        <v>544</v>
      </c>
      <c r="L220" s="129">
        <f t="shared" si="31"/>
        <v>549</v>
      </c>
      <c r="M220" s="129">
        <f t="shared" si="31"/>
        <v>616</v>
      </c>
      <c r="N220" s="129">
        <f t="shared" si="31"/>
        <v>546</v>
      </c>
    </row>
    <row r="221" spans="1:14" s="2" customFormat="1" ht="12.75">
      <c r="A221" s="73"/>
      <c r="B221" s="78" t="s">
        <v>123</v>
      </c>
      <c r="C221" s="78"/>
      <c r="D221" s="74"/>
      <c r="F221" s="135">
        <f>SUM(F222:F223)</f>
        <v>0</v>
      </c>
      <c r="G221" s="135">
        <f>SUM(G222:G223)</f>
        <v>0</v>
      </c>
      <c r="H221" s="135">
        <f>SUM(H222:H223)</f>
        <v>0</v>
      </c>
      <c r="I221" s="135">
        <f>SUM(I222:I223)</f>
        <v>0</v>
      </c>
      <c r="J221" s="135">
        <f>SUM(J222:J223)</f>
        <v>0</v>
      </c>
      <c r="K221" s="135">
        <f>SUM(K222:K224)</f>
        <v>0</v>
      </c>
      <c r="L221" s="135">
        <f>SUM(L222:L224)</f>
        <v>0</v>
      </c>
      <c r="M221" s="135">
        <f>SUM(M222:M224)</f>
        <v>0</v>
      </c>
      <c r="N221" s="135">
        <f>SUM(N222:N224)</f>
        <v>0</v>
      </c>
    </row>
    <row r="222" spans="1:14" s="2" customFormat="1" ht="12.75">
      <c r="A222" s="12"/>
      <c r="B222" s="7"/>
      <c r="C222" s="50" t="s">
        <v>24</v>
      </c>
      <c r="D222" s="25"/>
      <c r="E222"/>
      <c r="F222" s="35">
        <f>+'Entrate tot e finalizzati'!F222-'Entrate tot e finalizzati'!G222</f>
        <v>0</v>
      </c>
      <c r="G222" s="35">
        <f>+'Entrate tot e finalizzati'!H222-'Entrate tot e finalizzati'!I222</f>
        <v>0</v>
      </c>
      <c r="H222" s="35">
        <f>+'Entrate tot e finalizzati'!J222-'Entrate tot e finalizzati'!K222</f>
        <v>0</v>
      </c>
      <c r="I222" s="35">
        <f>+'Entrate tot e finalizzati'!L222-'Entrate tot e finalizzati'!M222</f>
        <v>0</v>
      </c>
      <c r="J222" s="35">
        <f>+'Entrate tot e finalizzati'!N222-'Entrate tot e finalizzati'!O222</f>
        <v>0</v>
      </c>
      <c r="K222" s="35">
        <f>+'Entrate tot e finalizzati'!P222-'Entrate tot e finalizzati'!Q222</f>
        <v>0</v>
      </c>
      <c r="L222" s="35">
        <f>+'Entrate tot e finalizzati'!R222-'Entrate tot e finalizzati'!S222</f>
        <v>0</v>
      </c>
      <c r="M222" s="35">
        <f>+'Entrate tot e finalizzati'!T222-'Entrate tot e finalizzati'!U222</f>
        <v>0</v>
      </c>
      <c r="N222" s="35">
        <f>+'Entrate tot e finalizzati'!V222-'Entrate tot e finalizzati'!W222</f>
        <v>0</v>
      </c>
    </row>
    <row r="223" spans="1:14" s="2" customFormat="1" ht="12.75">
      <c r="A223" s="12"/>
      <c r="B223" s="7"/>
      <c r="C223" s="51" t="s">
        <v>74</v>
      </c>
      <c r="D223" s="25"/>
      <c r="E223"/>
      <c r="F223" s="35">
        <f>+'Entrate tot e finalizzati'!F223-'Entrate tot e finalizzati'!G223</f>
        <v>0</v>
      </c>
      <c r="G223" s="35">
        <f>+'Entrate tot e finalizzati'!H223-'Entrate tot e finalizzati'!I223</f>
        <v>0</v>
      </c>
      <c r="H223" s="35">
        <f>+'Entrate tot e finalizzati'!J223-'Entrate tot e finalizzati'!K223</f>
        <v>0</v>
      </c>
      <c r="I223" s="35">
        <f>+'Entrate tot e finalizzati'!L223-'Entrate tot e finalizzati'!M223</f>
        <v>0</v>
      </c>
      <c r="J223" s="35">
        <f>+'Entrate tot e finalizzati'!N223-'Entrate tot e finalizzati'!O223</f>
        <v>0</v>
      </c>
      <c r="K223" s="35">
        <f>+'Entrate tot e finalizzati'!P223-'Entrate tot e finalizzati'!Q223</f>
        <v>0</v>
      </c>
      <c r="L223" s="35">
        <f>+'Entrate tot e finalizzati'!R223-'Entrate tot e finalizzati'!S223</f>
        <v>0</v>
      </c>
      <c r="M223" s="35">
        <f>+'Entrate tot e finalizzati'!T223-'Entrate tot e finalizzati'!U223</f>
        <v>0</v>
      </c>
      <c r="N223" s="35">
        <f>+'Entrate tot e finalizzati'!V223-'Entrate tot e finalizzati'!W223</f>
        <v>0</v>
      </c>
    </row>
    <row r="224" spans="1:14" s="2" customFormat="1" ht="12.75">
      <c r="A224" s="12"/>
      <c r="B224" s="7"/>
      <c r="C224" s="51" t="s">
        <v>80</v>
      </c>
      <c r="D224" s="25"/>
      <c r="E224"/>
      <c r="F224" s="35">
        <f>+'Entrate tot e finalizzati'!F224-'Entrate tot e finalizzati'!G224</f>
        <v>0</v>
      </c>
      <c r="G224" s="35">
        <f>+'Entrate tot e finalizzati'!H224-'Entrate tot e finalizzati'!I224</f>
        <v>0</v>
      </c>
      <c r="H224" s="35">
        <f>+'Entrate tot e finalizzati'!J224-'Entrate tot e finalizzati'!K224</f>
        <v>0</v>
      </c>
      <c r="I224" s="35">
        <f>+'Entrate tot e finalizzati'!L224-'Entrate tot e finalizzati'!M224</f>
        <v>0</v>
      </c>
      <c r="J224" s="35">
        <f>+'Entrate tot e finalizzati'!N224-'Entrate tot e finalizzati'!O224</f>
        <v>0</v>
      </c>
      <c r="K224" s="35">
        <f>+'Entrate tot e finalizzati'!P224-'Entrate tot e finalizzati'!Q224</f>
        <v>0</v>
      </c>
      <c r="L224" s="35">
        <f>+'Entrate tot e finalizzati'!R224-'Entrate tot e finalizzati'!S224</f>
        <v>0</v>
      </c>
      <c r="M224" s="35">
        <f>+'Entrate tot e finalizzati'!T224-'Entrate tot e finalizzati'!U224</f>
        <v>0</v>
      </c>
      <c r="N224" s="35">
        <f>+'Entrate tot e finalizzati'!V224-'Entrate tot e finalizzati'!W224</f>
        <v>0</v>
      </c>
    </row>
    <row r="225" spans="1:14" s="2" customFormat="1" ht="12.75">
      <c r="A225" s="73"/>
      <c r="B225" s="78" t="s">
        <v>124</v>
      </c>
      <c r="C225" s="78"/>
      <c r="D225" s="74"/>
      <c r="F225" s="135">
        <f aca="true" t="shared" si="32" ref="F225:N225">SUM(F226:F229)</f>
        <v>800</v>
      </c>
      <c r="G225" s="135">
        <f t="shared" si="32"/>
        <v>811</v>
      </c>
      <c r="H225" s="135">
        <f t="shared" si="32"/>
        <v>796</v>
      </c>
      <c r="I225" s="135">
        <f t="shared" si="32"/>
        <v>648</v>
      </c>
      <c r="J225" s="135">
        <f t="shared" si="32"/>
        <v>583</v>
      </c>
      <c r="K225" s="135">
        <f t="shared" si="32"/>
        <v>544</v>
      </c>
      <c r="L225" s="135">
        <f t="shared" si="32"/>
        <v>549</v>
      </c>
      <c r="M225" s="135">
        <f t="shared" si="32"/>
        <v>572</v>
      </c>
      <c r="N225" s="135">
        <f t="shared" si="32"/>
        <v>504</v>
      </c>
    </row>
    <row r="226" spans="1:14" s="2" customFormat="1" ht="12.75">
      <c r="A226" s="12"/>
      <c r="B226" s="7"/>
      <c r="C226" s="51" t="s">
        <v>43</v>
      </c>
      <c r="D226" s="25"/>
      <c r="E226"/>
      <c r="F226" s="52">
        <f>+'Entrate tot e finalizzati'!F226-'Entrate tot e finalizzati'!G226</f>
        <v>63</v>
      </c>
      <c r="G226" s="53">
        <f>+'Entrate tot e finalizzati'!H226-'Entrate tot e finalizzati'!I226</f>
        <v>77</v>
      </c>
      <c r="H226" s="52">
        <f>+'Entrate tot e finalizzati'!J226-'Entrate tot e finalizzati'!K226</f>
        <v>207</v>
      </c>
      <c r="I226" s="52">
        <f>+'Entrate tot e finalizzati'!L226-'Entrate tot e finalizzati'!M226</f>
        <v>176</v>
      </c>
      <c r="J226" s="53">
        <f>+'Entrate tot e finalizzati'!N226-'Entrate tot e finalizzati'!O226</f>
        <v>148</v>
      </c>
      <c r="K226" s="53">
        <f>+'Entrate tot e finalizzati'!P226-'Entrate tot e finalizzati'!Q226</f>
        <v>120</v>
      </c>
      <c r="L226" s="53">
        <f>+'Entrate tot e finalizzati'!R226-'Entrate tot e finalizzati'!S226</f>
        <v>91</v>
      </c>
      <c r="M226" s="53">
        <f>+'Entrate tot e finalizzati'!T226-'Entrate tot e finalizzati'!U226</f>
        <v>83</v>
      </c>
      <c r="N226" s="53">
        <f>+'Entrate tot e finalizzati'!V226-'Entrate tot e finalizzati'!W226</f>
        <v>58</v>
      </c>
    </row>
    <row r="227" spans="1:14" s="2" customFormat="1" ht="12.75">
      <c r="A227" s="12"/>
      <c r="B227" s="7"/>
      <c r="C227" s="7" t="s">
        <v>86</v>
      </c>
      <c r="D227" s="25"/>
      <c r="E227"/>
      <c r="F227" s="35">
        <f>+'Entrate tot e finalizzati'!F227-'Entrate tot e finalizzati'!G227</f>
        <v>737</v>
      </c>
      <c r="G227" s="35">
        <f>+'Entrate tot e finalizzati'!H227-'Entrate tot e finalizzati'!I227</f>
        <v>644</v>
      </c>
      <c r="H227" s="35">
        <f>+'Entrate tot e finalizzati'!J227-'Entrate tot e finalizzati'!K227</f>
        <v>529</v>
      </c>
      <c r="I227" s="35">
        <f>+'Entrate tot e finalizzati'!L227-'Entrate tot e finalizzati'!M227</f>
        <v>455</v>
      </c>
      <c r="J227" s="35">
        <f>+'Entrate tot e finalizzati'!N227-'Entrate tot e finalizzati'!O227</f>
        <v>435</v>
      </c>
      <c r="K227" s="35">
        <f>+'Entrate tot e finalizzati'!P227-'Entrate tot e finalizzati'!Q227</f>
        <v>424</v>
      </c>
      <c r="L227" s="35">
        <f>+'Entrate tot e finalizzati'!R227-'Entrate tot e finalizzati'!S227</f>
        <v>454</v>
      </c>
      <c r="M227" s="35">
        <f>+'Entrate tot e finalizzati'!T227-'Entrate tot e finalizzati'!U227</f>
        <v>489</v>
      </c>
      <c r="N227" s="35">
        <f>+'Entrate tot e finalizzati'!V227-'Entrate tot e finalizzati'!W227</f>
        <v>446</v>
      </c>
    </row>
    <row r="228" spans="1:14" s="2" customFormat="1" ht="12.75">
      <c r="A228" s="12"/>
      <c r="B228" s="7"/>
      <c r="C228" s="13" t="s">
        <v>25</v>
      </c>
      <c r="D228" s="25"/>
      <c r="E228"/>
      <c r="F228" s="35">
        <f>+'Entrate tot e finalizzati'!F228-'Entrate tot e finalizzati'!G228</f>
        <v>0</v>
      </c>
      <c r="G228" s="33">
        <f>+'Entrate tot e finalizzati'!H228-'Entrate tot e finalizzati'!I228</f>
        <v>90</v>
      </c>
      <c r="H228" s="35">
        <f>+'Entrate tot e finalizzati'!J228-'Entrate tot e finalizzati'!K228</f>
        <v>60</v>
      </c>
      <c r="I228" s="35">
        <f>+'Entrate tot e finalizzati'!L228-'Entrate tot e finalizzati'!M228</f>
        <v>17</v>
      </c>
      <c r="J228" s="35">
        <f>+'Entrate tot e finalizzati'!N228-'Entrate tot e finalizzati'!O228</f>
        <v>0</v>
      </c>
      <c r="K228" s="35">
        <f>+'Entrate tot e finalizzati'!P228-'Entrate tot e finalizzati'!Q228</f>
        <v>0</v>
      </c>
      <c r="L228" s="35">
        <f>+'Entrate tot e finalizzati'!R228-'Entrate tot e finalizzati'!S228</f>
        <v>0</v>
      </c>
      <c r="M228" s="35">
        <f>+'Entrate tot e finalizzati'!T228-'Entrate tot e finalizzati'!U228</f>
        <v>0</v>
      </c>
      <c r="N228" s="35">
        <f>+'Entrate tot e finalizzati'!V228-'Entrate tot e finalizzati'!W228</f>
        <v>0</v>
      </c>
    </row>
    <row r="229" spans="1:14" s="2" customFormat="1" ht="12.75">
      <c r="A229" s="12"/>
      <c r="B229" s="7"/>
      <c r="C229" s="7" t="s">
        <v>75</v>
      </c>
      <c r="D229" s="25"/>
      <c r="E229"/>
      <c r="F229" s="35">
        <f>+'Entrate tot e finalizzati'!F229-'Entrate tot e finalizzati'!G229</f>
        <v>0</v>
      </c>
      <c r="G229" s="35">
        <f>+'Entrate tot e finalizzati'!H229-'Entrate tot e finalizzati'!I229</f>
        <v>0</v>
      </c>
      <c r="H229" s="35">
        <f>+'Entrate tot e finalizzati'!J229-'Entrate tot e finalizzati'!K229</f>
        <v>0</v>
      </c>
      <c r="I229" s="35">
        <f>+'Entrate tot e finalizzati'!L229-'Entrate tot e finalizzati'!M229</f>
        <v>0</v>
      </c>
      <c r="J229" s="35">
        <f>+'Entrate tot e finalizzati'!N229-'Entrate tot e finalizzati'!O229</f>
        <v>0</v>
      </c>
      <c r="K229" s="35">
        <f>+'Entrate tot e finalizzati'!P229-'Entrate tot e finalizzati'!Q229</f>
        <v>0</v>
      </c>
      <c r="L229" s="35">
        <f>+'Entrate tot e finalizzati'!R229-'Entrate tot e finalizzati'!S229</f>
        <v>4</v>
      </c>
      <c r="M229" s="35">
        <f>+'Entrate tot e finalizzati'!T229-'Entrate tot e finalizzati'!U229</f>
        <v>0</v>
      </c>
      <c r="N229" s="35">
        <f>+'Entrate tot e finalizzati'!V229-'Entrate tot e finalizzati'!W229</f>
        <v>0</v>
      </c>
    </row>
    <row r="230" spans="1:14" s="2" customFormat="1" ht="12.75">
      <c r="A230" s="12"/>
      <c r="B230" s="17" t="s">
        <v>125</v>
      </c>
      <c r="C230" s="17"/>
      <c r="D230" s="25"/>
      <c r="E230"/>
      <c r="F230" s="131">
        <f aca="true" t="shared" si="33" ref="F230:N230">SUM(F231:F233)</f>
        <v>0</v>
      </c>
      <c r="G230" s="131">
        <f t="shared" si="33"/>
        <v>0</v>
      </c>
      <c r="H230" s="131">
        <f t="shared" si="33"/>
        <v>0</v>
      </c>
      <c r="I230" s="131">
        <f t="shared" si="33"/>
        <v>0</v>
      </c>
      <c r="J230" s="131">
        <f t="shared" si="33"/>
        <v>0</v>
      </c>
      <c r="K230" s="131">
        <f t="shared" si="33"/>
        <v>0</v>
      </c>
      <c r="L230" s="131">
        <f t="shared" si="33"/>
        <v>0</v>
      </c>
      <c r="M230" s="131">
        <f t="shared" si="33"/>
        <v>44</v>
      </c>
      <c r="N230" s="131">
        <f t="shared" si="33"/>
        <v>42</v>
      </c>
    </row>
    <row r="231" spans="1:14" s="2" customFormat="1" ht="12.75">
      <c r="A231" s="12"/>
      <c r="B231" s="17"/>
      <c r="C231" s="51" t="s">
        <v>77</v>
      </c>
      <c r="D231" s="25"/>
      <c r="E231"/>
      <c r="F231" s="35">
        <f>+'Entrate tot e finalizzati'!F231-'Entrate tot e finalizzati'!G231</f>
        <v>0</v>
      </c>
      <c r="G231" s="35">
        <f>+'Entrate tot e finalizzati'!H231-'Entrate tot e finalizzati'!I231</f>
        <v>0</v>
      </c>
      <c r="H231" s="35">
        <f>+'Entrate tot e finalizzati'!J231-'Entrate tot e finalizzati'!K231</f>
        <v>0</v>
      </c>
      <c r="I231" s="35">
        <f>+'Entrate tot e finalizzati'!L231-'Entrate tot e finalizzati'!M231</f>
        <v>0</v>
      </c>
      <c r="J231" s="35">
        <f>+'Entrate tot e finalizzati'!N231-'Entrate tot e finalizzati'!O231</f>
        <v>0</v>
      </c>
      <c r="K231" s="35">
        <f>+'Entrate tot e finalizzati'!P231-'Entrate tot e finalizzati'!Q231</f>
        <v>0</v>
      </c>
      <c r="L231" s="35">
        <f>+'Entrate tot e finalizzati'!R231-'Entrate tot e finalizzati'!S231</f>
        <v>0</v>
      </c>
      <c r="M231" s="35">
        <f>+'Entrate tot e finalizzati'!T231-'Entrate tot e finalizzati'!U231</f>
        <v>0</v>
      </c>
      <c r="N231" s="35">
        <f>+'Entrate tot e finalizzati'!V231-'Entrate tot e finalizzati'!W231</f>
        <v>0</v>
      </c>
    </row>
    <row r="232" spans="1:14" s="2" customFormat="1" ht="12.75">
      <c r="A232" s="12"/>
      <c r="B232" s="17"/>
      <c r="C232" s="51" t="s">
        <v>28</v>
      </c>
      <c r="D232" s="25"/>
      <c r="E232"/>
      <c r="F232" s="35">
        <f>+'Entrate tot e finalizzati'!F232-'Entrate tot e finalizzati'!G232</f>
        <v>0</v>
      </c>
      <c r="G232" s="35">
        <f>+'Entrate tot e finalizzati'!H232-'Entrate tot e finalizzati'!I232</f>
        <v>0</v>
      </c>
      <c r="H232" s="35">
        <f>+'Entrate tot e finalizzati'!J232-'Entrate tot e finalizzati'!K232</f>
        <v>0</v>
      </c>
      <c r="I232" s="35">
        <f>+'Entrate tot e finalizzati'!L232-'Entrate tot e finalizzati'!M232</f>
        <v>0</v>
      </c>
      <c r="J232" s="35">
        <f>+'Entrate tot e finalizzati'!N232-'Entrate tot e finalizzati'!O232</f>
        <v>0</v>
      </c>
      <c r="K232" s="35">
        <f>+'Entrate tot e finalizzati'!P232-'Entrate tot e finalizzati'!Q232</f>
        <v>0</v>
      </c>
      <c r="L232" s="35">
        <f>+'Entrate tot e finalizzati'!R232-'Entrate tot e finalizzati'!S232</f>
        <v>0</v>
      </c>
      <c r="M232" s="35">
        <f>+'Entrate tot e finalizzati'!T232-'Entrate tot e finalizzati'!U232</f>
        <v>44</v>
      </c>
      <c r="N232" s="35">
        <f>+'Entrate tot e finalizzati'!V232-'Entrate tot e finalizzati'!W232</f>
        <v>41</v>
      </c>
    </row>
    <row r="233" spans="1:15" s="2" customFormat="1" ht="12.75">
      <c r="A233" s="24"/>
      <c r="B233" s="165"/>
      <c r="C233" s="23" t="s">
        <v>73</v>
      </c>
      <c r="D233" s="134"/>
      <c r="E233" s="31"/>
      <c r="F233" s="36">
        <f>+'Entrate tot e finalizzati'!F233-'Entrate tot e finalizzati'!G233</f>
        <v>0</v>
      </c>
      <c r="G233" s="36">
        <f>+'Entrate tot e finalizzati'!H233-'Entrate tot e finalizzati'!I233</f>
        <v>0</v>
      </c>
      <c r="H233" s="36">
        <f>+'Entrate tot e finalizzati'!J233-'Entrate tot e finalizzati'!K233</f>
        <v>0</v>
      </c>
      <c r="I233" s="36">
        <f>+'Entrate tot e finalizzati'!L233-'Entrate tot e finalizzati'!M233</f>
        <v>0</v>
      </c>
      <c r="J233" s="36">
        <f>+'Entrate tot e finalizzati'!N233-'Entrate tot e finalizzati'!O233</f>
        <v>0</v>
      </c>
      <c r="K233" s="36">
        <f>+'Entrate tot e finalizzati'!P233-'Entrate tot e finalizzati'!Q233</f>
        <v>0</v>
      </c>
      <c r="L233" s="36">
        <f>+'Entrate tot e finalizzati'!R233-'Entrate tot e finalizzati'!S233</f>
        <v>0</v>
      </c>
      <c r="M233" s="36">
        <f>+'Entrate tot e finalizzati'!T233-'Entrate tot e finalizzati'!U233</f>
        <v>0</v>
      </c>
      <c r="N233" s="36">
        <f>+'Entrate tot e finalizzati'!V233-'Entrate tot e finalizzati'!W233</f>
        <v>1</v>
      </c>
      <c r="O233" s="85"/>
    </row>
    <row r="234" spans="1:14" s="2" customFormat="1" ht="12.75">
      <c r="A234" s="120" t="s">
        <v>108</v>
      </c>
      <c r="B234" s="142"/>
      <c r="C234" s="142"/>
      <c r="D234" s="122"/>
      <c r="E234" s="45"/>
      <c r="F234" s="49">
        <f aca="true" t="shared" si="34" ref="F234:N234">SUM(F235:F244)</f>
        <v>14914</v>
      </c>
      <c r="G234" s="49">
        <f t="shared" si="34"/>
        <v>12416</v>
      </c>
      <c r="H234" s="49">
        <f t="shared" si="34"/>
        <v>13287</v>
      </c>
      <c r="I234" s="49">
        <f t="shared" si="34"/>
        <v>14526</v>
      </c>
      <c r="J234" s="49">
        <f t="shared" si="34"/>
        <v>13736</v>
      </c>
      <c r="K234" s="49">
        <f t="shared" si="34"/>
        <v>15608</v>
      </c>
      <c r="L234" s="49">
        <f t="shared" si="34"/>
        <v>18402</v>
      </c>
      <c r="M234" s="49">
        <f t="shared" si="34"/>
        <v>25804</v>
      </c>
      <c r="N234" s="49">
        <f t="shared" si="34"/>
        <v>30478</v>
      </c>
    </row>
    <row r="235" spans="1:14" s="2" customFormat="1" ht="12.75">
      <c r="A235" s="100"/>
      <c r="B235" s="51" t="s">
        <v>44</v>
      </c>
      <c r="C235" s="13"/>
      <c r="D235" s="14"/>
      <c r="E235"/>
      <c r="F235" s="35">
        <f>+'Entrate tot e finalizzati'!F235-'Entrate tot e finalizzati'!G235</f>
        <v>3</v>
      </c>
      <c r="G235" s="33">
        <f>+'Entrate tot e finalizzati'!H235-'Entrate tot e finalizzati'!I235</f>
        <v>52</v>
      </c>
      <c r="H235" s="35">
        <f>+'Entrate tot e finalizzati'!J235-'Entrate tot e finalizzati'!K235</f>
        <v>2</v>
      </c>
      <c r="I235" s="35">
        <f>+'Entrate tot e finalizzati'!L235-'Entrate tot e finalizzati'!M235</f>
        <v>17</v>
      </c>
      <c r="J235" s="33">
        <f>+'Entrate tot e finalizzati'!N235-'Entrate tot e finalizzati'!O235</f>
        <v>31</v>
      </c>
      <c r="K235" s="33">
        <f>+'Entrate tot e finalizzati'!P235-'Entrate tot e finalizzati'!Q235</f>
        <v>8</v>
      </c>
      <c r="L235" s="33">
        <f>+'Entrate tot e finalizzati'!R235-'Entrate tot e finalizzati'!S235</f>
        <v>3</v>
      </c>
      <c r="M235" s="33">
        <f>+'Entrate tot e finalizzati'!T235-'Entrate tot e finalizzati'!U235</f>
        <v>0</v>
      </c>
      <c r="N235" s="33">
        <f>+'Entrate tot e finalizzati'!V235-'Entrate tot e finalizzati'!W235</f>
        <v>8</v>
      </c>
    </row>
    <row r="236" spans="1:14" s="2" customFormat="1" ht="12.75">
      <c r="A236" s="22"/>
      <c r="B236" s="13" t="s">
        <v>36</v>
      </c>
      <c r="C236" s="13"/>
      <c r="D236" s="14"/>
      <c r="E236"/>
      <c r="F236" s="35">
        <f>+'Entrate tot e finalizzati'!F236-'Entrate tot e finalizzati'!G236</f>
        <v>18</v>
      </c>
      <c r="G236" s="33">
        <f>+'Entrate tot e finalizzati'!H236-'Entrate tot e finalizzati'!I236</f>
        <v>12</v>
      </c>
      <c r="H236" s="35">
        <f>+'Entrate tot e finalizzati'!J236-'Entrate tot e finalizzati'!K236</f>
        <v>7</v>
      </c>
      <c r="I236" s="35">
        <f>+'Entrate tot e finalizzati'!L236-'Entrate tot e finalizzati'!M236</f>
        <v>4</v>
      </c>
      <c r="J236" s="33">
        <f>+'Entrate tot e finalizzati'!N236-'Entrate tot e finalizzati'!O236</f>
        <v>2</v>
      </c>
      <c r="K236" s="33">
        <f>+'Entrate tot e finalizzati'!P236-'Entrate tot e finalizzati'!Q236</f>
        <v>3</v>
      </c>
      <c r="L236" s="33">
        <f>+'Entrate tot e finalizzati'!R236-'Entrate tot e finalizzati'!S236</f>
        <v>14</v>
      </c>
      <c r="M236" s="33">
        <f>+'Entrate tot e finalizzati'!T236-'Entrate tot e finalizzati'!U236</f>
        <v>1</v>
      </c>
      <c r="N236" s="33">
        <f>+'Entrate tot e finalizzati'!V236-'Entrate tot e finalizzati'!W236</f>
        <v>0</v>
      </c>
    </row>
    <row r="237" spans="1:14" s="2" customFormat="1" ht="12.75">
      <c r="A237" s="22"/>
      <c r="B237" s="13" t="s">
        <v>73</v>
      </c>
      <c r="C237" s="13"/>
      <c r="D237" s="14"/>
      <c r="E237"/>
      <c r="F237" s="35">
        <f>+'Entrate tot e finalizzati'!F237-'Entrate tot e finalizzati'!G237</f>
        <v>1062</v>
      </c>
      <c r="G237" s="33">
        <f>+'Entrate tot e finalizzati'!H237-'Entrate tot e finalizzati'!I237</f>
        <v>1029</v>
      </c>
      <c r="H237" s="35">
        <f>+'Entrate tot e finalizzati'!J237-'Entrate tot e finalizzati'!K237</f>
        <v>1229</v>
      </c>
      <c r="I237" s="35">
        <f>+'Entrate tot e finalizzati'!L237-'Entrate tot e finalizzati'!M237</f>
        <v>1515</v>
      </c>
      <c r="J237" s="33">
        <f>+'Entrate tot e finalizzati'!N237-'Entrate tot e finalizzati'!O237</f>
        <v>1298</v>
      </c>
      <c r="K237" s="33">
        <f>+'Entrate tot e finalizzati'!P237-'Entrate tot e finalizzati'!Q237</f>
        <v>1286</v>
      </c>
      <c r="L237" s="33">
        <f>+'Entrate tot e finalizzati'!R237-'Entrate tot e finalizzati'!S237</f>
        <v>1693</v>
      </c>
      <c r="M237" s="33">
        <f>+'Entrate tot e finalizzati'!T237-'Entrate tot e finalizzati'!U237</f>
        <v>2554</v>
      </c>
      <c r="N237" s="33">
        <f>+'Entrate tot e finalizzati'!V237-'Entrate tot e finalizzati'!W237</f>
        <v>3008</v>
      </c>
    </row>
    <row r="238" spans="1:14" s="2" customFormat="1" ht="12.75">
      <c r="A238" s="22"/>
      <c r="B238" s="51" t="s">
        <v>90</v>
      </c>
      <c r="C238" s="13"/>
      <c r="D238" s="14"/>
      <c r="E238"/>
      <c r="F238" s="35">
        <f>+'Entrate tot e finalizzati'!F238-'Entrate tot e finalizzati'!G238</f>
        <v>899</v>
      </c>
      <c r="G238" s="33">
        <f>+'Entrate tot e finalizzati'!H238-'Entrate tot e finalizzati'!I238</f>
        <v>879</v>
      </c>
      <c r="H238" s="35">
        <f>+'Entrate tot e finalizzati'!J238-'Entrate tot e finalizzati'!K238</f>
        <v>823</v>
      </c>
      <c r="I238" s="35">
        <f>+'Entrate tot e finalizzati'!L238-'Entrate tot e finalizzati'!M238</f>
        <v>989</v>
      </c>
      <c r="J238" s="33">
        <f>+'Entrate tot e finalizzati'!N238-'Entrate tot e finalizzati'!O238</f>
        <v>1486</v>
      </c>
      <c r="K238" s="33">
        <f>+'Entrate tot e finalizzati'!P238-'Entrate tot e finalizzati'!Q238</f>
        <v>1233</v>
      </c>
      <c r="L238" s="33">
        <f>+'Entrate tot e finalizzati'!R238-'Entrate tot e finalizzati'!S238</f>
        <v>1486</v>
      </c>
      <c r="M238" s="33">
        <f>+'Entrate tot e finalizzati'!T238-'Entrate tot e finalizzati'!U238</f>
        <v>1475</v>
      </c>
      <c r="N238" s="33">
        <f>+'Entrate tot e finalizzati'!V238-'Entrate tot e finalizzati'!W238</f>
        <v>1564</v>
      </c>
    </row>
    <row r="239" spans="1:14" s="2" customFormat="1" ht="12.75">
      <c r="A239" s="22"/>
      <c r="B239" s="13" t="s">
        <v>25</v>
      </c>
      <c r="C239" s="13"/>
      <c r="D239" s="14"/>
      <c r="E239"/>
      <c r="F239" s="35">
        <f>+'Entrate tot e finalizzati'!F239-'Entrate tot e finalizzati'!G239</f>
        <v>4</v>
      </c>
      <c r="G239" s="33">
        <f>+'Entrate tot e finalizzati'!H239-'Entrate tot e finalizzati'!I239</f>
        <v>30</v>
      </c>
      <c r="H239" s="35">
        <f>+'Entrate tot e finalizzati'!J239-'Entrate tot e finalizzati'!K239</f>
        <v>57</v>
      </c>
      <c r="I239" s="35">
        <f>+'Entrate tot e finalizzati'!L239-'Entrate tot e finalizzati'!M239</f>
        <v>98</v>
      </c>
      <c r="J239" s="33">
        <f>+'Entrate tot e finalizzati'!N239-'Entrate tot e finalizzati'!O239</f>
        <v>126</v>
      </c>
      <c r="K239" s="33">
        <f>+'Entrate tot e finalizzati'!P239-'Entrate tot e finalizzati'!Q239</f>
        <v>99</v>
      </c>
      <c r="L239" s="33">
        <f>+'Entrate tot e finalizzati'!R239-'Entrate tot e finalizzati'!S239</f>
        <v>72</v>
      </c>
      <c r="M239" s="33">
        <f>+'Entrate tot e finalizzati'!T239-'Entrate tot e finalizzati'!U239</f>
        <v>73</v>
      </c>
      <c r="N239" s="33">
        <f>+'Entrate tot e finalizzati'!V239-'Entrate tot e finalizzati'!W239</f>
        <v>66</v>
      </c>
    </row>
    <row r="240" spans="1:14" s="2" customFormat="1" ht="12.75">
      <c r="A240" s="22"/>
      <c r="B240" s="7" t="s">
        <v>75</v>
      </c>
      <c r="C240" s="7"/>
      <c r="D240" s="20"/>
      <c r="E240"/>
      <c r="F240" s="35">
        <f>+'Entrate tot e finalizzati'!F240-'Entrate tot e finalizzati'!G240</f>
        <v>0</v>
      </c>
      <c r="G240" s="35">
        <f>+'Entrate tot e finalizzati'!H240-'Entrate tot e finalizzati'!I240</f>
        <v>0</v>
      </c>
      <c r="H240" s="35">
        <f>+'Entrate tot e finalizzati'!J240-'Entrate tot e finalizzati'!K240</f>
        <v>0</v>
      </c>
      <c r="I240" s="35">
        <f>+'Entrate tot e finalizzati'!L240-'Entrate tot e finalizzati'!M240</f>
        <v>0</v>
      </c>
      <c r="J240" s="33">
        <f>+'Entrate tot e finalizzati'!N240-'Entrate tot e finalizzati'!O240</f>
        <v>0</v>
      </c>
      <c r="K240" s="33">
        <f>+'Entrate tot e finalizzati'!P240-'Entrate tot e finalizzati'!Q240</f>
        <v>0</v>
      </c>
      <c r="L240" s="33">
        <f>+'Entrate tot e finalizzati'!R240-'Entrate tot e finalizzati'!S240</f>
        <v>0</v>
      </c>
      <c r="M240" s="33">
        <f>+'Entrate tot e finalizzati'!T240-'Entrate tot e finalizzati'!U240</f>
        <v>0</v>
      </c>
      <c r="N240" s="33">
        <f>+'Entrate tot e finalizzati'!V240-'Entrate tot e finalizzati'!W240</f>
        <v>0</v>
      </c>
    </row>
    <row r="241" spans="1:14" s="2" customFormat="1" ht="12.75">
      <c r="A241" s="22"/>
      <c r="B241" s="13" t="s">
        <v>87</v>
      </c>
      <c r="C241" s="13"/>
      <c r="D241" s="14"/>
      <c r="E241"/>
      <c r="F241" s="35">
        <f>+'Entrate tot e finalizzati'!F241-'Entrate tot e finalizzati'!G241</f>
        <v>12928</v>
      </c>
      <c r="G241" s="33">
        <f>+'Entrate tot e finalizzati'!H241-'Entrate tot e finalizzati'!I241</f>
        <v>10414</v>
      </c>
      <c r="H241" s="35">
        <f>+'Entrate tot e finalizzati'!J241-'Entrate tot e finalizzati'!K241</f>
        <v>11169</v>
      </c>
      <c r="I241" s="35">
        <f>+'Entrate tot e finalizzati'!L241-'Entrate tot e finalizzati'!M241</f>
        <v>11903</v>
      </c>
      <c r="J241" s="33">
        <f>+'Entrate tot e finalizzati'!N241-'Entrate tot e finalizzati'!O241</f>
        <v>0</v>
      </c>
      <c r="K241" s="33">
        <f>+'Entrate tot e finalizzati'!P241-'Entrate tot e finalizzati'!Q241</f>
        <v>0</v>
      </c>
      <c r="L241" s="33">
        <f>+'Entrate tot e finalizzati'!R241-'Entrate tot e finalizzati'!S241</f>
        <v>0</v>
      </c>
      <c r="M241" s="33">
        <f>+'Entrate tot e finalizzati'!T241-'Entrate tot e finalizzati'!U241</f>
        <v>0</v>
      </c>
      <c r="N241" s="33">
        <f>+'Entrate tot e finalizzati'!V241-'Entrate tot e finalizzati'!W241</f>
        <v>0</v>
      </c>
    </row>
    <row r="242" spans="1:14" s="2" customFormat="1" ht="12.75">
      <c r="A242" s="69"/>
      <c r="B242" s="13" t="s">
        <v>88</v>
      </c>
      <c r="C242" s="51"/>
      <c r="D242" s="70"/>
      <c r="F242" s="52">
        <f>+'Entrate tot e finalizzati'!F242-'Entrate tot e finalizzati'!G242</f>
        <v>0</v>
      </c>
      <c r="G242" s="53">
        <f>+'Entrate tot e finalizzati'!H242-'Entrate tot e finalizzati'!I242</f>
        <v>0</v>
      </c>
      <c r="H242" s="52">
        <f>+'Entrate tot e finalizzati'!J242-'Entrate tot e finalizzati'!K242</f>
        <v>0</v>
      </c>
      <c r="I242" s="52">
        <f>+'Entrate tot e finalizzati'!L242-'Entrate tot e finalizzati'!M242</f>
        <v>0</v>
      </c>
      <c r="J242" s="53">
        <f>+'Entrate tot e finalizzati'!N242-'Entrate tot e finalizzati'!O242</f>
        <v>9883</v>
      </c>
      <c r="K242" s="53">
        <f>+'Entrate tot e finalizzati'!P242-'Entrate tot e finalizzati'!Q242</f>
        <v>11265</v>
      </c>
      <c r="L242" s="53">
        <f>+'Entrate tot e finalizzati'!R242-'Entrate tot e finalizzati'!S242</f>
        <v>13729</v>
      </c>
      <c r="M242" s="53">
        <f>+'Entrate tot e finalizzati'!T242-'Entrate tot e finalizzati'!U242</f>
        <v>19527</v>
      </c>
      <c r="N242" s="53">
        <f>+'Entrate tot e finalizzati'!V242-'Entrate tot e finalizzati'!W242</f>
        <v>20450</v>
      </c>
    </row>
    <row r="243" spans="1:14" s="2" customFormat="1" ht="12.75">
      <c r="A243" s="22"/>
      <c r="B243" s="13" t="s">
        <v>89</v>
      </c>
      <c r="C243" s="13"/>
      <c r="D243" s="14"/>
      <c r="E243"/>
      <c r="F243" s="35">
        <f>+'Entrate tot e finalizzati'!F243-'Entrate tot e finalizzati'!G243</f>
        <v>0</v>
      </c>
      <c r="G243" s="33">
        <f>+'Entrate tot e finalizzati'!H243-'Entrate tot e finalizzati'!I243</f>
        <v>0</v>
      </c>
      <c r="H243" s="35">
        <f>+'Entrate tot e finalizzati'!J243-'Entrate tot e finalizzati'!K243</f>
        <v>0</v>
      </c>
      <c r="I243" s="35">
        <f>+'Entrate tot e finalizzati'!L243-'Entrate tot e finalizzati'!M243</f>
        <v>0</v>
      </c>
      <c r="J243" s="33">
        <f>+'Entrate tot e finalizzati'!N243-'Entrate tot e finalizzati'!O243</f>
        <v>910</v>
      </c>
      <c r="K243" s="33">
        <f>+'Entrate tot e finalizzati'!P243-'Entrate tot e finalizzati'!Q243</f>
        <v>1713</v>
      </c>
      <c r="L243" s="33">
        <f>+'Entrate tot e finalizzati'!R243-'Entrate tot e finalizzati'!S243</f>
        <v>1405</v>
      </c>
      <c r="M243" s="33">
        <f>+'Entrate tot e finalizzati'!T243-'Entrate tot e finalizzati'!U243</f>
        <v>2174</v>
      </c>
      <c r="N243" s="33">
        <f>+'Entrate tot e finalizzati'!V243-'Entrate tot e finalizzati'!W243</f>
        <v>5382</v>
      </c>
    </row>
    <row r="244" spans="1:14" s="2" customFormat="1" ht="12.75">
      <c r="A244" s="162"/>
      <c r="B244" s="23" t="s">
        <v>91</v>
      </c>
      <c r="C244" s="82"/>
      <c r="D244" s="80"/>
      <c r="E244" s="85"/>
      <c r="F244" s="95">
        <f>+'Entrate tot e finalizzati'!F244-'Entrate tot e finalizzati'!G244</f>
        <v>0</v>
      </c>
      <c r="G244" s="54">
        <f>+'Entrate tot e finalizzati'!H244-'Entrate tot e finalizzati'!I244</f>
        <v>0</v>
      </c>
      <c r="H244" s="95">
        <f>+'Entrate tot e finalizzati'!J244-'Entrate tot e finalizzati'!K244</f>
        <v>0</v>
      </c>
      <c r="I244" s="95">
        <f>+'Entrate tot e finalizzati'!L244-'Entrate tot e finalizzati'!M244</f>
        <v>0</v>
      </c>
      <c r="J244" s="54">
        <f>+'Entrate tot e finalizzati'!N244-'Entrate tot e finalizzati'!O244</f>
        <v>0</v>
      </c>
      <c r="K244" s="54">
        <f>+'Entrate tot e finalizzati'!P244-'Entrate tot e finalizzati'!Q244</f>
        <v>1</v>
      </c>
      <c r="L244" s="54">
        <f>+'Entrate tot e finalizzati'!R244-'Entrate tot e finalizzati'!S244</f>
        <v>0</v>
      </c>
      <c r="M244" s="54">
        <f>+'Entrate tot e finalizzati'!T244-'Entrate tot e finalizzati'!U244</f>
        <v>0</v>
      </c>
      <c r="N244" s="54">
        <f>+'Entrate tot e finalizzati'!V244-'Entrate tot e finalizzati'!W244</f>
        <v>0</v>
      </c>
    </row>
    <row r="245" spans="1:14" s="2" customFormat="1" ht="12.75">
      <c r="A245" s="120" t="s">
        <v>19</v>
      </c>
      <c r="B245" s="121"/>
      <c r="C245" s="121"/>
      <c r="D245" s="122"/>
      <c r="E245" s="45"/>
      <c r="F245" s="49">
        <f>+F246+F250+F253+F259</f>
        <v>0</v>
      </c>
      <c r="G245" s="49">
        <f>+G246+G250+G253+G259</f>
        <v>0</v>
      </c>
      <c r="H245" s="49">
        <f>+H246+H250+H253+H259</f>
        <v>0</v>
      </c>
      <c r="I245" s="49">
        <f>+I246+I250+I253+I259</f>
        <v>0</v>
      </c>
      <c r="J245" s="49">
        <f>+J246+J250+J253+J259</f>
        <v>0</v>
      </c>
      <c r="K245" s="49">
        <f>+K246+K250+K253+K259+K257</f>
        <v>0</v>
      </c>
      <c r="L245" s="49">
        <f>+L246+L250+L253+L259+L257</f>
        <v>1</v>
      </c>
      <c r="M245" s="49">
        <f>+M246+M250+M253+M259+M257</f>
        <v>0</v>
      </c>
      <c r="N245" s="49">
        <f>+N246+N250+N253+N259+N257</f>
        <v>0</v>
      </c>
    </row>
    <row r="246" spans="1:14" ht="12.75">
      <c r="A246" s="101"/>
      <c r="B246" s="102" t="s">
        <v>3</v>
      </c>
      <c r="C246" s="102"/>
      <c r="D246" s="103"/>
      <c r="E246" s="37"/>
      <c r="F246" s="104">
        <f aca="true" t="shared" si="35" ref="F246:N246">SUM(F247:F249)</f>
        <v>0</v>
      </c>
      <c r="G246" s="104">
        <f t="shared" si="35"/>
        <v>0</v>
      </c>
      <c r="H246" s="104">
        <f t="shared" si="35"/>
        <v>0</v>
      </c>
      <c r="I246" s="104">
        <f t="shared" si="35"/>
        <v>0</v>
      </c>
      <c r="J246" s="104">
        <f t="shared" si="35"/>
        <v>0</v>
      </c>
      <c r="K246" s="104">
        <f t="shared" si="35"/>
        <v>0</v>
      </c>
      <c r="L246" s="104">
        <f t="shared" si="35"/>
        <v>0</v>
      </c>
      <c r="M246" s="104">
        <f t="shared" si="35"/>
        <v>0</v>
      </c>
      <c r="N246" s="104">
        <f t="shared" si="35"/>
        <v>0</v>
      </c>
    </row>
    <row r="247" spans="1:14" ht="12.75">
      <c r="A247" s="21"/>
      <c r="B247" s="13"/>
      <c r="C247" s="51" t="s">
        <v>135</v>
      </c>
      <c r="D247" s="20"/>
      <c r="F247" s="38">
        <f>+'Entrate tot e finalizzati'!F247-'Entrate tot e finalizzati'!G247</f>
        <v>0</v>
      </c>
      <c r="G247" s="38">
        <f>+'Entrate tot e finalizzati'!H247-'Entrate tot e finalizzati'!I247</f>
        <v>0</v>
      </c>
      <c r="H247" s="38">
        <f>+'Entrate tot e finalizzati'!J247-'Entrate tot e finalizzati'!K247</f>
        <v>0</v>
      </c>
      <c r="I247" s="38">
        <f>+'Entrate tot e finalizzati'!L247-'Entrate tot e finalizzati'!M247</f>
        <v>0</v>
      </c>
      <c r="J247" s="38">
        <f>+'Entrate tot e finalizzati'!N247-'Entrate tot e finalizzati'!O247</f>
        <v>0</v>
      </c>
      <c r="K247" s="38">
        <f>+'Entrate tot e finalizzati'!P247-'Entrate tot e finalizzati'!Q247</f>
        <v>0</v>
      </c>
      <c r="L247" s="38">
        <f>+'Entrate tot e finalizzati'!R247-'Entrate tot e finalizzati'!S247</f>
        <v>0</v>
      </c>
      <c r="M247" s="38">
        <f>+'Entrate tot e finalizzati'!T247-'Entrate tot e finalizzati'!U247</f>
        <v>0</v>
      </c>
      <c r="N247" s="38">
        <f>+'Entrate tot e finalizzati'!V247-'Entrate tot e finalizzati'!W247</f>
        <v>0</v>
      </c>
    </row>
    <row r="248" spans="1:14" ht="12.75">
      <c r="A248" s="21"/>
      <c r="B248" s="13"/>
      <c r="C248" s="7" t="s">
        <v>75</v>
      </c>
      <c r="D248" s="20"/>
      <c r="F248" s="38">
        <f>+'Entrate tot e finalizzati'!F248-'Entrate tot e finalizzati'!G248</f>
        <v>0</v>
      </c>
      <c r="G248" s="38">
        <f>+'Entrate tot e finalizzati'!H248-'Entrate tot e finalizzati'!I248</f>
        <v>0</v>
      </c>
      <c r="H248" s="38">
        <f>+'Entrate tot e finalizzati'!J248-'Entrate tot e finalizzati'!K248</f>
        <v>0</v>
      </c>
      <c r="I248" s="38">
        <f>+'Entrate tot e finalizzati'!L248-'Entrate tot e finalizzati'!M248</f>
        <v>0</v>
      </c>
      <c r="J248" s="38">
        <f>+'Entrate tot e finalizzati'!N248-'Entrate tot e finalizzati'!O248</f>
        <v>0</v>
      </c>
      <c r="K248" s="38">
        <f>+'Entrate tot e finalizzati'!P248-'Entrate tot e finalizzati'!Q248</f>
        <v>0</v>
      </c>
      <c r="L248" s="38">
        <f>+'Entrate tot e finalizzati'!R248-'Entrate tot e finalizzati'!S248</f>
        <v>0</v>
      </c>
      <c r="M248" s="38">
        <f>+'Entrate tot e finalizzati'!T248-'Entrate tot e finalizzati'!U248</f>
        <v>0</v>
      </c>
      <c r="N248" s="38">
        <f>+'Entrate tot e finalizzati'!V248-'Entrate tot e finalizzati'!W248</f>
        <v>0</v>
      </c>
    </row>
    <row r="249" spans="1:14" ht="12.75">
      <c r="A249" s="21"/>
      <c r="B249" s="13"/>
      <c r="C249" s="51" t="s">
        <v>141</v>
      </c>
      <c r="D249" s="20"/>
      <c r="F249" s="38">
        <f>+'Entrate tot e finalizzati'!F249-'Entrate tot e finalizzati'!G249</f>
        <v>0</v>
      </c>
      <c r="G249" s="38">
        <f>+'Entrate tot e finalizzati'!H249-'Entrate tot e finalizzati'!I249</f>
        <v>0</v>
      </c>
      <c r="H249" s="38">
        <f>+'Entrate tot e finalizzati'!J249-'Entrate tot e finalizzati'!K249</f>
        <v>0</v>
      </c>
      <c r="I249" s="38">
        <f>+'Entrate tot e finalizzati'!L249-'Entrate tot e finalizzati'!M249</f>
        <v>0</v>
      </c>
      <c r="J249" s="38">
        <f>+'Entrate tot e finalizzati'!N249-'Entrate tot e finalizzati'!O249</f>
        <v>0</v>
      </c>
      <c r="K249" s="38">
        <f>+'Entrate tot e finalizzati'!P249-'Entrate tot e finalizzati'!Q249</f>
        <v>0</v>
      </c>
      <c r="L249" s="38">
        <f>+'Entrate tot e finalizzati'!R249-'Entrate tot e finalizzati'!S249</f>
        <v>0</v>
      </c>
      <c r="M249" s="38">
        <f>+'Entrate tot e finalizzati'!T249-'Entrate tot e finalizzati'!U249</f>
        <v>0</v>
      </c>
      <c r="N249" s="38">
        <f>+'Entrate tot e finalizzati'!V249-'Entrate tot e finalizzati'!W249</f>
        <v>0</v>
      </c>
    </row>
    <row r="250" spans="1:14" ht="12.75">
      <c r="A250" s="101"/>
      <c r="B250" s="102" t="s">
        <v>4</v>
      </c>
      <c r="C250" s="102"/>
      <c r="D250" s="103"/>
      <c r="F250" s="104">
        <f aca="true" t="shared" si="36" ref="F250:N250">SUM(F251:F252)</f>
        <v>0</v>
      </c>
      <c r="G250" s="104">
        <f t="shared" si="36"/>
        <v>0</v>
      </c>
      <c r="H250" s="104">
        <f t="shared" si="36"/>
        <v>0</v>
      </c>
      <c r="I250" s="104">
        <f t="shared" si="36"/>
        <v>0</v>
      </c>
      <c r="J250" s="104">
        <f t="shared" si="36"/>
        <v>0</v>
      </c>
      <c r="K250" s="104">
        <f t="shared" si="36"/>
        <v>0</v>
      </c>
      <c r="L250" s="104">
        <f t="shared" si="36"/>
        <v>0</v>
      </c>
      <c r="M250" s="104">
        <f t="shared" si="36"/>
        <v>0</v>
      </c>
      <c r="N250" s="104">
        <f t="shared" si="36"/>
        <v>0</v>
      </c>
    </row>
    <row r="251" spans="1:14" s="27" customFormat="1" ht="12.75">
      <c r="A251" s="150"/>
      <c r="B251" s="7"/>
      <c r="C251" s="7" t="s">
        <v>75</v>
      </c>
      <c r="D251" s="29"/>
      <c r="F251" s="151">
        <f>+'Entrate tot e finalizzati'!F251-'Entrate tot e finalizzati'!G251</f>
        <v>0</v>
      </c>
      <c r="G251" s="151">
        <f>+'Entrate tot e finalizzati'!H251-'Entrate tot e finalizzati'!I251</f>
        <v>0</v>
      </c>
      <c r="H251" s="151">
        <f>+'Entrate tot e finalizzati'!J251-'Entrate tot e finalizzati'!K251</f>
        <v>0</v>
      </c>
      <c r="I251" s="151">
        <f>+'Entrate tot e finalizzati'!L251-'Entrate tot e finalizzati'!M251</f>
        <v>0</v>
      </c>
      <c r="J251" s="151">
        <f>+'Entrate tot e finalizzati'!N251-'Entrate tot e finalizzati'!O251</f>
        <v>0</v>
      </c>
      <c r="K251" s="35">
        <f>+'Entrate tot e finalizzati'!P251-'Entrate tot e finalizzati'!Q251</f>
        <v>0</v>
      </c>
      <c r="L251" s="35">
        <f>+'Entrate tot e finalizzati'!R251-'Entrate tot e finalizzati'!S251</f>
        <v>0</v>
      </c>
      <c r="M251" s="35">
        <f>+'Entrate tot e finalizzati'!T251-'Entrate tot e finalizzati'!U251</f>
        <v>0</v>
      </c>
      <c r="N251" s="35">
        <f>+'Entrate tot e finalizzati'!V251-'Entrate tot e finalizzati'!W251</f>
        <v>0</v>
      </c>
    </row>
    <row r="252" spans="1:14" ht="12.75">
      <c r="A252" s="21"/>
      <c r="B252" s="13"/>
      <c r="C252" s="51" t="s">
        <v>135</v>
      </c>
      <c r="D252" s="20"/>
      <c r="F252" s="38">
        <f>+'Entrate tot e finalizzati'!F252-'Entrate tot e finalizzati'!G252</f>
        <v>0</v>
      </c>
      <c r="G252" s="38">
        <f>+'Entrate tot e finalizzati'!H252-'Entrate tot e finalizzati'!I252</f>
        <v>0</v>
      </c>
      <c r="H252" s="38">
        <f>+'Entrate tot e finalizzati'!J252-'Entrate tot e finalizzati'!K252</f>
        <v>0</v>
      </c>
      <c r="I252" s="38">
        <f>+'Entrate tot e finalizzati'!L252-'Entrate tot e finalizzati'!M252</f>
        <v>0</v>
      </c>
      <c r="J252" s="38">
        <f>+'Entrate tot e finalizzati'!N252-'Entrate tot e finalizzati'!O252</f>
        <v>0</v>
      </c>
      <c r="K252" s="38">
        <f>+'Entrate tot e finalizzati'!P252-'Entrate tot e finalizzati'!Q252</f>
        <v>0</v>
      </c>
      <c r="L252" s="38">
        <f>+'Entrate tot e finalizzati'!R252-'Entrate tot e finalizzati'!S252</f>
        <v>0</v>
      </c>
      <c r="M252" s="38">
        <f>+'Entrate tot e finalizzati'!T252-'Entrate tot e finalizzati'!U252</f>
        <v>0</v>
      </c>
      <c r="N252" s="38">
        <f>+'Entrate tot e finalizzati'!V252-'Entrate tot e finalizzati'!W252</f>
        <v>0</v>
      </c>
    </row>
    <row r="253" spans="1:14" ht="12.75">
      <c r="A253" s="101"/>
      <c r="B253" s="102" t="s">
        <v>5</v>
      </c>
      <c r="C253" s="102"/>
      <c r="D253" s="103"/>
      <c r="F253" s="104">
        <f>SUM(F255:F256)</f>
        <v>0</v>
      </c>
      <c r="G253" s="104">
        <f>SUM(G255:G256)</f>
        <v>0</v>
      </c>
      <c r="H253" s="104">
        <f>SUM(H255:H256)</f>
        <v>0</v>
      </c>
      <c r="I253" s="104">
        <f>SUM(I255:I256)</f>
        <v>0</v>
      </c>
      <c r="J253" s="104">
        <f>SUM(J255:J256)</f>
        <v>0</v>
      </c>
      <c r="K253" s="104">
        <f>SUM(K254:K256)</f>
        <v>0</v>
      </c>
      <c r="L253" s="104">
        <f>SUM(L254:L256)</f>
        <v>0</v>
      </c>
      <c r="M253" s="104">
        <f>SUM(M254:M256)</f>
        <v>0</v>
      </c>
      <c r="N253" s="104">
        <f>SUM(N254:N256)</f>
        <v>0</v>
      </c>
    </row>
    <row r="254" spans="1:14" s="27" customFormat="1" ht="12.75">
      <c r="A254" s="150"/>
      <c r="B254" s="7"/>
      <c r="C254" s="50" t="s">
        <v>75</v>
      </c>
      <c r="D254" s="29"/>
      <c r="F254" s="151">
        <f>+'Entrate tot e finalizzati'!F254-'Entrate tot e finalizzati'!G254</f>
        <v>0</v>
      </c>
      <c r="G254" s="151">
        <f>+'Entrate tot e finalizzati'!H254-'Entrate tot e finalizzati'!I254</f>
        <v>0</v>
      </c>
      <c r="H254" s="151">
        <f>+'Entrate tot e finalizzati'!J254-'Entrate tot e finalizzati'!K254</f>
        <v>0</v>
      </c>
      <c r="I254" s="151">
        <f>+'Entrate tot e finalizzati'!L254-'Entrate tot e finalizzati'!M254</f>
        <v>0</v>
      </c>
      <c r="J254" s="151">
        <f>+'Entrate tot e finalizzati'!N254-'Entrate tot e finalizzati'!O254</f>
        <v>0</v>
      </c>
      <c r="K254" s="151">
        <f>+'Entrate tot e finalizzati'!P254-'Entrate tot e finalizzati'!Q254</f>
        <v>0</v>
      </c>
      <c r="L254" s="35">
        <f>+'Entrate tot e finalizzati'!R254-'Entrate tot e finalizzati'!S254</f>
        <v>0</v>
      </c>
      <c r="M254" s="35">
        <f>+'Entrate tot e finalizzati'!T254-'Entrate tot e finalizzati'!U254</f>
        <v>0</v>
      </c>
      <c r="N254" s="35">
        <f>+'Entrate tot e finalizzati'!V254-'Entrate tot e finalizzati'!W254</f>
        <v>0</v>
      </c>
    </row>
    <row r="255" spans="1:14" s="27" customFormat="1" ht="12.75">
      <c r="A255" s="150"/>
      <c r="B255" s="7"/>
      <c r="C255" s="50" t="s">
        <v>141</v>
      </c>
      <c r="D255" s="29"/>
      <c r="F255" s="151">
        <f>+'Entrate tot e finalizzati'!F255-'Entrate tot e finalizzati'!G255</f>
        <v>0</v>
      </c>
      <c r="G255" s="151">
        <f>+'Entrate tot e finalizzati'!H255-'Entrate tot e finalizzati'!I255</f>
        <v>0</v>
      </c>
      <c r="H255" s="151">
        <f>+'Entrate tot e finalizzati'!J255-'Entrate tot e finalizzati'!K255</f>
        <v>0</v>
      </c>
      <c r="I255" s="151">
        <f>+'Entrate tot e finalizzati'!L255-'Entrate tot e finalizzati'!M255</f>
        <v>0</v>
      </c>
      <c r="J255" s="151">
        <f>+'Entrate tot e finalizzati'!N255-'Entrate tot e finalizzati'!O255</f>
        <v>0</v>
      </c>
      <c r="K255" s="151">
        <f>+'Entrate tot e finalizzati'!P255-'Entrate tot e finalizzati'!Q255</f>
        <v>0</v>
      </c>
      <c r="L255" s="35">
        <f>+'Entrate tot e finalizzati'!R255-'Entrate tot e finalizzati'!S255</f>
        <v>0</v>
      </c>
      <c r="M255" s="35">
        <f>+'Entrate tot e finalizzati'!T255-'Entrate tot e finalizzati'!U255</f>
        <v>0</v>
      </c>
      <c r="N255" s="35">
        <f>+'Entrate tot e finalizzati'!V255-'Entrate tot e finalizzati'!W255</f>
        <v>0</v>
      </c>
    </row>
    <row r="256" spans="1:14" ht="12.75">
      <c r="A256" s="21"/>
      <c r="B256" s="13"/>
      <c r="C256" s="50" t="s">
        <v>24</v>
      </c>
      <c r="D256" s="20"/>
      <c r="F256" s="38">
        <f>+'Entrate tot e finalizzati'!F256-'Entrate tot e finalizzati'!G256</f>
        <v>0</v>
      </c>
      <c r="G256" s="38">
        <f>+'Entrate tot e finalizzati'!H256-'Entrate tot e finalizzati'!I256</f>
        <v>0</v>
      </c>
      <c r="H256" s="38">
        <f>+'Entrate tot e finalizzati'!J256-'Entrate tot e finalizzati'!K256</f>
        <v>0</v>
      </c>
      <c r="I256" s="38">
        <f>+'Entrate tot e finalizzati'!L256-'Entrate tot e finalizzati'!M256</f>
        <v>0</v>
      </c>
      <c r="J256" s="38">
        <f>+'Entrate tot e finalizzati'!N256-'Entrate tot e finalizzati'!O256</f>
        <v>0</v>
      </c>
      <c r="K256" s="38">
        <f>+'Entrate tot e finalizzati'!P256-'Entrate tot e finalizzati'!Q256</f>
        <v>0</v>
      </c>
      <c r="L256" s="38">
        <f>+'Entrate tot e finalizzati'!R256-'Entrate tot e finalizzati'!S256</f>
        <v>0</v>
      </c>
      <c r="M256" s="38">
        <f>+'Entrate tot e finalizzati'!T256-'Entrate tot e finalizzati'!U256</f>
        <v>0</v>
      </c>
      <c r="N256" s="38">
        <f>+'Entrate tot e finalizzati'!V256-'Entrate tot e finalizzati'!W256</f>
        <v>0</v>
      </c>
    </row>
    <row r="257" spans="1:14" ht="12.75">
      <c r="A257" s="101"/>
      <c r="B257" s="102" t="s">
        <v>134</v>
      </c>
      <c r="C257" s="102"/>
      <c r="D257" s="103"/>
      <c r="F257" s="104"/>
      <c r="G257" s="104"/>
      <c r="H257" s="104"/>
      <c r="I257" s="104"/>
      <c r="J257" s="104"/>
      <c r="K257" s="104">
        <f>+K258</f>
        <v>0</v>
      </c>
      <c r="L257" s="104">
        <f>+L258</f>
        <v>0</v>
      </c>
      <c r="M257" s="104">
        <f>+M258</f>
        <v>0</v>
      </c>
      <c r="N257" s="104">
        <f>+N258</f>
        <v>0</v>
      </c>
    </row>
    <row r="258" spans="1:14" ht="12.75">
      <c r="A258" s="21"/>
      <c r="B258" s="13"/>
      <c r="C258" s="50" t="s">
        <v>75</v>
      </c>
      <c r="D258" s="20"/>
      <c r="F258" s="38">
        <f>+'Entrate tot e finalizzati'!F258-'Entrate tot e finalizzati'!G258</f>
        <v>0</v>
      </c>
      <c r="G258" s="38">
        <f>+'Entrate tot e finalizzati'!H258-'Entrate tot e finalizzati'!I258</f>
        <v>0</v>
      </c>
      <c r="H258" s="38">
        <f>+'Entrate tot e finalizzati'!J258-'Entrate tot e finalizzati'!K258</f>
        <v>0</v>
      </c>
      <c r="I258" s="38">
        <f>+'Entrate tot e finalizzati'!L258-'Entrate tot e finalizzati'!M258</f>
        <v>0</v>
      </c>
      <c r="J258" s="38">
        <f>+'Entrate tot e finalizzati'!N258-'Entrate tot e finalizzati'!O258</f>
        <v>0</v>
      </c>
      <c r="K258" s="38">
        <f>+'Entrate tot e finalizzati'!P258-'Entrate tot e finalizzati'!Q258</f>
        <v>0</v>
      </c>
      <c r="L258" s="38">
        <f>+'Entrate tot e finalizzati'!R258-'Entrate tot e finalizzati'!S258</f>
        <v>0</v>
      </c>
      <c r="M258" s="38">
        <f>+'Entrate tot e finalizzati'!T258-'Entrate tot e finalizzati'!U258</f>
        <v>0</v>
      </c>
      <c r="N258" s="38">
        <f>+'Entrate tot e finalizzati'!V258-'Entrate tot e finalizzati'!W258</f>
        <v>0</v>
      </c>
    </row>
    <row r="259" spans="1:14" ht="12.75">
      <c r="A259" s="101"/>
      <c r="B259" s="102" t="s">
        <v>6</v>
      </c>
      <c r="C259" s="102"/>
      <c r="D259" s="103"/>
      <c r="F259" s="104">
        <f aca="true" t="shared" si="37" ref="F259:N259">SUM(F260:F261)</f>
        <v>0</v>
      </c>
      <c r="G259" s="104">
        <f t="shared" si="37"/>
        <v>0</v>
      </c>
      <c r="H259" s="104">
        <f t="shared" si="37"/>
        <v>0</v>
      </c>
      <c r="I259" s="104">
        <f t="shared" si="37"/>
        <v>0</v>
      </c>
      <c r="J259" s="104">
        <f t="shared" si="37"/>
        <v>0</v>
      </c>
      <c r="K259" s="104">
        <f t="shared" si="37"/>
        <v>0</v>
      </c>
      <c r="L259" s="104">
        <f t="shared" si="37"/>
        <v>1</v>
      </c>
      <c r="M259" s="104">
        <f t="shared" si="37"/>
        <v>0</v>
      </c>
      <c r="N259" s="104">
        <f t="shared" si="37"/>
        <v>0</v>
      </c>
    </row>
    <row r="260" spans="1:14" s="27" customFormat="1" ht="12.75">
      <c r="A260" s="150"/>
      <c r="B260" s="7"/>
      <c r="C260" s="50" t="s">
        <v>44</v>
      </c>
      <c r="D260" s="29"/>
      <c r="F260" s="151">
        <f>+'Entrate tot e finalizzati'!F260-'Entrate tot e finalizzati'!G260</f>
        <v>0</v>
      </c>
      <c r="G260" s="151">
        <f>+'Entrate tot e finalizzati'!H260-'Entrate tot e finalizzati'!I260</f>
        <v>0</v>
      </c>
      <c r="H260" s="151">
        <f>+'Entrate tot e finalizzati'!J260-'Entrate tot e finalizzati'!K260</f>
        <v>0</v>
      </c>
      <c r="I260" s="151">
        <f>+'Entrate tot e finalizzati'!L260-'Entrate tot e finalizzati'!M260</f>
        <v>0</v>
      </c>
      <c r="J260" s="151">
        <f>+'Entrate tot e finalizzati'!N260-'Entrate tot e finalizzati'!O260</f>
        <v>0</v>
      </c>
      <c r="K260" s="151">
        <f>+'Entrate tot e finalizzati'!P260-'Entrate tot e finalizzati'!Q260</f>
        <v>0</v>
      </c>
      <c r="L260" s="35">
        <f>+'Entrate tot e finalizzati'!R260-'Entrate tot e finalizzati'!S260</f>
        <v>1</v>
      </c>
      <c r="M260" s="35">
        <f>+'Entrate tot e finalizzati'!T260-'Entrate tot e finalizzati'!U260</f>
        <v>0</v>
      </c>
      <c r="N260" s="35">
        <f>+'Entrate tot e finalizzati'!V260-'Entrate tot e finalizzati'!W260</f>
        <v>0</v>
      </c>
    </row>
    <row r="261" spans="1:14" ht="12.75">
      <c r="A261" s="21"/>
      <c r="B261" s="13"/>
      <c r="C261" s="7" t="s">
        <v>75</v>
      </c>
      <c r="D261" s="20"/>
      <c r="F261" s="38">
        <f>+'Entrate tot e finalizzati'!F261-'Entrate tot e finalizzati'!G261</f>
        <v>0</v>
      </c>
      <c r="G261" s="38">
        <f>+'Entrate tot e finalizzati'!H261-'Entrate tot e finalizzati'!I261</f>
        <v>0</v>
      </c>
      <c r="H261" s="38">
        <f>+'Entrate tot e finalizzati'!J261-'Entrate tot e finalizzati'!K261</f>
        <v>0</v>
      </c>
      <c r="I261" s="38">
        <f>+'Entrate tot e finalizzati'!L261-'Entrate tot e finalizzati'!M261</f>
        <v>0</v>
      </c>
      <c r="J261" s="38">
        <f>+'Entrate tot e finalizzati'!N261-'Entrate tot e finalizzati'!O261</f>
        <v>0</v>
      </c>
      <c r="K261" s="38">
        <f>+'Entrate tot e finalizzati'!P261-'Entrate tot e finalizzati'!Q261</f>
        <v>0</v>
      </c>
      <c r="L261" s="38">
        <f>+'Entrate tot e finalizzati'!R261-'Entrate tot e finalizzati'!S261</f>
        <v>0</v>
      </c>
      <c r="M261" s="38">
        <f>+'Entrate tot e finalizzati'!T261-'Entrate tot e finalizzati'!U261</f>
        <v>0</v>
      </c>
      <c r="N261" s="38">
        <f>+'Entrate tot e finalizzati'!V261-'Entrate tot e finalizzati'!W261</f>
        <v>0</v>
      </c>
    </row>
    <row r="262" spans="1:14" ht="15.75">
      <c r="A262" s="88" t="s">
        <v>8</v>
      </c>
      <c r="B262" s="89"/>
      <c r="C262" s="89"/>
      <c r="D262" s="90"/>
      <c r="E262" s="91"/>
      <c r="F262" s="136">
        <f aca="true" t="shared" si="38" ref="F262:N262">+F245+F234+F220+F186+F153+F115+F107+F52+F45+F41+F33+F29+F26+F24+F18+F12+F10+F8</f>
        <v>397226</v>
      </c>
      <c r="G262" s="136">
        <f t="shared" si="38"/>
        <v>410706</v>
      </c>
      <c r="H262" s="136">
        <f t="shared" si="38"/>
        <v>408658</v>
      </c>
      <c r="I262" s="136">
        <f t="shared" si="38"/>
        <v>418336</v>
      </c>
      <c r="J262" s="136">
        <f t="shared" si="38"/>
        <v>435757</v>
      </c>
      <c r="K262" s="136">
        <f t="shared" si="38"/>
        <v>450308</v>
      </c>
      <c r="L262" s="136">
        <f t="shared" si="38"/>
        <v>472209</v>
      </c>
      <c r="M262" s="136">
        <f t="shared" si="38"/>
        <v>476074</v>
      </c>
      <c r="N262" s="136">
        <f t="shared" si="38"/>
        <v>487855</v>
      </c>
    </row>
    <row r="263" spans="2:14" s="2" customFormat="1" ht="20.25" customHeight="1">
      <c r="B263" s="105"/>
      <c r="C263" s="105"/>
      <c r="D263" s="105"/>
      <c r="E263" s="92"/>
      <c r="F263" s="106"/>
      <c r="G263" s="106"/>
      <c r="H263" s="106"/>
      <c r="I263" s="106"/>
      <c r="J263" s="106"/>
      <c r="K263" s="106"/>
      <c r="L263" s="106"/>
      <c r="M263" s="106"/>
      <c r="N263" s="106"/>
    </row>
    <row r="264" ht="12.75">
      <c r="A264" s="148" t="s">
        <v>92</v>
      </c>
    </row>
    <row r="449" ht="12.75">
      <c r="F449" s="5" t="s">
        <v>9</v>
      </c>
    </row>
  </sheetData>
  <printOptions/>
  <pageMargins left="0.51" right="0.21" top="0.42" bottom="0.36" header="0.26" footer="0.19"/>
  <pageSetup horizontalDpi="600" verticalDpi="600" orientation="landscape" paperSize="9" scale="95" r:id="rId1"/>
  <rowBreaks count="7" manualBreakCount="7">
    <brk id="44" max="13" man="1"/>
    <brk id="72" max="13" man="1"/>
    <brk id="106" max="13" man="1"/>
    <brk id="139" max="13" man="1"/>
    <brk id="177" max="13" man="1"/>
    <brk id="212" max="13" man="1"/>
    <brk id="2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eraggi</cp:lastModifiedBy>
  <cp:lastPrinted>2006-06-07T07:27:48Z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