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4865" windowHeight="8385" tabRatio="601" activeTab="0"/>
  </bookViews>
  <sheets>
    <sheet name="Cons spec tot e finalizzati" sheetId="1" r:id="rId1"/>
    <sheet name="Cons spec netti " sheetId="2" r:id="rId2"/>
    <sheet name="DIR GEN" sheetId="3" r:id="rId3"/>
    <sheet name="Gabinetto" sheetId="4" r:id="rId4"/>
    <sheet name="Politiche sicurezza" sheetId="5" r:id="rId5"/>
    <sheet name="Staff del Consiglio" sheetId="6" r:id="rId6"/>
    <sheet name="Partecipazione soc" sheetId="7" r:id="rId7"/>
    <sheet name="Legale" sheetId="8" r:id="rId8"/>
    <sheet name="Segreteria gen" sheetId="9" r:id="rId9"/>
    <sheet name="Segretario gen " sheetId="10" r:id="rId10"/>
    <sheet name="Staff Amm Gare" sheetId="11" r:id="rId11"/>
    <sheet name="Affari ist" sheetId="12" r:id="rId12"/>
    <sheet name="Area Finanza" sheetId="13" r:id="rId13"/>
    <sheet name="Ragioneria" sheetId="14" r:id="rId14"/>
    <sheet name="Entrate" sheetId="15" r:id="rId15"/>
    <sheet name="Patrimonio" sheetId="16" r:id="rId16"/>
    <sheet name="Acquisti" sheetId="17" r:id="rId17"/>
    <sheet name="Personale " sheetId="18" r:id="rId18"/>
    <sheet name="P&amp;C" sheetId="19" r:id="rId19"/>
    <sheet name="Sistemi info" sheetId="20" r:id="rId20"/>
    <sheet name="LLPP" sheetId="21" r:id="rId21"/>
    <sheet name="Area servizi" sheetId="22" r:id="rId22"/>
    <sheet name="Salute" sheetId="23" r:id="rId23"/>
    <sheet name="Servizi sociali" sheetId="24" r:id="rId24"/>
    <sheet name="Istruzione" sheetId="25" r:id="rId25"/>
    <sheet name="Area saperi" sheetId="26" r:id="rId26"/>
    <sheet name="Nuove istituzioni" sheetId="27" r:id="rId27"/>
    <sheet name="Cultura" sheetId="28" r:id="rId28"/>
    <sheet name="Economia" sheetId="29" r:id="rId29"/>
    <sheet name="Sport" sheetId="30" r:id="rId30"/>
    <sheet name="Area Urbanistica" sheetId="31" r:id="rId31"/>
    <sheet name="Dir Area Urbanistica " sheetId="32" r:id="rId32"/>
    <sheet name="Programmi urb" sheetId="33" r:id="rId33"/>
    <sheet name="Mobilità" sheetId="34" r:id="rId34"/>
    <sheet name="Interventi casa" sheetId="35" r:id="rId35"/>
    <sheet name="Ambiente " sheetId="36" r:id="rId36"/>
    <sheet name="Area Comunicazione" sheetId="37" r:id="rId37"/>
    <sheet name="Comunicazione " sheetId="38" r:id="rId38"/>
    <sheet name="Sportello imprese" sheetId="39" r:id="rId39"/>
    <sheet name="Servizi demografici" sheetId="40" r:id="rId40"/>
    <sheet name="PM" sheetId="41" r:id="rId41"/>
    <sheet name="Quartieri" sheetId="42" r:id="rId42"/>
    <sheet name="TOTALE CS" sheetId="43" r:id="rId43"/>
  </sheets>
  <externalReferences>
    <externalReference r:id="rId46"/>
  </externalReferences>
  <definedNames>
    <definedName name="_xlnm.Print_Area" localSheetId="16">'Acquisti'!$I$1:$W$17</definedName>
    <definedName name="_xlnm.Print_Area" localSheetId="11">'Affari ist'!$I$1:$W$17</definedName>
    <definedName name="_xlnm.Print_Area" localSheetId="35">'Ambiente '!$I$1:$W$17</definedName>
    <definedName name="_xlnm.Print_Area" localSheetId="36">'Area Comunicazione'!$I$1:$W$17</definedName>
    <definedName name="_xlnm.Print_Area" localSheetId="12">'Area Finanza'!$I$1:$W$17</definedName>
    <definedName name="_xlnm.Print_Area" localSheetId="25">'Area saperi'!$I$1:$W$17</definedName>
    <definedName name="_xlnm.Print_Area" localSheetId="21">'Area servizi'!$I$1:$W$17</definedName>
    <definedName name="_xlnm.Print_Area" localSheetId="30">'Area Urbanistica'!$I$1:$W$17</definedName>
    <definedName name="_xlnm.Print_Area" localSheetId="37">'Comunicazione '!$I$1:$W$17</definedName>
    <definedName name="_xlnm.Print_Area" localSheetId="1">'Cons spec netti '!$A$1:$M$242</definedName>
    <definedName name="_xlnm.Print_Area" localSheetId="0">'Cons spec tot e finalizzati'!$A$1:$U$242</definedName>
    <definedName name="_xlnm.Print_Area" localSheetId="27">'Cultura'!$I$1:$W$17</definedName>
    <definedName name="_xlnm.Print_Area" localSheetId="31">'Dir Area Urbanistica '!$I$1:$W$17</definedName>
    <definedName name="_xlnm.Print_Area" localSheetId="2">'DIR GEN'!$I$1:$W$17</definedName>
    <definedName name="_xlnm.Print_Area" localSheetId="28">'Economia'!$I$1:$W$17</definedName>
    <definedName name="_xlnm.Print_Area" localSheetId="14">'Entrate'!$I$1:$W$17</definedName>
    <definedName name="_xlnm.Print_Area" localSheetId="3">'Gabinetto'!$I$1:$W$17</definedName>
    <definedName name="_xlnm.Print_Area" localSheetId="34">'Interventi casa'!$I$1:$W$17</definedName>
    <definedName name="_xlnm.Print_Area" localSheetId="24">'Istruzione'!$I$1:$W$17</definedName>
    <definedName name="_xlnm.Print_Area" localSheetId="7">'Legale'!$I$1:$W$17</definedName>
    <definedName name="_xlnm.Print_Area" localSheetId="20">'LLPP'!$I$1:$W$17</definedName>
    <definedName name="_xlnm.Print_Area" localSheetId="33">'Mobilità'!$I$1:$W$17</definedName>
    <definedName name="_xlnm.Print_Area" localSheetId="26">'Nuove istituzioni'!$I$1:$W$17</definedName>
    <definedName name="_xlnm.Print_Area" localSheetId="18">'P&amp;C'!$I$1:$W$17</definedName>
    <definedName name="_xlnm.Print_Area" localSheetId="6">'Partecipazione soc'!$I$1:$W$17</definedName>
    <definedName name="_xlnm.Print_Area" localSheetId="15">'Patrimonio'!$I$1:$W$17</definedName>
    <definedName name="_xlnm.Print_Area" localSheetId="17">'Personale '!$I$1:$W$17</definedName>
    <definedName name="_xlnm.Print_Area" localSheetId="40">'PM'!$I$1:$W$17</definedName>
    <definedName name="_xlnm.Print_Area" localSheetId="4">'Politiche sicurezza'!$I$1:$W$17</definedName>
    <definedName name="_xlnm.Print_Area" localSheetId="32">'Programmi urb'!$I$1:$W$17</definedName>
    <definedName name="_xlnm.Print_Area" localSheetId="41">'Quartieri'!$I$1:$W$17</definedName>
    <definedName name="_xlnm.Print_Area" localSheetId="13">'Ragioneria'!$I$1:$W$17</definedName>
    <definedName name="_xlnm.Print_Area" localSheetId="22">'Salute'!$I$1:$W$17</definedName>
    <definedName name="_xlnm.Print_Area" localSheetId="9">'Segretario gen '!$I$1:$W$17</definedName>
    <definedName name="_xlnm.Print_Area" localSheetId="8">'Segreteria gen'!$I$1:$W$17</definedName>
    <definedName name="_xlnm.Print_Area" localSheetId="39">'Servizi demografici'!$I$1:$W$17</definedName>
    <definedName name="_xlnm.Print_Area" localSheetId="23">'Servizi sociali'!$I$1:$W$17</definedName>
    <definedName name="_xlnm.Print_Area" localSheetId="19">'Sistemi info'!$I$1:$W$17</definedName>
    <definedName name="_xlnm.Print_Area" localSheetId="29">'Sport'!$I$1:$W$17</definedName>
    <definedName name="_xlnm.Print_Area" localSheetId="38">'Sportello imprese'!$I$1:$W$17</definedName>
    <definedName name="_xlnm.Print_Area" localSheetId="10">'Staff Amm Gare'!$I$1:$W$17</definedName>
    <definedName name="_xlnm.Print_Area" localSheetId="5">'Staff del Consiglio'!$I$1:$W$17</definedName>
    <definedName name="_xlnm.Print_Area" localSheetId="42">'TOTALE CS'!$I$1:$W$17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'Cons spec netti '!$6:$8</definedName>
    <definedName name="_xlnm.Print_Titles" localSheetId="0">'Cons spec tot e finalizzati'!$6:$8</definedName>
  </definedNames>
  <calcPr fullCalcOnLoad="1"/>
</workbook>
</file>

<file path=xl/sharedStrings.xml><?xml version="1.0" encoding="utf-8"?>
<sst xmlns="http://schemas.openxmlformats.org/spreadsheetml/2006/main" count="712" uniqueCount="193">
  <si>
    <t>DIREZIONE GENERALE</t>
  </si>
  <si>
    <t>GABINETTO</t>
  </si>
  <si>
    <t>UFFICIO STAMPA</t>
  </si>
  <si>
    <t>CERIMONIALE</t>
  </si>
  <si>
    <t>STAFF CONSIGLIO</t>
  </si>
  <si>
    <t>PROTEZIONE CIVILE</t>
  </si>
  <si>
    <t>DIREZIONE, AMMINISTRAZIONE/ALTRO</t>
  </si>
  <si>
    <t>PROTOCOLLO ARCHIVIO</t>
  </si>
  <si>
    <t xml:space="preserve"> ACQUISTI</t>
  </si>
  <si>
    <t>DIREZIONE, AMMINISTRAZIONE, CDG/ALTRO</t>
  </si>
  <si>
    <t>GESTIONE ACQUISTI - FORNITORI</t>
  </si>
  <si>
    <t>STUDI E INTERVENTI STORICO MONUMENTALI</t>
  </si>
  <si>
    <t>EDILIZIA PUBBLICA</t>
  </si>
  <si>
    <t>MANUTENZIONE VERDE</t>
  </si>
  <si>
    <t>MANUTENZIONE ILLUMINAZIONE PUBBLICA</t>
  </si>
  <si>
    <t xml:space="preserve">MANUTENZIONE SEGNALETICA E SEMAFORI </t>
  </si>
  <si>
    <t>PERSONALE E ORGANIZZAZIONE</t>
  </si>
  <si>
    <t>PERSONALE E ORGANIZZAZIONE NON GESTITI</t>
  </si>
  <si>
    <t>PROGETTAZIONE E SVILUPPO</t>
  </si>
  <si>
    <t>BIBLIOTECA DELL'ARCHIGINNASIO</t>
  </si>
  <si>
    <t>MUSEO ARCHEOLOGICO</t>
  </si>
  <si>
    <t>MUSEI CIVICI DI ARTE ANTICA</t>
  </si>
  <si>
    <t>ISTITUZIONE CINETECA</t>
  </si>
  <si>
    <t xml:space="preserve">ISTITUZIONE GALLERIA D'ARTE MODERNA </t>
  </si>
  <si>
    <t>MUSEO DEL PATRIMONIO INDUSTRIALE</t>
  </si>
  <si>
    <t>ENTI CULTURALI NON GESTITI</t>
  </si>
  <si>
    <t>SPORT</t>
  </si>
  <si>
    <t>STUDI, PIANIFICAZIONE E PROGETTAZIONE</t>
  </si>
  <si>
    <t>DIREZIONE, AMMINISTRAZIONE E CDG/ALTRO</t>
  </si>
  <si>
    <t>SANITA' E IGIENE PUBBLICA</t>
  </si>
  <si>
    <t>SERVIZI A MINORI E FAMIGLIE</t>
  </si>
  <si>
    <t>SERVIZI SOCIALI PER ADULTI</t>
  </si>
  <si>
    <t>SISTEMA INFORMATIVO TERRITORIALE</t>
  </si>
  <si>
    <t>STATO CIVILE</t>
  </si>
  <si>
    <t>ELETTORALE</t>
  </si>
  <si>
    <t>QUARTIERE BORGO PANIGALE</t>
  </si>
  <si>
    <t>DIREZIONE, AFFARI GENERALI E ISTITUZIONALI</t>
  </si>
  <si>
    <t>SERVIZI SOCIO-ASSISTENZIALI</t>
  </si>
  <si>
    <t>COORDINAMENTO SERVIZI SCOLASTICI</t>
  </si>
  <si>
    <t>SCUOLA DELL'INFANZIA</t>
  </si>
  <si>
    <t>QUARTIERE NAVILE</t>
  </si>
  <si>
    <t>QUARTIERE PORTO</t>
  </si>
  <si>
    <t>QUARTIERE RENO</t>
  </si>
  <si>
    <t>QUARTIERE S.DONATO</t>
  </si>
  <si>
    <t>QUARTIERE S.STEFANO</t>
  </si>
  <si>
    <t>QUARTIERE S.VITALE</t>
  </si>
  <si>
    <t>QUARTIERE SARAGOZZA</t>
  </si>
  <si>
    <t>QUARTIERE SAVENA</t>
  </si>
  <si>
    <t>IN MIGLIAIA DI EURO</t>
  </si>
  <si>
    <t>TOTALE</t>
  </si>
  <si>
    <t>+</t>
  </si>
  <si>
    <t>TOT</t>
  </si>
  <si>
    <t>RELAZIONI SINDACALI E ORGANIZZAZIONE</t>
  </si>
  <si>
    <t>TEATRI, SPETTACOLO E PROMOZ. GIOVANI ARTISTI E LL.FF.AA.</t>
  </si>
  <si>
    <t>Indice inflazione</t>
  </si>
  <si>
    <t>CONTROLLO E SEGNALETICA</t>
  </si>
  <si>
    <t>CONS</t>
  </si>
  <si>
    <t>Consumi specifici finalizzati</t>
  </si>
  <si>
    <t>Indice consumi specifici netti</t>
  </si>
  <si>
    <t>STATISTICA</t>
  </si>
  <si>
    <t>UNITA' GIURIDICO-AMINISTRATIVA</t>
  </si>
  <si>
    <t>EDILIZIA</t>
  </si>
  <si>
    <t>Consumi specifici netti</t>
  </si>
  <si>
    <t>AUTORIZZAZIONI, LICENZE E COORDINAMENTO INTERVENTI</t>
  </si>
  <si>
    <t>STAFF DEL DIRETTORE GENERALE</t>
  </si>
  <si>
    <t>SEGRETERIE DELL'ESECUTIVO</t>
  </si>
  <si>
    <t>COORDINAMENTO QUARTIERI</t>
  </si>
  <si>
    <t xml:space="preserve">RAGIONERIA </t>
  </si>
  <si>
    <t>ENTRATE</t>
  </si>
  <si>
    <t>QUALITA'</t>
  </si>
  <si>
    <t>PROGRAMMAZIONE, CONTROLLI E STATISTICA</t>
  </si>
  <si>
    <t>TECNOLOGIE ED ESERCIZIO</t>
  </si>
  <si>
    <t>ISTRUZIONE</t>
  </si>
  <si>
    <t>SERVIZI ALL'INFANZIA</t>
  </si>
  <si>
    <t>FORMAZIONE PROFESSIONALE</t>
  </si>
  <si>
    <t>SPORT E GIOVANI</t>
  </si>
  <si>
    <t>AREA COMUNICAZIONE E RAPPORTO CON LA CITTADINANZA</t>
  </si>
  <si>
    <t>QUARTIERI</t>
  </si>
  <si>
    <t xml:space="preserve">DIREZIONE, AMM.NE/ALTRO </t>
  </si>
  <si>
    <t xml:space="preserve">LEGALE </t>
  </si>
  <si>
    <t xml:space="preserve">SEGRETERIA GENERALE </t>
  </si>
  <si>
    <t xml:space="preserve">CONTROLLO ATTI SUPPORTO ORGANI </t>
  </si>
  <si>
    <t>SISTEMI INFORMATIVI E TELEMATICI</t>
  </si>
  <si>
    <t>INTERVENTI PER DISABILI DELEGATI ALL'A.U.S.L.</t>
  </si>
  <si>
    <t xml:space="preserve">LABORATORI E AULE DIDATTICHE CENTRALI </t>
  </si>
  <si>
    <t xml:space="preserve">DIRITTO ALLO STUDIO/HANDICAP/RETE SCOLASTICA </t>
  </si>
  <si>
    <t xml:space="preserve">COMITATO BOLOGNA 2000  </t>
  </si>
  <si>
    <t xml:space="preserve">SALA BORSA </t>
  </si>
  <si>
    <t xml:space="preserve">BIBLIOTECHE </t>
  </si>
  <si>
    <t xml:space="preserve">SISTEMA DEI MUSEI E ATTIVITA' ESPOSITIVE </t>
  </si>
  <si>
    <t>PROGETTI E RELAZIONI INTERNAZIONALI</t>
  </si>
  <si>
    <t xml:space="preserve">ISTITUTI ALDINI VALERIANI E SIRANI </t>
  </si>
  <si>
    <t xml:space="preserve">SCAMBI INTERNAZIONALI E ISTITUZIONI ESTIVE </t>
  </si>
  <si>
    <t>NOTA RELATIVE ALLE MODIFICHE ORGANIZZATIVE E CONSEGUENTE RIALLOCAZIONE DELLE RISORSE:</t>
  </si>
  <si>
    <t xml:space="preserve">SERVIZI SOCIALI ANZIANI E DISABILI </t>
  </si>
  <si>
    <t>PROGRAMMAZIONE E CONTROLLI</t>
  </si>
  <si>
    <t xml:space="preserve">INFRASTRUTTURE </t>
  </si>
  <si>
    <t>STRADE E FOGNATURE</t>
  </si>
  <si>
    <t>SERVIZI SOCIALI PER ANZIANI</t>
  </si>
  <si>
    <t>SERVIZI SOCIALI PER DISABILI</t>
  </si>
  <si>
    <t xml:space="preserve">SERVIZI PER L'IMMIGRAZIONE </t>
  </si>
  <si>
    <t>ATTIVITA' CULTURALI E PALAZZO RE ENZO</t>
  </si>
  <si>
    <t>SOGGIORNI VACANZA</t>
  </si>
  <si>
    <t>SOGGIORNI STUDIO E PROMOZIONE SCAMBI SCOLASTICI</t>
  </si>
  <si>
    <t xml:space="preserve">GIOVANI </t>
  </si>
  <si>
    <t>QUALITA' AMBIENTALE</t>
  </si>
  <si>
    <t>PROCESSI URBANISTICI</t>
  </si>
  <si>
    <t>COMUNICAZIONE E RAPPORTI CON I CITTADINI</t>
  </si>
  <si>
    <t xml:space="preserve">PARCHEGGI E GESTIONE PIANO SOSTA  </t>
  </si>
  <si>
    <t>SERVIZI TECNICI</t>
  </si>
  <si>
    <t>COORDINAMENTO SUOLO E SOTTOSUOLO</t>
  </si>
  <si>
    <t>PROGETTI SPECIALI</t>
  </si>
  <si>
    <t>TRASPORTI</t>
  </si>
  <si>
    <t>MANUTENZIONE STRADE E SEGNALETICA</t>
  </si>
  <si>
    <t>MANUTENZIONE IMPIANTI</t>
  </si>
  <si>
    <t>MANUTENZIONE EDILIZIA</t>
  </si>
  <si>
    <t>SERVIZI DI COMUNICAZIONE</t>
  </si>
  <si>
    <t>SERVIZI DI ANAGRAFE</t>
  </si>
  <si>
    <t>SPORTELLO IMPRESE</t>
  </si>
  <si>
    <t>RAPPORTI CON ISTITUZIONI, ASSOCIAZIONI E VOLONTARIATO</t>
  </si>
  <si>
    <t>RAPPORTI CON I CITTADINI, COMITATI E QUARTIERI</t>
  </si>
  <si>
    <t>SERVIZIO TECNICO</t>
  </si>
  <si>
    <t>ATTIVITA' SOCIALE DI PREVENZIONE</t>
  </si>
  <si>
    <t>COORDINAMENTO NUCLEO TERRITORIALE E CENTRO STORICO</t>
  </si>
  <si>
    <t xml:space="preserve">PROCEDURE AMMINISTRATIVE E POLIZIA GIUDIZIARIA </t>
  </si>
  <si>
    <t xml:space="preserve">MOBILITA' E SICUREZZA URBANA </t>
  </si>
  <si>
    <t>di cui fin.(*)</t>
  </si>
  <si>
    <t>* Per risorse "fin." si intendono le entrate derivanti da trasferimenti ed altro a cui corrisponde un'uscita vincolata.</t>
  </si>
  <si>
    <t>(**) Il 2001 è al netto di contributi (€ 37.640 mgl) per trasporto pubblico locale da stato e regione trasferiti ad ATC</t>
  </si>
  <si>
    <t>MOBILITA' URBANA (**)</t>
  </si>
  <si>
    <t>DIREZIONE, AMMINISTRAZIONE, CDG/ALTRO (**)</t>
  </si>
  <si>
    <t>PARTECIPAZIONI SOCIETARIE</t>
  </si>
  <si>
    <t>POLITICHE PER LA SICUREZZA</t>
  </si>
  <si>
    <t>SEGRETARIO GENERALE</t>
  </si>
  <si>
    <t>AFFARI ISTITUZIONALI E QUARTIERI</t>
  </si>
  <si>
    <t>STAFF AMMINISTRATIVO GARE E CONTRATTI</t>
  </si>
  <si>
    <t>AREA FINANZA</t>
  </si>
  <si>
    <t>PATRIMONIO</t>
  </si>
  <si>
    <t>LAVORI PUBBLICI</t>
  </si>
  <si>
    <t>POLIZIA MUNICIPALE E PROTEZIONE CIVILE</t>
  </si>
  <si>
    <t>SERVIZI SOCIALI</t>
  </si>
  <si>
    <t xml:space="preserve">SALUTE </t>
  </si>
  <si>
    <t>AREA SERVIZI PERSONE, FAMIGLIE, COMUNITA', POLITICHE DIFF.</t>
  </si>
  <si>
    <t>AREA SAPERI ED ECONOMIA</t>
  </si>
  <si>
    <t>DIREZIONE AREA SAPERI ED ECONOMIA</t>
  </si>
  <si>
    <t>MUSEO INTERNAZIONALE E BIBLIOTECA MUSICALE DI BOLOGNA</t>
  </si>
  <si>
    <t>ECONOMIA E ATTIVITA' TURISTICHE</t>
  </si>
  <si>
    <t>AREA URBANISTICA, AMBIENTE E MOBILITA'</t>
  </si>
  <si>
    <t>DIREZIONE AREA URBANISTICA, AMBIENTE E MOBILITA'</t>
  </si>
  <si>
    <t>PROGRAMMI URBANISTICI ED EDILIZI</t>
  </si>
  <si>
    <t>AMBIENTE E VERDE URBANO</t>
  </si>
  <si>
    <t>COMUNICAZIONE</t>
  </si>
  <si>
    <t>SERVIZI DEMOGRAFICI</t>
  </si>
  <si>
    <t>SPORTELLO PER LE IMPRESE</t>
  </si>
  <si>
    <t>DIRITTO ALLO STUDIO E ALTRE STRUTTURE EDUCATIVE</t>
  </si>
  <si>
    <t>CULTURA/GIOVANI/SPORT</t>
  </si>
  <si>
    <t>PROGETTO NUOVE ISTITUZIONI MUSEALI</t>
  </si>
  <si>
    <t>CULTURA E RAPPORTI CON L'UNIVERSITA'</t>
  </si>
  <si>
    <t>DIREZIONE AREA SERVIZI ALLE PERSONE, FAMIGLIE, ETC…</t>
  </si>
  <si>
    <t xml:space="preserve">E' stata effettuata una riclassificazione delle risorse sulla struttura economica dei gruppi di centro di costo fatte salve alcuni eccezioni evidenziate in corsivo </t>
  </si>
  <si>
    <t>FORMAZIONE E CENTRO SERVIZI FORMATIVI</t>
  </si>
  <si>
    <t xml:space="preserve">NORMATIVA ED AMMINISTRAZIONE </t>
  </si>
  <si>
    <t>POLIZIA MORTUARIA/SERVIZI CIMITERIALI</t>
  </si>
  <si>
    <t>INTERVENTI E SERVIZI PER LA CASA</t>
  </si>
  <si>
    <t xml:space="preserve">CONSUMI SPECIFICI: SERIE STORICA RICLASSIFICATA (1997- 2005) </t>
  </si>
  <si>
    <t>INNOV. AMM.VA/REGOLAMENTI/CITTA' METROPOLITANA</t>
  </si>
  <si>
    <t>DIREZIONE, AMMINISTRAZIONE, CDG, /ALTRO</t>
  </si>
  <si>
    <t xml:space="preserve">SICUREZZA ED IMPIANTI </t>
  </si>
  <si>
    <t>URBANIZZAZIONI E PARTERNARIATO</t>
  </si>
  <si>
    <t>CONTRATTI SPECIALI</t>
  </si>
  <si>
    <t>MANUTENZIONE</t>
  </si>
  <si>
    <t>SERVIZI AUSILIARI MANUTENZIONE</t>
  </si>
  <si>
    <t>GESTIONE CONTRATTO HERA</t>
  </si>
  <si>
    <t>PROGRAMMAZIONE E SVILUPPO DI IMPRESA</t>
  </si>
  <si>
    <t>PIANIFICAZIONE COMMERCIALE</t>
  </si>
  <si>
    <t>PROGR. E COORD. SERVIZI PER IL LAVORO E PER IL CONSUMATORE</t>
  </si>
  <si>
    <t>PROMOZIONE TURISTICA</t>
  </si>
  <si>
    <t>PIANO STRUTTURALE COMUNALE</t>
  </si>
  <si>
    <t>STAFF DEL CONSIGLIO</t>
  </si>
  <si>
    <t>LEGALE</t>
  </si>
  <si>
    <t>SEGRETERIA GENERALE</t>
  </si>
  <si>
    <t>AFFARI ISTITUZIONALE E QUARTIERI</t>
  </si>
  <si>
    <t>RAGIONERIA</t>
  </si>
  <si>
    <t>ACQUISTI</t>
  </si>
  <si>
    <t>PERSONALE ED ORGANIZZAZIONE</t>
  </si>
  <si>
    <t>SISTEMI INFORMATIVI</t>
  </si>
  <si>
    <t>AREA SERVIZI ALLE PERSONE, FAMIGLIE…</t>
  </si>
  <si>
    <t>SALUTE</t>
  </si>
  <si>
    <t>PROGRAMMI URBANISTICI - EDILIZI</t>
  </si>
  <si>
    <t>MOBILITA' URBANA</t>
  </si>
  <si>
    <t>AREA COMUNICAZIONE E RAPPORTI CON LA CITTADINANZA</t>
  </si>
  <si>
    <t xml:space="preserve">COMUNICAZIONE </t>
  </si>
  <si>
    <t>TOTALE CONSUMI SPECIFICI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</si>
</sst>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  <numFmt numFmtId="182" formatCode="#,##0.0"/>
    <numFmt numFmtId="183" formatCode="#,##0_ ;\-#,##0\ 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1.75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8.2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6"/>
      <name val="Symbol"/>
      <family val="1"/>
    </font>
    <font>
      <sz val="12"/>
      <name val="Symbol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14.75"/>
      <name val="Arial"/>
      <family val="0"/>
    </font>
    <font>
      <sz val="8.5"/>
      <name val="Arial"/>
      <family val="2"/>
    </font>
    <font>
      <b/>
      <sz val="14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1" xfId="0" applyFont="1" applyBorder="1" applyAlignment="1" quotePrefix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0" fillId="0" borderId="0" xfId="18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3" xfId="0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41" fontId="0" fillId="0" borderId="0" xfId="18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1" fontId="1" fillId="0" borderId="6" xfId="18" applyFont="1" applyFill="1" applyBorder="1" applyAlignment="1">
      <alignment horizontal="right"/>
    </xf>
    <xf numFmtId="41" fontId="1" fillId="0" borderId="2" xfId="18" applyFont="1" applyFill="1" applyBorder="1" applyAlignment="1">
      <alignment horizontal="right"/>
    </xf>
    <xf numFmtId="41" fontId="1" fillId="0" borderId="2" xfId="18" applyFont="1" applyFill="1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41" fontId="1" fillId="0" borderId="6" xfId="18" applyFont="1" applyFill="1" applyBorder="1" applyAlignment="1">
      <alignment/>
    </xf>
    <xf numFmtId="41" fontId="1" fillId="0" borderId="2" xfId="18" applyFont="1" applyBorder="1" applyAlignment="1">
      <alignment/>
    </xf>
    <xf numFmtId="41" fontId="1" fillId="0" borderId="4" xfId="18" applyFont="1" applyFill="1" applyBorder="1" applyAlignment="1">
      <alignment/>
    </xf>
    <xf numFmtId="41" fontId="1" fillId="0" borderId="6" xfId="18" applyFont="1" applyBorder="1" applyAlignment="1">
      <alignment/>
    </xf>
    <xf numFmtId="0" fontId="0" fillId="3" borderId="0" xfId="0" applyFill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41" fontId="12" fillId="0" borderId="10" xfId="18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0" borderId="5" xfId="0" applyFont="1" applyFill="1" applyBorder="1" applyAlignment="1">
      <alignment/>
    </xf>
    <xf numFmtId="41" fontId="0" fillId="0" borderId="0" xfId="18" applyFill="1" applyAlignment="1">
      <alignment/>
    </xf>
    <xf numFmtId="41" fontId="1" fillId="0" borderId="0" xfId="18" applyFont="1" applyAlignment="1">
      <alignment/>
    </xf>
    <xf numFmtId="41" fontId="11" fillId="0" borderId="0" xfId="18" applyFont="1" applyBorder="1" applyAlignment="1">
      <alignment horizontal="centerContinuous"/>
    </xf>
    <xf numFmtId="41" fontId="2" fillId="4" borderId="11" xfId="18" applyFont="1" applyFill="1" applyBorder="1" applyAlignment="1">
      <alignment horizontal="centerContinuous"/>
    </xf>
    <xf numFmtId="41" fontId="2" fillId="2" borderId="12" xfId="18" applyFont="1" applyFill="1" applyBorder="1" applyAlignment="1">
      <alignment/>
    </xf>
    <xf numFmtId="41" fontId="12" fillId="0" borderId="6" xfId="18" applyFont="1" applyFill="1" applyBorder="1" applyAlignment="1">
      <alignment/>
    </xf>
    <xf numFmtId="41" fontId="1" fillId="0" borderId="10" xfId="18" applyFont="1" applyBorder="1" applyAlignment="1">
      <alignment/>
    </xf>
    <xf numFmtId="41" fontId="2" fillId="2" borderId="11" xfId="18" applyFont="1" applyFill="1" applyBorder="1" applyAlignment="1">
      <alignment/>
    </xf>
    <xf numFmtId="41" fontId="2" fillId="2" borderId="6" xfId="18" applyFont="1" applyFill="1" applyBorder="1" applyAlignment="1">
      <alignment/>
    </xf>
    <xf numFmtId="41" fontId="1" fillId="0" borderId="6" xfId="18" applyFont="1" applyBorder="1" applyAlignment="1">
      <alignment horizontal="right"/>
    </xf>
    <xf numFmtId="41" fontId="2" fillId="2" borderId="12" xfId="18" applyFont="1" applyFill="1" applyBorder="1" applyAlignment="1">
      <alignment horizontal="right"/>
    </xf>
    <xf numFmtId="41" fontId="1" fillId="0" borderId="10" xfId="18" applyFont="1" applyBorder="1" applyAlignment="1">
      <alignment horizontal="right"/>
    </xf>
    <xf numFmtId="41" fontId="1" fillId="0" borderId="10" xfId="18" applyFont="1" applyFill="1" applyBorder="1" applyAlignment="1">
      <alignment horizontal="right"/>
    </xf>
    <xf numFmtId="41" fontId="8" fillId="3" borderId="6" xfId="18" applyFont="1" applyFill="1" applyBorder="1" applyAlignment="1">
      <alignment/>
    </xf>
    <xf numFmtId="41" fontId="2" fillId="0" borderId="6" xfId="18" applyFont="1" applyFill="1" applyBorder="1" applyAlignment="1">
      <alignment/>
    </xf>
    <xf numFmtId="41" fontId="1" fillId="0" borderId="1" xfId="18" applyFont="1" applyFill="1" applyBorder="1" applyAlignment="1">
      <alignment/>
    </xf>
    <xf numFmtId="41" fontId="2" fillId="0" borderId="10" xfId="18" applyFont="1" applyFill="1" applyBorder="1" applyAlignment="1">
      <alignment horizontal="right"/>
    </xf>
    <xf numFmtId="41" fontId="2" fillId="0" borderId="6" xfId="18" applyFont="1" applyBorder="1" applyAlignment="1">
      <alignment/>
    </xf>
    <xf numFmtId="41" fontId="1" fillId="0" borderId="10" xfId="18" applyFont="1" applyFill="1" applyBorder="1" applyAlignment="1">
      <alignment/>
    </xf>
    <xf numFmtId="41" fontId="2" fillId="0" borderId="6" xfId="18" applyFont="1" applyFill="1" applyBorder="1" applyAlignment="1">
      <alignment horizontal="right"/>
    </xf>
    <xf numFmtId="41" fontId="1" fillId="0" borderId="10" xfId="18" applyFont="1" applyBorder="1" applyAlignment="1">
      <alignment/>
    </xf>
    <xf numFmtId="41" fontId="2" fillId="0" borderId="6" xfId="18" applyFont="1" applyBorder="1" applyAlignment="1">
      <alignment horizontal="right"/>
    </xf>
    <xf numFmtId="41" fontId="2" fillId="0" borderId="10" xfId="18" applyFont="1" applyBorder="1" applyAlignment="1">
      <alignment/>
    </xf>
    <xf numFmtId="41" fontId="2" fillId="0" borderId="6" xfId="18" applyFont="1" applyBorder="1" applyAlignment="1">
      <alignment horizontal="left"/>
    </xf>
    <xf numFmtId="41" fontId="1" fillId="0" borderId="6" xfId="18" applyFont="1" applyBorder="1" applyAlignment="1">
      <alignment/>
    </xf>
    <xf numFmtId="41" fontId="2" fillId="0" borderId="12" xfId="18" applyFont="1" applyBorder="1" applyAlignment="1">
      <alignment horizontal="left"/>
    </xf>
    <xf numFmtId="41" fontId="3" fillId="5" borderId="10" xfId="18" applyFont="1" applyFill="1" applyBorder="1" applyAlignment="1">
      <alignment/>
    </xf>
    <xf numFmtId="41" fontId="1" fillId="0" borderId="0" xfId="18" applyFont="1" applyAlignment="1">
      <alignment/>
    </xf>
    <xf numFmtId="41" fontId="1" fillId="0" borderId="4" xfId="18" applyFont="1" applyBorder="1" applyAlignment="1">
      <alignment/>
    </xf>
    <xf numFmtId="41" fontId="2" fillId="2" borderId="13" xfId="18" applyFont="1" applyFill="1" applyBorder="1" applyAlignment="1">
      <alignment/>
    </xf>
    <xf numFmtId="41" fontId="2" fillId="2" borderId="11" xfId="18" applyFont="1" applyFill="1" applyBorder="1" applyAlignment="1">
      <alignment/>
    </xf>
    <xf numFmtId="41" fontId="1" fillId="0" borderId="2" xfId="18" applyFont="1" applyBorder="1" applyAlignment="1">
      <alignment horizontal="right"/>
    </xf>
    <xf numFmtId="41" fontId="2" fillId="0" borderId="4" xfId="18" applyFont="1" applyFill="1" applyBorder="1" applyAlignment="1">
      <alignment/>
    </xf>
    <xf numFmtId="41" fontId="2" fillId="0" borderId="2" xfId="18" applyFont="1" applyBorder="1" applyAlignment="1">
      <alignment/>
    </xf>
    <xf numFmtId="41" fontId="1" fillId="0" borderId="0" xfId="18" applyFont="1" applyFill="1" applyAlignment="1">
      <alignment/>
    </xf>
    <xf numFmtId="41" fontId="6" fillId="0" borderId="0" xfId="18" applyFont="1" applyFill="1" applyAlignment="1">
      <alignment/>
    </xf>
    <xf numFmtId="41" fontId="16" fillId="0" borderId="0" xfId="18" applyFont="1" applyFill="1" applyBorder="1" applyAlignment="1">
      <alignment horizontal="left"/>
    </xf>
    <xf numFmtId="41" fontId="15" fillId="0" borderId="0" xfId="18" applyFont="1" applyBorder="1" applyAlignment="1">
      <alignment horizontal="centerContinuous"/>
    </xf>
    <xf numFmtId="41" fontId="1" fillId="0" borderId="0" xfId="18" applyFont="1" applyBorder="1" applyAlignment="1">
      <alignment/>
    </xf>
    <xf numFmtId="41" fontId="14" fillId="4" borderId="5" xfId="18" applyFont="1" applyFill="1" applyBorder="1" applyAlignment="1">
      <alignment horizontal="centerContinuous"/>
    </xf>
    <xf numFmtId="41" fontId="14" fillId="4" borderId="4" xfId="18" applyFont="1" applyFill="1" applyBorder="1" applyAlignment="1">
      <alignment horizontal="centerContinuous"/>
    </xf>
    <xf numFmtId="41" fontId="12" fillId="0" borderId="6" xfId="18" applyFont="1" applyFill="1" applyBorder="1" applyAlignment="1">
      <alignment horizontal="right"/>
    </xf>
    <xf numFmtId="41" fontId="12" fillId="0" borderId="2" xfId="18" applyFont="1" applyFill="1" applyBorder="1" applyAlignment="1">
      <alignment horizontal="right"/>
    </xf>
    <xf numFmtId="41" fontId="0" fillId="0" borderId="0" xfId="18" applyFill="1" applyBorder="1" applyAlignment="1">
      <alignment/>
    </xf>
    <xf numFmtId="41" fontId="1" fillId="0" borderId="4" xfId="18" applyFont="1" applyBorder="1" applyAlignment="1">
      <alignment horizontal="right"/>
    </xf>
    <xf numFmtId="41" fontId="2" fillId="2" borderId="13" xfId="18" applyFont="1" applyFill="1" applyBorder="1" applyAlignment="1">
      <alignment/>
    </xf>
    <xf numFmtId="41" fontId="12" fillId="0" borderId="2" xfId="18" applyFont="1" applyFill="1" applyBorder="1" applyAlignment="1">
      <alignment/>
    </xf>
    <xf numFmtId="41" fontId="12" fillId="0" borderId="6" xfId="18" applyFont="1" applyBorder="1" applyAlignment="1">
      <alignment/>
    </xf>
    <xf numFmtId="41" fontId="1" fillId="0" borderId="4" xfId="18" applyFont="1" applyFill="1" applyBorder="1" applyAlignment="1">
      <alignment horizontal="right"/>
    </xf>
    <xf numFmtId="41" fontId="1" fillId="0" borderId="0" xfId="18" applyFont="1" applyFill="1" applyBorder="1" applyAlignment="1">
      <alignment/>
    </xf>
    <xf numFmtId="41" fontId="1" fillId="0" borderId="0" xfId="18" applyFont="1" applyFill="1" applyBorder="1" applyAlignment="1">
      <alignment horizontal="right"/>
    </xf>
    <xf numFmtId="41" fontId="2" fillId="0" borderId="4" xfId="18" applyFont="1" applyFill="1" applyBorder="1" applyAlignment="1">
      <alignment horizontal="right"/>
    </xf>
    <xf numFmtId="41" fontId="2" fillId="0" borderId="0" xfId="18" applyFont="1" applyFill="1" applyAlignment="1">
      <alignment/>
    </xf>
    <xf numFmtId="41" fontId="12" fillId="0" borderId="10" xfId="18" applyFont="1" applyFill="1" applyBorder="1" applyAlignment="1">
      <alignment horizontal="right"/>
    </xf>
    <xf numFmtId="41" fontId="12" fillId="0" borderId="4" xfId="18" applyFont="1" applyFill="1" applyBorder="1" applyAlignment="1">
      <alignment horizontal="right"/>
    </xf>
    <xf numFmtId="41" fontId="12" fillId="0" borderId="10" xfId="18" applyFont="1" applyBorder="1" applyAlignment="1">
      <alignment/>
    </xf>
    <xf numFmtId="41" fontId="13" fillId="0" borderId="0" xfId="18" applyFont="1" applyFill="1" applyAlignment="1">
      <alignment/>
    </xf>
    <xf numFmtId="41" fontId="2" fillId="0" borderId="2" xfId="18" applyFont="1" applyBorder="1" applyAlignment="1">
      <alignment/>
    </xf>
    <xf numFmtId="41" fontId="2" fillId="0" borderId="6" xfId="18" applyFont="1" applyBorder="1" applyAlignment="1">
      <alignment/>
    </xf>
    <xf numFmtId="41" fontId="0" fillId="3" borderId="0" xfId="18" applyFill="1" applyAlignment="1">
      <alignment/>
    </xf>
    <xf numFmtId="41" fontId="2" fillId="0" borderId="2" xfId="18" applyFont="1" applyFill="1" applyBorder="1" applyAlignment="1">
      <alignment/>
    </xf>
    <xf numFmtId="41" fontId="2" fillId="0" borderId="0" xfId="18" applyFont="1" applyFill="1" applyBorder="1" applyAlignment="1">
      <alignment/>
    </xf>
    <xf numFmtId="41" fontId="1" fillId="0" borderId="0" xfId="18" applyFont="1" applyBorder="1" applyAlignment="1">
      <alignment horizontal="right"/>
    </xf>
    <xf numFmtId="41" fontId="12" fillId="0" borderId="0" xfId="18" applyFont="1" applyFill="1" applyBorder="1" applyAlignment="1">
      <alignment horizontal="right"/>
    </xf>
    <xf numFmtId="41" fontId="1" fillId="0" borderId="6" xfId="18" applyFont="1" applyFill="1" applyBorder="1" applyAlignment="1">
      <alignment/>
    </xf>
    <xf numFmtId="41" fontId="1" fillId="0" borderId="0" xfId="18" applyFont="1" applyFill="1" applyBorder="1" applyAlignment="1">
      <alignment/>
    </xf>
    <xf numFmtId="41" fontId="2" fillId="0" borderId="2" xfId="18" applyFont="1" applyBorder="1" applyAlignment="1">
      <alignment horizontal="right"/>
    </xf>
    <xf numFmtId="41" fontId="2" fillId="0" borderId="2" xfId="18" applyFont="1" applyBorder="1" applyAlignment="1">
      <alignment horizontal="right"/>
    </xf>
    <xf numFmtId="41" fontId="1" fillId="0" borderId="6" xfId="18" applyFont="1" applyBorder="1" applyAlignment="1">
      <alignment horizontal="left"/>
    </xf>
    <xf numFmtId="41" fontId="1" fillId="0" borderId="2" xfId="18" applyFont="1" applyBorder="1" applyAlignment="1">
      <alignment/>
    </xf>
    <xf numFmtId="0" fontId="14" fillId="4" borderId="9" xfId="18" applyNumberFormat="1" applyFont="1" applyFill="1" applyBorder="1" applyAlignment="1">
      <alignment horizontal="centerContinuous"/>
    </xf>
    <xf numFmtId="0" fontId="14" fillId="4" borderId="8" xfId="18" applyNumberFormat="1" applyFont="1" applyFill="1" applyBorder="1" applyAlignment="1">
      <alignment horizontal="centerContinuous"/>
    </xf>
    <xf numFmtId="0" fontId="2" fillId="4" borderId="8" xfId="18" applyNumberFormat="1" applyFont="1" applyFill="1" applyBorder="1" applyAlignment="1">
      <alignment horizontal="centerContinuous"/>
    </xf>
    <xf numFmtId="0" fontId="17" fillId="0" borderId="1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15" applyFill="1" applyBorder="1" applyAlignment="1">
      <alignment/>
    </xf>
    <xf numFmtId="0" fontId="19" fillId="0" borderId="2" xfId="15" applyFill="1" applyBorder="1" applyAlignment="1">
      <alignment/>
    </xf>
    <xf numFmtId="0" fontId="19" fillId="0" borderId="0" xfId="15" applyAlignment="1">
      <alignment/>
    </xf>
    <xf numFmtId="0" fontId="19" fillId="2" borderId="9" xfId="15" applyFill="1" applyBorder="1" applyAlignment="1">
      <alignment/>
    </xf>
    <xf numFmtId="0" fontId="19" fillId="2" borderId="7" xfId="15" applyFill="1" applyBorder="1" applyAlignment="1">
      <alignment/>
    </xf>
    <xf numFmtId="0" fontId="19" fillId="2" borderId="8" xfId="15" applyFill="1" applyBorder="1" applyAlignment="1">
      <alignment/>
    </xf>
    <xf numFmtId="0" fontId="19" fillId="0" borderId="0" xfId="15" applyFill="1" applyBorder="1" applyAlignment="1">
      <alignment/>
    </xf>
    <xf numFmtId="0" fontId="19" fillId="0" borderId="0" xfId="15" applyBorder="1" applyAlignment="1">
      <alignment/>
    </xf>
    <xf numFmtId="0" fontId="19" fillId="0" borderId="2" xfId="15" applyBorder="1" applyAlignment="1">
      <alignment/>
    </xf>
    <xf numFmtId="0" fontId="19" fillId="0" borderId="3" xfId="15" applyFill="1" applyBorder="1" applyAlignment="1">
      <alignment/>
    </xf>
    <xf numFmtId="0" fontId="19" fillId="0" borderId="4" xfId="15" applyFill="1" applyBorder="1" applyAlignment="1">
      <alignment/>
    </xf>
    <xf numFmtId="0" fontId="19" fillId="2" borderId="1" xfId="15" applyFill="1" applyBorder="1" applyAlignment="1">
      <alignment/>
    </xf>
    <xf numFmtId="0" fontId="19" fillId="2" borderId="0" xfId="15" applyFill="1" applyBorder="1" applyAlignment="1">
      <alignment/>
    </xf>
    <xf numFmtId="0" fontId="19" fillId="2" borderId="2" xfId="15" applyFill="1" applyBorder="1" applyAlignment="1">
      <alignment/>
    </xf>
    <xf numFmtId="0" fontId="19" fillId="3" borderId="7" xfId="15" applyFill="1" applyBorder="1" applyAlignment="1">
      <alignment/>
    </xf>
    <xf numFmtId="0" fontId="19" fillId="3" borderId="8" xfId="15" applyFill="1" applyBorder="1" applyAlignment="1">
      <alignment/>
    </xf>
    <xf numFmtId="0" fontId="19" fillId="3" borderId="0" xfId="15" applyFill="1" applyBorder="1" applyAlignment="1">
      <alignment/>
    </xf>
    <xf numFmtId="0" fontId="19" fillId="3" borderId="2" xfId="15" applyFill="1" applyBorder="1" applyAlignment="1">
      <alignment/>
    </xf>
    <xf numFmtId="0" fontId="19" fillId="3" borderId="1" xfId="15" applyFill="1" applyBorder="1" applyAlignment="1">
      <alignment/>
    </xf>
    <xf numFmtId="0" fontId="19" fillId="0" borderId="14" xfId="15" applyBorder="1" applyAlignment="1">
      <alignment/>
    </xf>
    <xf numFmtId="0" fontId="19" fillId="0" borderId="15" xfId="15" applyBorder="1" applyAlignment="1">
      <alignment/>
    </xf>
    <xf numFmtId="0" fontId="19" fillId="0" borderId="13" xfId="15" applyBorder="1" applyAlignment="1">
      <alignment/>
    </xf>
    <xf numFmtId="0" fontId="19" fillId="2" borderId="9" xfId="15" applyFont="1" applyFill="1" applyBorder="1" applyAlignment="1">
      <alignment/>
    </xf>
    <xf numFmtId="0" fontId="19" fillId="0" borderId="0" xfId="15" applyFont="1" applyBorder="1" applyAlignment="1">
      <alignment/>
    </xf>
    <xf numFmtId="0" fontId="19" fillId="0" borderId="0" xfId="15" applyFont="1" applyFill="1" applyBorder="1" applyAlignment="1">
      <alignment/>
    </xf>
    <xf numFmtId="0" fontId="19" fillId="0" borderId="0" xfId="15" applyFont="1" applyFill="1" applyBorder="1" applyAlignment="1">
      <alignment/>
    </xf>
    <xf numFmtId="0" fontId="0" fillId="0" borderId="3" xfId="0" applyBorder="1" applyAlignment="1">
      <alignment/>
    </xf>
    <xf numFmtId="0" fontId="19" fillId="0" borderId="3" xfId="15" applyBorder="1" applyAlignment="1">
      <alignment/>
    </xf>
    <xf numFmtId="0" fontId="19" fillId="3" borderId="9" xfId="15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41" fontId="2" fillId="0" borderId="2" xfId="18" applyFont="1" applyFill="1" applyBorder="1" applyAlignment="1">
      <alignment horizontal="right"/>
    </xf>
    <xf numFmtId="41" fontId="8" fillId="0" borderId="0" xfId="18" applyFont="1" applyFill="1" applyAlignment="1">
      <alignment/>
    </xf>
    <xf numFmtId="0" fontId="0" fillId="0" borderId="2" xfId="0" applyBorder="1" applyAlignment="1">
      <alignment/>
    </xf>
    <xf numFmtId="41" fontId="12" fillId="0" borderId="10" xfId="18" applyFont="1" applyBorder="1" applyAlignment="1">
      <alignment horizontal="right"/>
    </xf>
    <xf numFmtId="41" fontId="12" fillId="0" borderId="4" xfId="18" applyFont="1" applyBorder="1" applyAlignment="1">
      <alignment horizontal="right"/>
    </xf>
    <xf numFmtId="41" fontId="14" fillId="4" borderId="5" xfId="18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1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41" fontId="21" fillId="0" borderId="6" xfId="18" applyFont="1" applyBorder="1" applyAlignment="1">
      <alignment/>
    </xf>
    <xf numFmtId="41" fontId="21" fillId="0" borderId="0" xfId="18" applyFont="1" applyFill="1" applyAlignment="1">
      <alignment/>
    </xf>
    <xf numFmtId="0" fontId="21" fillId="0" borderId="0" xfId="0" applyFont="1" applyBorder="1" applyAlignment="1">
      <alignment/>
    </xf>
    <xf numFmtId="41" fontId="21" fillId="0" borderId="2" xfId="18" applyFont="1" applyBorder="1" applyAlignment="1">
      <alignment/>
    </xf>
    <xf numFmtId="0" fontId="19" fillId="0" borderId="1" xfId="15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0" xfId="0" applyFont="1" applyFill="1" applyAlignment="1">
      <alignment/>
    </xf>
    <xf numFmtId="41" fontId="23" fillId="0" borderId="6" xfId="18" applyFont="1" applyBorder="1" applyAlignment="1">
      <alignment/>
    </xf>
    <xf numFmtId="41" fontId="23" fillId="0" borderId="2" xfId="18" applyFont="1" applyBorder="1" applyAlignment="1">
      <alignment/>
    </xf>
    <xf numFmtId="0" fontId="22" fillId="0" borderId="5" xfId="0" applyFont="1" applyFill="1" applyBorder="1" applyAlignment="1">
      <alignment/>
    </xf>
    <xf numFmtId="0" fontId="21" fillId="0" borderId="3" xfId="0" applyFont="1" applyFill="1" applyBorder="1" applyAlignment="1">
      <alignment/>
    </xf>
    <xf numFmtId="0" fontId="23" fillId="0" borderId="3" xfId="0" applyFont="1" applyBorder="1" applyAlignment="1">
      <alignment/>
    </xf>
    <xf numFmtId="0" fontId="23" fillId="0" borderId="4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41" fontId="23" fillId="0" borderId="10" xfId="18" applyFont="1" applyBorder="1" applyAlignment="1">
      <alignment/>
    </xf>
    <xf numFmtId="41" fontId="23" fillId="0" borderId="4" xfId="18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1" fontId="0" fillId="0" borderId="0" xfId="18" applyFont="1" applyFill="1" applyAlignment="1">
      <alignment/>
    </xf>
    <xf numFmtId="41" fontId="0" fillId="0" borderId="0" xfId="18" applyFill="1" applyAlignment="1">
      <alignment/>
    </xf>
    <xf numFmtId="41" fontId="0" fillId="0" borderId="0" xfId="18" applyFill="1" applyBorder="1" applyAlignment="1">
      <alignment/>
    </xf>
    <xf numFmtId="41" fontId="0" fillId="3" borderId="0" xfId="18" applyFill="1" applyAlignment="1">
      <alignment/>
    </xf>
    <xf numFmtId="0" fontId="14" fillId="4" borderId="12" xfId="18" applyNumberFormat="1" applyFont="1" applyFill="1" applyBorder="1" applyAlignment="1">
      <alignment horizontal="centerContinuous"/>
    </xf>
    <xf numFmtId="41" fontId="14" fillId="4" borderId="10" xfId="18" applyFont="1" applyFill="1" applyBorder="1" applyAlignment="1">
      <alignment horizontal="center"/>
    </xf>
    <xf numFmtId="178" fontId="0" fillId="0" borderId="0" xfId="18" applyNumberFormat="1" applyAlignment="1">
      <alignment/>
    </xf>
    <xf numFmtId="182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41" fontId="14" fillId="4" borderId="5" xfId="18" applyFont="1" applyFill="1" applyBorder="1" applyAlignment="1">
      <alignment horizontal="center"/>
    </xf>
    <xf numFmtId="41" fontId="0" fillId="0" borderId="4" xfId="18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875"/>
          <c:w val="0.9607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GEN'!$A$3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'DIR GEN'!$B$2:$J$2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'DIR GEN'!$B$3:$J$3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'DIR GEN'!$A$4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GEN'!$B$2:$J$2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'DIR GEN'!$B$4:$J$4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auto val="0"/>
        <c:lblOffset val="100"/>
        <c:noMultiLvlLbl val="0"/>
      </c:catAx>
      <c:valAx>
        <c:axId val="794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27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7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'Partecipazione soc'!$A$6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'Partecipazione soc'!$B$6:$J$6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'Partecipazione soc'!$A$7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'Partecipazione soc'!$B$7:$J$7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At val="10"/>
        <c:auto val="1"/>
        <c:lblOffset val="100"/>
        <c:noMultiLvlLbl val="0"/>
      </c:catAx>
      <c:valAx>
        <c:axId val="64055302"/>
        <c:scaling>
          <c:orientation val="minMax"/>
          <c:max val="1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486877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Legale!$A$3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Legale!$B$2:$J$2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Legale!$B$3:$J$3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Legale!$A$4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Legale!$B$2:$J$2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Legale!$B$4:$J$4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9626807"/>
        <c:axId val="21096944"/>
      </c:bar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auto val="0"/>
        <c:lblOffset val="100"/>
        <c:noMultiLvlLbl val="0"/>
      </c:catAx>
      <c:valAx>
        <c:axId val="21096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268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Legale!$A$6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Legale!$B$6:$J$6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Legale!$A$7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Legale!$B$7:$J$7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5654769"/>
        <c:axId val="31130874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At val="100"/>
        <c:auto val="1"/>
        <c:lblOffset val="100"/>
        <c:noMultiLvlLbl val="0"/>
      </c:catAx>
      <c:valAx>
        <c:axId val="31130874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SEGRETERIA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'Segreteria gen'!$A$3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'Segreteria gen'!$B$2:$J$2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'Segreteria gen'!$B$3:$J$3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'Segreteria gen'!$A$4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'Segreteria gen'!$B$4:$J$4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72836"/>
        <c:crosses val="autoZero"/>
        <c:auto val="0"/>
        <c:lblOffset val="100"/>
        <c:noMultiLvlLbl val="0"/>
      </c:catAx>
      <c:valAx>
        <c:axId val="38572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424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SEGRETARIO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'Segretario gen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'Segretario gen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'Segretario gen 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'Segretario gen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'Segretario gen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'Segretario gen 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0"/>
        <c:lblOffset val="100"/>
        <c:noMultiLvlLbl val="0"/>
      </c:catAx>
      <c:valAx>
        <c:axId val="37391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112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AMMINISTRATIVO GARE E CONTRATTI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325"/>
          <c:w val="0.9625"/>
          <c:h val="0.64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Amm Gare'!$A$3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'Staff Amm Gare'!$B$2:$J$2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'Staff Amm Gare'!$B$3:$J$3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'Staff Amm Gare'!$A$4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Amm Gare'!$B$2:$J$2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'Staff Amm Gare'!$B$4:$J$4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 val="autoZero"/>
        <c:auto val="0"/>
        <c:lblOffset val="100"/>
        <c:noMultiLvlLbl val="0"/>
      </c:catAx>
      <c:valAx>
        <c:axId val="8851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35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AFFARI ISTITUZIONALE E 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875"/>
          <c:w val="0.9622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'Affari ist'!$A$3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'Affari ist'!$B$2:$J$2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'Affari ist'!$B$3:$J$3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'Affari ist'!$A$4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'Affari ist'!$B$2:$J$2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'Affari ist'!$B$4:$J$4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96802"/>
        <c:crosses val="autoZero"/>
        <c:auto val="0"/>
        <c:lblOffset val="100"/>
        <c:noMultiLvlLbl val="0"/>
      </c:catAx>
      <c:valAx>
        <c:axId val="45896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5618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'Affari ist'!$A$6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'Affari ist'!$B$6:$J$6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'Affari ist'!$A$7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'Affari ist'!$B$7:$J$7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0418035"/>
        <c:axId val="26653452"/>
      </c:line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53452"/>
        <c:crossesAt val="20"/>
        <c:auto val="1"/>
        <c:lblOffset val="100"/>
        <c:noMultiLvlLbl val="0"/>
      </c:catAx>
      <c:valAx>
        <c:axId val="26653452"/>
        <c:scaling>
          <c:orientation val="minMax"/>
          <c:max val="1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418035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FINANZA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Finanza'!$A$3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Finanza'!$B$2:$J$2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Finanza'!$B$3:$J$3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Finanza'!$A$4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'Area Finanza'!$B$2:$J$2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Finanza'!$B$4:$J$4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0"/>
        <c:lblOffset val="100"/>
        <c:noMultiLvlLbl val="0"/>
      </c:catAx>
      <c:valAx>
        <c:axId val="11445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544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'Area Finanza'!$A$6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Finanza'!$B$2:$J$2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Finanza'!$B$6:$J$6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Finanza'!$A$7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Finanza'!$B$2:$J$2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Finanza'!$B$7:$J$7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08672"/>
        <c:crossesAt val="100"/>
        <c:auto val="1"/>
        <c:lblOffset val="100"/>
        <c:noMultiLvlLbl val="0"/>
      </c:catAx>
      <c:valAx>
        <c:axId val="54708672"/>
        <c:scaling>
          <c:orientation val="minMax"/>
          <c:max val="6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049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775"/>
          <c:w val="0.95375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'DIR GEN'!$A$6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'DIR GEN'!$B$6:$J$6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GEN'!$A$7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'DIR GEN'!$B$7:$J$7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150285"/>
        <c:axId val="64352566"/>
      </c:line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52566"/>
        <c:crossesAt val="100"/>
        <c:auto val="1"/>
        <c:lblOffset val="100"/>
        <c:noMultiLvlLbl val="0"/>
      </c:catAx>
      <c:valAx>
        <c:axId val="64352566"/>
        <c:scaling>
          <c:orientation val="minMax"/>
          <c:max val="70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5028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RAGIONERIA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Ragioneria!$A$3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Ragioneria!$B$2:$J$2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Ragioneria!$B$3:$J$3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Ragioneria!$A$4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Ragioneria!$B$2:$J$2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Ragioneria!$B$4:$J$4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2616001"/>
        <c:axId val="2217418"/>
      </c:bar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7418"/>
        <c:crosses val="autoZero"/>
        <c:auto val="0"/>
        <c:lblOffset val="100"/>
        <c:noMultiLvlLbl val="0"/>
      </c:catAx>
      <c:valAx>
        <c:axId val="221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160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Ragioneria!$A$6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Ragioneria!$B$6:$J$6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Ragioneria!$A$7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Ragioneria!$B$7:$J$7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At val="100"/>
        <c:auto val="1"/>
        <c:lblOffset val="100"/>
        <c:noMultiLvlLbl val="0"/>
      </c:catAx>
      <c:valAx>
        <c:axId val="45393140"/>
        <c:scaling>
          <c:orientation val="minMax"/>
          <c:max val="8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67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Entrate!$A$3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Entrate!$B$2:$J$2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Entrate!$B$3:$J$3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Entrate!$A$4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Entrate!$B$4:$J$4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885077"/>
        <c:axId val="52965694"/>
      </c:bar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 val="autoZero"/>
        <c:auto val="0"/>
        <c:lblOffset val="100"/>
        <c:noMultiLvlLbl val="0"/>
      </c:catAx>
      <c:valAx>
        <c:axId val="52965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50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Entrate!$A$6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Entrate!$B$6:$J$6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Entrate!$A$7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Entrate!$B$7:$J$7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At val="100"/>
        <c:auto val="1"/>
        <c:lblOffset val="100"/>
        <c:noMultiLvlLbl val="0"/>
      </c:catAx>
      <c:valAx>
        <c:axId val="62362792"/>
        <c:scaling>
          <c:orientation val="minMax"/>
          <c:max val="8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291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PATRIMONIO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Patrimonio!$A$3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Patrimonio!$B$2:$J$2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Patrimonio!$B$3:$J$3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Patrimonio!$A$4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Patrimonio!$B$4:$J$4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4394217"/>
        <c:axId val="18221362"/>
      </c:bar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21362"/>
        <c:crosses val="autoZero"/>
        <c:auto val="0"/>
        <c:lblOffset val="100"/>
        <c:noMultiLvlLbl val="0"/>
      </c:catAx>
      <c:valAx>
        <c:axId val="18221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9421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Patrimonio!$A$6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Patrimonio!$B$6:$J$6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Patrimonio!$A$7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Patrimonio!$B$7:$J$7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4188"/>
        <c:crossesAt val="90"/>
        <c:auto val="1"/>
        <c:lblOffset val="100"/>
        <c:noMultiLvlLbl val="0"/>
      </c:catAx>
      <c:valAx>
        <c:axId val="66644188"/>
        <c:scaling>
          <c:orientation val="minMax"/>
          <c:max val="20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4531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ACQUISTI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Acquisti!$A$3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Acquisti!$B$2:$J$2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Acquisti!$B$3:$J$3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Acquisti!$A$4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Acquisti!$B$2:$J$2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Acquisti!$B$4:$J$4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2926781"/>
        <c:axId val="29470118"/>
      </c:bar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70118"/>
        <c:crosses val="autoZero"/>
        <c:auto val="0"/>
        <c:lblOffset val="100"/>
        <c:noMultiLvlLbl val="0"/>
      </c:catAx>
      <c:valAx>
        <c:axId val="29470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267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Acquisti!$A$6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Acquisti!$B$6:$J$6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Acquisti!$A$7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Acquisti!$B$7:$J$7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69328"/>
        <c:crossesAt val="10"/>
        <c:auto val="1"/>
        <c:lblOffset val="100"/>
        <c:noMultiLvlLbl val="0"/>
      </c:catAx>
      <c:valAx>
        <c:axId val="38269328"/>
        <c:scaling>
          <c:orientation val="minMax"/>
          <c:max val="25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04471"/>
        <c:crossesAt val="1"/>
        <c:crossBetween val="between"/>
        <c:dispUnits/>
        <c:majorUnit val="25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ED ORGANIZZAZIONE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'Personale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'Personale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'Personale 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'Personale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'Personale 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8879633"/>
        <c:axId val="12807834"/>
      </c:bar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auto val="0"/>
        <c:lblOffset val="100"/>
        <c:noMultiLvlLbl val="0"/>
      </c:catAx>
      <c:valAx>
        <c:axId val="1280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796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'Personale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'Personale 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'Personale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'Personale 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01604"/>
        <c:crossesAt val="100"/>
        <c:auto val="1"/>
        <c:lblOffset val="100"/>
        <c:noMultiLvlLbl val="0"/>
      </c:catAx>
      <c:valAx>
        <c:axId val="30801604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6164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Gabinetto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75"/>
          <c:w val="0.962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Gabinetto!$A$3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Gabinetto!$B$2:$J$2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Gabinetto!$B$3:$J$3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Gabinetto!$A$4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Gabinetto!$B$2:$J$2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Gabinetto!$B$4:$J$4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2302183"/>
        <c:axId val="45175328"/>
      </c:bar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0"/>
        <c:lblOffset val="100"/>
        <c:noMultiLvlLbl val="0"/>
      </c:catAx>
      <c:valAx>
        <c:axId val="45175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021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PROGRAMMAZIONE, CONTROLLI E STATISTICA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25"/>
          <c:w val="0.96325"/>
          <c:h val="0.64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'P&amp;C'!$A$3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'P&amp;C'!$B$2:$J$2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'P&amp;C'!$B$3:$J$3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'P&amp;C'!$A$4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'P&amp;C'!$B$2:$J$2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'P&amp;C'!$B$4:$J$4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8778981"/>
        <c:axId val="11901966"/>
      </c:bar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01966"/>
        <c:crosses val="autoZero"/>
        <c:auto val="0"/>
        <c:lblOffset val="100"/>
        <c:noMultiLvlLbl val="0"/>
      </c:catAx>
      <c:valAx>
        <c:axId val="11901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789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'P&amp;C'!$A$6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'P&amp;C'!$B$6:$J$6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'P&amp;C'!$A$7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'P&amp;C'!$B$7:$J$7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35160"/>
        <c:crossesAt val="60"/>
        <c:auto val="1"/>
        <c:lblOffset val="100"/>
        <c:noMultiLvlLbl val="0"/>
      </c:catAx>
      <c:valAx>
        <c:axId val="24535160"/>
        <c:scaling>
          <c:orientation val="minMax"/>
          <c:max val="17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883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SISTEMI INFORMATIVI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'Sistemi info'!$A$3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'Sistemi info'!$B$2:$J$2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'Sistemi info'!$B$3:$J$3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'Sistemi info'!$A$4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'Sistemi info'!$B$2:$J$2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'Sistemi info'!$B$4:$J$4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9489849"/>
        <c:axId val="41190914"/>
      </c:bar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auto val="0"/>
        <c:lblOffset val="100"/>
        <c:noMultiLvlLbl val="0"/>
      </c:catAx>
      <c:valAx>
        <c:axId val="41190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8984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'Sistemi info'!$A$6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'Sistemi info'!$B$6:$J$6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'Sistemi info'!$A$7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'Sistemi info'!$B$7:$J$7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5173907"/>
        <c:axId val="48129708"/>
      </c:line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29708"/>
        <c:crossesAt val="100"/>
        <c:auto val="1"/>
        <c:lblOffset val="100"/>
        <c:noMultiLvlLbl val="0"/>
      </c:catAx>
      <c:valAx>
        <c:axId val="48129708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LAVORI PUBBLICI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LLPP!$A$3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LLPP!$B$2:$J$2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LLPP!$B$3:$J$3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LLPP!$A$4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LLPP!$B$2:$J$2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LLPP!$B$4:$J$4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0514189"/>
        <c:axId val="6192246"/>
      </c:bar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auto val="0"/>
        <c:lblOffset val="100"/>
        <c:noMultiLvlLbl val="0"/>
      </c:catAx>
      <c:valAx>
        <c:axId val="6192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141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25"/>
          <c:w val="0.956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LLPP!$A$6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LLPP!$B$6:$J$6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LLPP!$A$7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LLPP!$B$7:$J$7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5730215"/>
        <c:axId val="31809888"/>
      </c:line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09888"/>
        <c:crossesAt val="80"/>
        <c:auto val="1"/>
        <c:lblOffset val="100"/>
        <c:noMultiLvlLbl val="0"/>
      </c:catAx>
      <c:valAx>
        <c:axId val="31809888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73021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SERVIZI ALLE PERSONE, FAMIGLIE…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servizi'!$A$3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servizi'!$B$2:$J$2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servizi'!$B$3:$J$3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servizi'!$A$4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servizi'!$B$2:$J$2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servizi'!$B$4:$J$4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7853537"/>
        <c:axId val="26464106"/>
      </c:bar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auto val="0"/>
        <c:lblOffset val="100"/>
        <c:noMultiLvlLbl val="0"/>
      </c:catAx>
      <c:valAx>
        <c:axId val="26464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535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25"/>
          <c:w val="0.956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'Area servizi'!$A$6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servizi'!$B$2:$J$2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servizi'!$B$6:$J$6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servizi'!$A$7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servizi'!$B$2:$J$2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servizi'!$B$7:$J$7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17812"/>
        <c:crossesAt val="100"/>
        <c:auto val="1"/>
        <c:lblOffset val="100"/>
        <c:noMultiLvlLbl val="0"/>
      </c:catAx>
      <c:valAx>
        <c:axId val="63217812"/>
        <c:scaling>
          <c:orientation val="minMax"/>
          <c:max val="2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At val="1"/>
        <c:crossBetween val="between"/>
        <c:dispUnits/>
        <c:majorUnit val="25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SALUTE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2"/>
          <c:w val="0.9655"/>
          <c:h val="0.7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Salute!$A$3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Salute!$B$2:$J$2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Salute!$B$3:$J$3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Salute!$A$4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Salute!$B$2:$J$2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Salute!$B$4:$J$4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auto val="0"/>
        <c:lblOffset val="100"/>
        <c:noMultiLvlLbl val="0"/>
      </c:catAx>
      <c:valAx>
        <c:axId val="20369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8939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25"/>
          <c:w val="0.956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Salute!$A$6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Salute!$B$2:$J$2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Salute!$B$6:$J$6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Salute!$A$7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Salute!$B$2:$J$2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Salute!$B$7:$J$7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9104335"/>
        <c:axId val="39285832"/>
      </c:line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85832"/>
        <c:crossesAt val="50"/>
        <c:auto val="1"/>
        <c:lblOffset val="100"/>
        <c:noMultiLvlLbl val="0"/>
      </c:catAx>
      <c:valAx>
        <c:axId val="39285832"/>
        <c:scaling>
          <c:orientation val="minMax"/>
          <c:max val="15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10433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775"/>
          <c:w val="0.95375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Gabinetto!$A$6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Gabinetto!$B$6:$J$6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Gabinetto!$A$7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Gabinetto!$B$7:$J$7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924769"/>
        <c:axId val="35322922"/>
      </c:line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At val="80"/>
        <c:auto val="1"/>
        <c:lblOffset val="100"/>
        <c:noMultiLvlLbl val="0"/>
      </c:catAx>
      <c:valAx>
        <c:axId val="35322922"/>
        <c:scaling>
          <c:orientation val="minMax"/>
          <c:max val="16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76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SOCIALI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'Servizi sociali'!$A$3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'Servizi sociali'!$B$2:$J$2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'Servizi sociali'!$B$3:$J$3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'Servizi sociali'!$A$4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'Servizi sociali'!$B$2:$J$2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'Servizi sociali'!$B$4:$J$4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8028169"/>
        <c:axId val="28035794"/>
      </c:bar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35794"/>
        <c:crosses val="autoZero"/>
        <c:auto val="0"/>
        <c:lblOffset val="100"/>
        <c:noMultiLvlLbl val="0"/>
      </c:catAx>
      <c:valAx>
        <c:axId val="28035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281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'Servizi sociali'!$A$6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sociali'!$B$2:$J$2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'Servizi sociali'!$B$6:$J$6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'Servizi sociali'!$A$7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sociali'!$B$2:$J$2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'Servizi sociali'!$B$7:$J$7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0995555"/>
        <c:axId val="56306812"/>
      </c:line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06812"/>
        <c:crossesAt val="100"/>
        <c:auto val="1"/>
        <c:lblOffset val="100"/>
        <c:noMultiLvlLbl val="0"/>
      </c:catAx>
      <c:valAx>
        <c:axId val="56306812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9555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ISTRUZIONE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Istruzione!$A$3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Istruzione!$B$2:$J$2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Istruzione!$B$3:$J$3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Istruzione!$A$4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Istruzione!$B$2:$J$2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Istruzione!$B$4:$J$4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6999261"/>
        <c:axId val="64557894"/>
      </c:bar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57894"/>
        <c:crosses val="autoZero"/>
        <c:auto val="0"/>
        <c:lblOffset val="100"/>
        <c:noMultiLvlLbl val="0"/>
      </c:catAx>
      <c:valAx>
        <c:axId val="64557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992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Istruzione!$A$6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Istruzione!$B$6:$J$6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Istruzione!$A$7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Istruzione!$B$7:$J$7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4150135"/>
        <c:axId val="61806896"/>
      </c:line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06896"/>
        <c:crossesAt val="100"/>
        <c:auto val="1"/>
        <c:lblOffset val="100"/>
        <c:noMultiLvlLbl val="0"/>
      </c:catAx>
      <c:valAx>
        <c:axId val="61806896"/>
        <c:scaling>
          <c:orientation val="minMax"/>
          <c:max val="4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50135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SAPERI ED ECONOMIA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saperi'!$A$3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saperi'!$B$2:$J$2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saperi'!$B$3:$J$3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saperi'!$A$4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saperi'!$B$2:$J$2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saperi'!$B$4:$J$4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9391153"/>
        <c:axId val="40302650"/>
      </c:bar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02650"/>
        <c:crosses val="autoZero"/>
        <c:auto val="0"/>
        <c:lblOffset val="100"/>
        <c:noMultiLvlLbl val="0"/>
      </c:catAx>
      <c:valAx>
        <c:axId val="40302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911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'Area saperi'!$A$6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saperi'!$B$2:$J$2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saperi'!$B$6:$J$6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saperi'!$A$7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saperi'!$B$2:$J$2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saperi'!$B$7:$J$7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7179531"/>
        <c:axId val="43289188"/>
      </c:line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89188"/>
        <c:crossesAt val="100"/>
        <c:auto val="1"/>
        <c:lblOffset val="100"/>
        <c:noMultiLvlLbl val="0"/>
      </c:catAx>
      <c:valAx>
        <c:axId val="43289188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953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PROGETTO NUOVE ISTITUZIONI MUSEALI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'Nuove istituzioni'!$A$3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'Nuove istituzioni'!$B$2:$J$2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'Nuove istituzioni'!$B$3:$J$3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'Nuove istituzioni'!$A$4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'Nuove istituzioni'!$B$2:$J$2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'Nuove istituzioni'!$B$4:$J$4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4058373"/>
        <c:axId val="16763310"/>
      </c:bar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63310"/>
        <c:crosses val="autoZero"/>
        <c:auto val="0"/>
        <c:lblOffset val="100"/>
        <c:noMultiLvlLbl val="0"/>
      </c:catAx>
      <c:valAx>
        <c:axId val="1676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583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CULTURA E RAPPORTI CON L'UNIVERSITA'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Cultura!$A$3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Cultura!$B$2:$J$2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Cultura!$B$3:$J$3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Cultura!$A$4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Cultura!$B$2:$J$2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Cultura!$B$4:$J$4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6652063"/>
        <c:axId val="15650840"/>
      </c:bar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50840"/>
        <c:crosses val="autoZero"/>
        <c:auto val="0"/>
        <c:lblOffset val="100"/>
        <c:noMultiLvlLbl val="0"/>
      </c:catAx>
      <c:valAx>
        <c:axId val="15650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520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Cultura!$A$6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Cultura!$B$6:$J$6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Cultura!$A$7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Cultura!$B$7:$J$7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58498"/>
        <c:crossesAt val="100"/>
        <c:auto val="1"/>
        <c:lblOffset val="100"/>
        <c:noMultiLvlLbl val="0"/>
      </c:catAx>
      <c:valAx>
        <c:axId val="59758498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983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ECONOMIA E ATTIVITA' TURISTICHE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Economia!$A$3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Economia!$B$2:$J$2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Economia!$B$3:$J$3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Economia!$A$4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Economia!$B$2:$J$2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Economia!$B$4:$J$4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00140"/>
        <c:crosses val="autoZero"/>
        <c:auto val="0"/>
        <c:lblOffset val="100"/>
        <c:noMultiLvlLbl val="0"/>
      </c:catAx>
      <c:valAx>
        <c:axId val="8600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55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POLITICHE PER LA SICUREZZA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'Politiche sicurezza'!$A$3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'Politiche sicurezza'!$B$2:$J$2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'Politiche sicurezza'!$B$3:$J$3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'Politiche sicurezza'!$A$4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'Politiche sicurezza'!$B$2:$J$2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'Politiche sicurezza'!$B$4:$J$4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0"/>
        <c:lblOffset val="100"/>
        <c:noMultiLvlLbl val="0"/>
      </c:catAx>
      <c:valAx>
        <c:axId val="4258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708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Economia!$A$6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Economia!$B$2:$J$2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Economia!$B$6:$J$6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Economia!$B$2:$J$2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Economia!$B$7:$J$7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22710"/>
        <c:crossesAt val="100"/>
        <c:auto val="1"/>
        <c:lblOffset val="100"/>
        <c:noMultiLvlLbl val="0"/>
      </c:catAx>
      <c:valAx>
        <c:axId val="25522710"/>
        <c:scaling>
          <c:orientation val="minMax"/>
          <c:max val="4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92397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 E GIOVANI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Sport!$A$3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Sport!$B$2:$J$2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Sport!$B$3:$J$3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Sport!$A$4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Sport!$B$2:$J$2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Sport!$B$4:$J$4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8377799"/>
        <c:axId val="54073600"/>
      </c:bar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73600"/>
        <c:crosses val="autoZero"/>
        <c:auto val="0"/>
        <c:lblOffset val="100"/>
        <c:noMultiLvlLbl val="0"/>
      </c:catAx>
      <c:valAx>
        <c:axId val="54073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777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Sport!$A$6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Sport!$B$6:$J$6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Sport!$A$7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Sport!$B$7:$J$7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5450"/>
        <c:crossesAt val="90"/>
        <c:auto val="1"/>
        <c:lblOffset val="100"/>
        <c:noMultiLvlLbl val="0"/>
      </c:catAx>
      <c:valAx>
        <c:axId val="1788545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00353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URBANISTICA, AMBIENTE E MOBILITA'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775"/>
          <c:w val="0.9655"/>
          <c:h val="0.76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Urbanistica'!$A$3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Urbanistica'!$B$2:$J$2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Urbanistica'!$B$3:$J$3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Urbanistica'!$A$4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Urbanistica'!$B$2:$J$2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Urbanistica'!$B$4:$J$4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6751323"/>
        <c:axId val="39435316"/>
      </c:bar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5316"/>
        <c:crosses val="autoZero"/>
        <c:auto val="0"/>
        <c:lblOffset val="100"/>
        <c:noMultiLvlLbl val="0"/>
      </c:catAx>
      <c:valAx>
        <c:axId val="39435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5132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'Area Urbanistica'!$A$6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Urbanistica'!$B$2:$J$2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Urbanistica'!$B$6:$J$6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Urbanistica'!$A$7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Urbanistica'!$B$2:$J$2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Urbanistica'!$B$7:$J$7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43998"/>
        <c:crossesAt val="100"/>
        <c:auto val="1"/>
        <c:lblOffset val="100"/>
        <c:noMultiLvlLbl val="0"/>
      </c:catAx>
      <c:valAx>
        <c:axId val="40143998"/>
        <c:scaling>
          <c:orientation val="minMax"/>
          <c:max val="1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73525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AREA URBANISTICA, AMBIENTE E MOBILITA'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5"/>
          <c:w val="0.9655"/>
          <c:h val="0.7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Area Urbanistica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'Dir Area Urbanistica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'Dir Area Urbanistica 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'Dir Area Urbanistica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'Dir Area Urbanistica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'Dir Area Urbanistica 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5751663"/>
        <c:axId val="30438376"/>
      </c:bar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38376"/>
        <c:crosses val="autoZero"/>
        <c:auto val="0"/>
        <c:lblOffset val="100"/>
        <c:noMultiLvlLbl val="0"/>
      </c:catAx>
      <c:valAx>
        <c:axId val="30438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516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'Dir Area Urbanistica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Area Urbanistica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'Dir Area Urbanistica 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Area Urbanistica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Area Urbanistica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'Dir Area Urbanistica 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89362"/>
        <c:crossesAt val="90"/>
        <c:auto val="1"/>
        <c:lblOffset val="100"/>
        <c:noMultiLvlLbl val="0"/>
      </c:catAx>
      <c:valAx>
        <c:axId val="49589362"/>
        <c:scaling>
          <c:orientation val="minMax"/>
          <c:max val="35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9929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PROGRAMMI URBANISTICI - EDILIZI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"/>
          <c:w val="0.9655"/>
          <c:h val="0.8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'Programmi urb'!$A$3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'Programmi urb'!$B$2:$J$2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'Programmi urb'!$B$3:$J$3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'Programmi urb'!$A$4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'Programmi urb'!$B$2:$J$2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'Programmi urb'!$B$4:$J$4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15356"/>
        <c:crosses val="autoZero"/>
        <c:auto val="0"/>
        <c:lblOffset val="100"/>
        <c:noMultiLvlLbl val="0"/>
      </c:catAx>
      <c:valAx>
        <c:axId val="5731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5107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'Programmi urb'!$A$6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'Programmi urb'!$B$2:$J$2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'Programmi urb'!$B$6:$J$6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'Programmi urb'!$A$7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'Programmi urb'!$B$2:$J$2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'Programmi urb'!$B$7:$J$7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32230"/>
        <c:crossesAt val="20"/>
        <c:auto val="1"/>
        <c:lblOffset val="100"/>
        <c:noMultiLvlLbl val="0"/>
      </c:catAx>
      <c:valAx>
        <c:axId val="12032230"/>
        <c:scaling>
          <c:orientation val="minMax"/>
          <c:max val="12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76157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MOBILITA' URBANA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65"/>
          <c:w val="0.965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Mobilità!$A$3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Mobilità!$B$2:$J$2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Mobilità!$B$3:$J$3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Mobilità!$A$4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Mobilità!$B$2:$J$2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Mobilità!$B$4:$J$4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1181207"/>
        <c:axId val="35086544"/>
      </c:bar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86544"/>
        <c:crosses val="autoZero"/>
        <c:auto val="0"/>
        <c:lblOffset val="100"/>
        <c:noMultiLvlLbl val="0"/>
      </c:catAx>
      <c:valAx>
        <c:axId val="3508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812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'Politiche sicurezza'!$A$6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'Politiche sicurezza'!$B$2:$J$2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'Politiche sicurezza'!$B$6:$J$6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'Politiche sicurezza'!$A$7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'Politiche sicurezza'!$B$2:$J$2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'Politiche sicurezza'!$B$7:$J$7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7715317"/>
        <c:axId val="26784670"/>
      </c:line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84670"/>
        <c:crossesAt val="70"/>
        <c:auto val="1"/>
        <c:lblOffset val="100"/>
        <c:noMultiLvlLbl val="0"/>
      </c:catAx>
      <c:valAx>
        <c:axId val="26784670"/>
        <c:scaling>
          <c:orientation val="minMax"/>
          <c:max val="21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71531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Mobilità!$A$6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Mobilità!$B$6:$J$6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Mobilità!$A$7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Mobilità!$B$7:$J$7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7343441"/>
        <c:axId val="23437786"/>
      </c:line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37786"/>
        <c:crossesAt val="90"/>
        <c:auto val="1"/>
        <c:lblOffset val="100"/>
        <c:noMultiLvlLbl val="0"/>
      </c:catAx>
      <c:valAx>
        <c:axId val="23437786"/>
        <c:scaling>
          <c:orientation val="minMax"/>
          <c:max val="3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43441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INTERVENTI E SERVIZI PER LA CASA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2"/>
          <c:w val="0.9655"/>
          <c:h val="0.7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'Interventi casa'!$A$3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'Interventi casa'!$B$2:$J$2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'Interventi casa'!$B$3:$J$3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'Interventi casa'!$A$4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'Interventi casa'!$B$2:$J$2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'Interventi casa'!$B$4:$J$4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9613483"/>
        <c:axId val="19412484"/>
      </c:bar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12484"/>
        <c:crosses val="autoZero"/>
        <c:auto val="0"/>
        <c:lblOffset val="100"/>
        <c:noMultiLvlLbl val="0"/>
      </c:catAx>
      <c:valAx>
        <c:axId val="1941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134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'Interventi casa'!$A$6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'Interventi casa'!$B$2:$J$2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'Interventi casa'!$B$6:$J$6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'Interventi casa'!$A$7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'Interventi casa'!$B$2:$J$2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'Interventi casa'!$B$7:$J$7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0494629"/>
        <c:axId val="28907342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07342"/>
        <c:crossesAt val="70"/>
        <c:auto val="1"/>
        <c:lblOffset val="100"/>
        <c:noMultiLvlLbl val="0"/>
      </c:catAx>
      <c:valAx>
        <c:axId val="28907342"/>
        <c:scaling>
          <c:orientation val="minMax"/>
          <c:max val="210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94629"/>
        <c:crossesAt val="1"/>
        <c:crossBetween val="between"/>
        <c:dispUnits/>
        <c:majorUnit val="20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AMBIENTE E VERDE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55"/>
          <c:w val="0.9655"/>
          <c:h val="0.7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'Ambiente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'Ambiente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'Ambiente 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'Ambiente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'Ambiente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'Ambiente 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8839487"/>
        <c:axId val="59793336"/>
      </c:bar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93336"/>
        <c:crosses val="autoZero"/>
        <c:auto val="0"/>
        <c:lblOffset val="100"/>
        <c:noMultiLvlLbl val="0"/>
      </c:catAx>
      <c:valAx>
        <c:axId val="5979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3948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'Ambiente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'Ambiente 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'Ambiente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'Ambiente 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269113"/>
        <c:axId val="11422018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22018"/>
        <c:crossesAt val="100"/>
        <c:auto val="1"/>
        <c:lblOffset val="100"/>
        <c:noMultiLvlLbl val="0"/>
      </c:catAx>
      <c:valAx>
        <c:axId val="11422018"/>
        <c:scaling>
          <c:orientation val="minMax"/>
          <c:max val="1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113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COMUNICAZIONE E RAPPORTI CON LA CITTADINANZA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75"/>
          <c:w val="0.9655"/>
          <c:h val="0.7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Comunicazione'!$A$3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Comunicazione'!$B$2:$J$2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Comunicazione'!$B$3:$J$3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'Area Comunicazione'!$A$4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Comunicazione'!$B$2:$J$2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Comunicazione'!$B$4:$J$4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5689299"/>
        <c:axId val="52768236"/>
      </c:bar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68236"/>
        <c:crosses val="autoZero"/>
        <c:auto val="0"/>
        <c:lblOffset val="100"/>
        <c:noMultiLvlLbl val="0"/>
      </c:catAx>
      <c:valAx>
        <c:axId val="52768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6892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'Area Comunicazione'!$A$6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Comunicazione'!$B$2:$J$2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Comunicazione'!$B$6:$J$6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Comunicazione'!$A$7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Comunicazione'!$B$2:$J$2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'Area Comunicazione'!$B$7:$J$7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152077"/>
        <c:axId val="46368694"/>
      </c:line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68694"/>
        <c:crossesAt val="80"/>
        <c:auto val="1"/>
        <c:lblOffset val="100"/>
        <c:noMultiLvlLbl val="0"/>
      </c:catAx>
      <c:valAx>
        <c:axId val="46368694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07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COMUNICAZIONE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75"/>
          <c:w val="0.9655"/>
          <c:h val="0.7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'Comunicazione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'Comunicazione '!$B$2:$J$2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'Comunicazione '!$B$3:$J$3</c:f>
              <c:numCache>
                <c:ptCount val="9"/>
                <c:pt idx="0">
                  <c:v>999</c:v>
                </c:pt>
                <c:pt idx="1">
                  <c:v>1330</c:v>
                </c:pt>
                <c:pt idx="2">
                  <c:v>1417</c:v>
                </c:pt>
                <c:pt idx="3">
                  <c:v>1272</c:v>
                </c:pt>
                <c:pt idx="4">
                  <c:v>1568.769603412747</c:v>
                </c:pt>
                <c:pt idx="5">
                  <c:v>1060</c:v>
                </c:pt>
                <c:pt idx="6">
                  <c:v>863</c:v>
                </c:pt>
                <c:pt idx="7">
                  <c:v>724</c:v>
                </c:pt>
                <c:pt idx="8">
                  <c:v>728</c:v>
                </c:pt>
              </c:numCache>
            </c:numRef>
          </c:val>
        </c:ser>
        <c:ser>
          <c:idx val="0"/>
          <c:order val="1"/>
          <c:tx>
            <c:strRef>
              <c:f>'Comunicazione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'Comunicazione '!$B$2:$J$2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'Comunicazione '!$B$4:$J$4</c:f>
              <c:numCache>
                <c:ptCount val="9"/>
                <c:pt idx="0">
                  <c:v>0</c:v>
                </c:pt>
                <c:pt idx="1">
                  <c:v>44</c:v>
                </c:pt>
                <c:pt idx="2">
                  <c:v>49</c:v>
                </c:pt>
                <c:pt idx="3">
                  <c:v>81</c:v>
                </c:pt>
                <c:pt idx="4">
                  <c:v>202.2303965872528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52</c:v>
                </c:pt>
              </c:numCache>
            </c:numRef>
          </c:val>
        </c:ser>
        <c:overlap val="100"/>
        <c:axId val="14665063"/>
        <c:axId val="64876704"/>
      </c:bar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76704"/>
        <c:crosses val="autoZero"/>
        <c:auto val="0"/>
        <c:lblOffset val="100"/>
        <c:noMultiLvlLbl val="0"/>
      </c:catAx>
      <c:valAx>
        <c:axId val="6487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650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'Comunicazione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'!$B$2:$J$2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'Comunicazione '!$B$6:$J$6</c:f>
              <c:numCache>
                <c:ptCount val="9"/>
                <c:pt idx="0">
                  <c:v>100</c:v>
                </c:pt>
                <c:pt idx="1">
                  <c:v>133.13313313313313</c:v>
                </c:pt>
                <c:pt idx="2">
                  <c:v>141.84184184184184</c:v>
                </c:pt>
                <c:pt idx="3">
                  <c:v>127.32732732732732</c:v>
                </c:pt>
                <c:pt idx="4">
                  <c:v>157.03399433561032</c:v>
                </c:pt>
                <c:pt idx="5">
                  <c:v>106.10610610610611</c:v>
                </c:pt>
                <c:pt idx="6">
                  <c:v>86.38638638638638</c:v>
                </c:pt>
                <c:pt idx="7">
                  <c:v>72.47247247247248</c:v>
                </c:pt>
                <c:pt idx="8">
                  <c:v>72.87287287287288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'Comunicazione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'!$B$2:$J$2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'Comunicazione '!$B$7:$J$7</c:f>
              <c:numCache>
                <c:ptCount val="9"/>
                <c:pt idx="0">
                  <c:v>100</c:v>
                </c:pt>
                <c:pt idx="1">
                  <c:v>102.2</c:v>
                </c:pt>
                <c:pt idx="2">
                  <c:v>104</c:v>
                </c:pt>
                <c:pt idx="3">
                  <c:v>106.5</c:v>
                </c:pt>
                <c:pt idx="4">
                  <c:v>109.3</c:v>
                </c:pt>
                <c:pt idx="5">
                  <c:v>112</c:v>
                </c:pt>
                <c:pt idx="6">
                  <c:v>114.2</c:v>
                </c:pt>
                <c:pt idx="7">
                  <c:v>115.9</c:v>
                </c:pt>
                <c:pt idx="8">
                  <c:v>117.6</c:v>
                </c:pt>
              </c:numCache>
            </c:numRef>
          </c:val>
          <c:smooth val="0"/>
        </c:ser>
        <c:marker val="1"/>
        <c:axId val="47019425"/>
        <c:axId val="20521642"/>
      </c:line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21642"/>
        <c:crossesAt val="70"/>
        <c:auto val="1"/>
        <c:lblOffset val="100"/>
        <c:noMultiLvlLbl val="0"/>
      </c:catAx>
      <c:valAx>
        <c:axId val="20521642"/>
        <c:scaling>
          <c:orientation val="minMax"/>
          <c:max val="16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1942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SPORTELLO PER LE IMPRESE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'Sportello imprese'!$A$3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'Sportello imprese'!$B$2:$J$2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'Sportello imprese'!$B$3:$J$3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'Sportello imprese'!$A$4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'Sportello imprese'!$B$2:$J$2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'Sportello imprese'!$B$4:$J$4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0477051"/>
        <c:axId val="51640276"/>
      </c:bar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40276"/>
        <c:crosses val="autoZero"/>
        <c:auto val="0"/>
        <c:lblOffset val="100"/>
        <c:noMultiLvlLbl val="0"/>
      </c:catAx>
      <c:valAx>
        <c:axId val="51640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770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DEL CONSIGLIO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del Consiglio'!$A$3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'Staff del Consiglio'!$B$2:$J$2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'Staff del Consiglio'!$B$3:$J$3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'Staff del Consiglio'!$A$4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del Consiglio'!$B$2:$J$2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'Staff del Consiglio'!$B$4:$J$4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auto val="0"/>
        <c:lblOffset val="100"/>
        <c:noMultiLvlLbl val="0"/>
      </c:catAx>
      <c:valAx>
        <c:axId val="22074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354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DEMOGRAFICI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'Servizi demografici'!$A$3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'Servizi demografici'!$B$2:$J$2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'Servizi demografici'!$B$3:$J$3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'Servizi demografici'!$A$4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'Servizi demografici'!$B$2:$J$2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'Servizi demografici'!$B$4:$J$4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2109301"/>
        <c:axId val="22112798"/>
      </c:bar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12798"/>
        <c:crosses val="autoZero"/>
        <c:auto val="0"/>
        <c:lblOffset val="100"/>
        <c:noMultiLvlLbl val="0"/>
      </c:catAx>
      <c:valAx>
        <c:axId val="22112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093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'Servizi demografici'!$A$6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'Servizi demografici'!$B$6:$J$6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'Servizi demografici'!$A$7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'Servizi demografici'!$B$7:$J$7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06184"/>
        <c:crossesAt val="50"/>
        <c:auto val="1"/>
        <c:lblOffset val="100"/>
        <c:noMultiLvlLbl val="0"/>
      </c:catAx>
      <c:valAx>
        <c:axId val="46306184"/>
        <c:scaling>
          <c:orientation val="minMax"/>
          <c:max val="15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9745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POLIZIA MUNICIPALE E PROTEZIONE CIVILE</a:t>
            </a:r>
          </a:p>
        </c:rich>
      </c:tx>
      <c:layout>
        <c:manualLayout>
          <c:xMode val="factor"/>
          <c:yMode val="factor"/>
          <c:x val="0.028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95"/>
          <c:w val="0.9655"/>
          <c:h val="0.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PM!$A$3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PM!$B$2:$J$2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PM!$B$3:$J$3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PM!$A$4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PM!$B$2:$J$2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PM!$B$4:$J$4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4102473"/>
        <c:axId val="59813394"/>
      </c:bar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 val="autoZero"/>
        <c:auto val="0"/>
        <c:lblOffset val="100"/>
        <c:noMultiLvlLbl val="0"/>
      </c:catAx>
      <c:valAx>
        <c:axId val="5981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PM!$A$6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PM!$B$6:$J$6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PM!$A$7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PM!$B$7:$J$7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46716"/>
        <c:crossesAt val="100"/>
        <c:auto val="1"/>
        <c:lblOffset val="100"/>
        <c:noMultiLvlLbl val="0"/>
      </c:catAx>
      <c:valAx>
        <c:axId val="13046716"/>
        <c:scaling>
          <c:orientation val="minMax"/>
          <c:max val="4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9635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375"/>
          <c:w val="0.966"/>
          <c:h val="0.8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Quartieri!$A$3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Quartieri!$B$2:$J$2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Quartieri!$B$3:$J$3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Quartieri!$A$4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Quartieri!$B$2:$J$2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Quartieri!$B$4:$J$4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0311581"/>
        <c:axId val="50151046"/>
      </c:bar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51046"/>
        <c:crosses val="autoZero"/>
        <c:auto val="0"/>
        <c:lblOffset val="100"/>
        <c:noMultiLvlLbl val="0"/>
      </c:catAx>
      <c:valAx>
        <c:axId val="5015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Quartieri!$A$6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Quartieri!$B$6:$J$6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Quartieri!$A$7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Quartieri!$B$7:$J$7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02896"/>
        <c:crossesAt val="100"/>
        <c:auto val="1"/>
        <c:lblOffset val="100"/>
        <c:noMultiLvlLbl val="0"/>
      </c:catAx>
      <c:valAx>
        <c:axId val="35702896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623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CONSUMI SPECIFICI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6"/>
          <c:w val="0.96775"/>
          <c:h val="0.82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'TOTALE CS'!$A$3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'TOTALE CS'!$B$2:$J$2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'TOTALE CS'!$B$3:$J$3</c:f>
              <c:numCache>
                <c:ptCount val="9"/>
                <c:pt idx="0">
                  <c:v>87295</c:v>
                </c:pt>
                <c:pt idx="1">
                  <c:v>105532</c:v>
                </c:pt>
                <c:pt idx="2">
                  <c:v>99212</c:v>
                </c:pt>
                <c:pt idx="3">
                  <c:v>108868</c:v>
                </c:pt>
                <c:pt idx="4">
                  <c:v>111909.1264286489</c:v>
                </c:pt>
                <c:pt idx="5">
                  <c:v>116842</c:v>
                </c:pt>
                <c:pt idx="6">
                  <c:v>120908</c:v>
                </c:pt>
                <c:pt idx="7">
                  <c:v>127539</c:v>
                </c:pt>
                <c:pt idx="8">
                  <c:v>126557</c:v>
                </c:pt>
              </c:numCache>
            </c:numRef>
          </c:val>
        </c:ser>
        <c:ser>
          <c:idx val="0"/>
          <c:order val="1"/>
          <c:tx>
            <c:strRef>
              <c:f>'TOTALE CS'!$A$4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'TOTALE CS'!$B$2:$J$2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'TOTALE CS'!$B$4:$J$4</c:f>
              <c:numCache>
                <c:ptCount val="9"/>
                <c:pt idx="0">
                  <c:v>5712</c:v>
                </c:pt>
                <c:pt idx="1">
                  <c:v>8376</c:v>
                </c:pt>
                <c:pt idx="2">
                  <c:v>14721</c:v>
                </c:pt>
                <c:pt idx="3">
                  <c:v>19397</c:v>
                </c:pt>
                <c:pt idx="4">
                  <c:v>15915.873571351103</c:v>
                </c:pt>
                <c:pt idx="5">
                  <c:v>21562</c:v>
                </c:pt>
                <c:pt idx="6">
                  <c:v>23216</c:v>
                </c:pt>
                <c:pt idx="7">
                  <c:v>24283</c:v>
                </c:pt>
                <c:pt idx="8">
                  <c:v>27537</c:v>
                </c:pt>
              </c:numCache>
            </c:numRef>
          </c:val>
        </c:ser>
        <c:overlap val="100"/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auto val="0"/>
        <c:lblOffset val="100"/>
        <c:noMultiLvlLbl val="0"/>
      </c:catAx>
      <c:valAx>
        <c:axId val="625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835"/>
          <c:y val="0.9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'TOTALE CS'!$A$6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CS'!$B$2:$J$2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'TOTALE CS'!$B$6:$J$6</c:f>
              <c:numCache>
                <c:ptCount val="9"/>
                <c:pt idx="0">
                  <c:v>100</c:v>
                </c:pt>
                <c:pt idx="1">
                  <c:v>120.89123088378486</c:v>
                </c:pt>
                <c:pt idx="2">
                  <c:v>113.65141187925998</c:v>
                </c:pt>
                <c:pt idx="3">
                  <c:v>124.71275559883155</c:v>
                </c:pt>
                <c:pt idx="4">
                  <c:v>128.19649055346687</c:v>
                </c:pt>
                <c:pt idx="5">
                  <c:v>133.84729938713556</c:v>
                </c:pt>
                <c:pt idx="6">
                  <c:v>138.50506901884415</c:v>
                </c:pt>
                <c:pt idx="7">
                  <c:v>146.10115126868664</c:v>
                </c:pt>
                <c:pt idx="8">
                  <c:v>144.97623002462913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'TOTALE CS'!$A$7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CS'!$B$2:$J$2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'TOTALE CS'!$B$7:$J$7</c:f>
              <c:numCache>
                <c:ptCount val="9"/>
                <c:pt idx="0">
                  <c:v>100</c:v>
                </c:pt>
                <c:pt idx="1">
                  <c:v>102.2</c:v>
                </c:pt>
                <c:pt idx="2">
                  <c:v>104</c:v>
                </c:pt>
                <c:pt idx="3">
                  <c:v>106.5</c:v>
                </c:pt>
                <c:pt idx="4">
                  <c:v>109.3</c:v>
                </c:pt>
                <c:pt idx="5">
                  <c:v>112</c:v>
                </c:pt>
                <c:pt idx="6">
                  <c:v>114.2</c:v>
                </c:pt>
                <c:pt idx="7">
                  <c:v>115.9</c:v>
                </c:pt>
                <c:pt idx="8">
                  <c:v>117.6</c:v>
                </c:pt>
              </c:numCache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66116"/>
        <c:crossesAt val="100"/>
        <c:auto val="1"/>
        <c:lblOffset val="100"/>
        <c:noMultiLvlLbl val="0"/>
      </c:catAx>
      <c:valAx>
        <c:axId val="36766116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090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'Staff del Consiglio'!$A$6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'Staff del Consiglio'!$B$6:$J$6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'Staff del Consiglio'!$A$7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'Staff del Consiglio'!$B$7:$J$7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At val="80"/>
        <c:auto val="1"/>
        <c:lblOffset val="100"/>
        <c:noMultiLvlLbl val="0"/>
      </c:catAx>
      <c:valAx>
        <c:axId val="43214738"/>
        <c:scaling>
          <c:orientation val="minMax"/>
          <c:max val="13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PARTECIPAZIONI SOCIETARIE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'Partecipazione soc'!$A$3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'Partecipazione soc'!$B$2:$J$2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'Partecipazione soc'!$B$3:$J$3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'Partecipazione soc'!$A$4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'Partecipazione soc'!$B$2:$J$2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'Partecipazione soc'!$B$4:$J$4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3388323"/>
        <c:axId val="10732860"/>
      </c:bar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auto val="0"/>
        <c:lblOffset val="100"/>
        <c:noMultiLvlLbl val="0"/>
      </c:catAx>
      <c:valAx>
        <c:axId val="10732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8832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Relationship Id="rId2" Type="http://schemas.openxmlformats.org/officeDocument/2006/relationships/chart" Target="/xl/charts/chart75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3971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238625" y="1447800"/>
        <a:ext cx="42100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3910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3910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3910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3910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4386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391025" y="1447800"/>
        <a:ext cx="42100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4386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4386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0</xdr:rowOff>
    </xdr:from>
    <xdr:to>
      <xdr:col>8</xdr:col>
      <xdr:colOff>114300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0575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0</xdr:rowOff>
    </xdr:from>
    <xdr:to>
      <xdr:col>8</xdr:col>
      <xdr:colOff>114300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0575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476250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95250" y="1323975"/>
        <a:ext cx="48101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8</xdr:row>
      <xdr:rowOff>28575</xdr:rowOff>
    </xdr:from>
    <xdr:to>
      <xdr:col>13</xdr:col>
      <xdr:colOff>600075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4972050" y="13525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0</xdr:rowOff>
    </xdr:from>
    <xdr:to>
      <xdr:col>8</xdr:col>
      <xdr:colOff>114300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0575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0</xdr:rowOff>
    </xdr:from>
    <xdr:to>
      <xdr:col>8</xdr:col>
      <xdr:colOff>114300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0575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0</xdr:rowOff>
    </xdr:from>
    <xdr:to>
      <xdr:col>8</xdr:col>
      <xdr:colOff>114300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0575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6"/>
  <sheetViews>
    <sheetView tabSelected="1"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.57421875" style="3" customWidth="1"/>
    <col min="4" max="4" width="46.7109375" style="4" customWidth="1"/>
    <col min="5" max="5" width="0.5625" style="0" customWidth="1"/>
    <col min="6" max="6" width="11.00390625" style="95" customWidth="1"/>
    <col min="7" max="7" width="10.8515625" style="95" customWidth="1"/>
    <col min="8" max="8" width="11.00390625" style="95" customWidth="1"/>
    <col min="9" max="9" width="10.8515625" style="95" customWidth="1"/>
    <col min="10" max="10" width="11.00390625" style="95" customWidth="1"/>
    <col min="11" max="11" width="10.8515625" style="95" customWidth="1"/>
    <col min="12" max="12" width="11.00390625" style="95" customWidth="1"/>
    <col min="13" max="13" width="10.8515625" style="95" customWidth="1"/>
    <col min="14" max="14" width="11.00390625" style="121" customWidth="1"/>
    <col min="15" max="15" width="10.8515625" style="49" customWidth="1"/>
    <col min="16" max="16" width="11.00390625" style="95" customWidth="1"/>
    <col min="17" max="17" width="10.8515625" style="121" customWidth="1"/>
    <col min="18" max="18" width="11.00390625" style="95" customWidth="1"/>
    <col min="19" max="19" width="10.8515625" style="121" customWidth="1"/>
    <col min="20" max="20" width="11.00390625" style="95" customWidth="1"/>
    <col min="21" max="21" width="10.8515625" style="121" customWidth="1"/>
    <col min="22" max="22" width="11.00390625" style="49" bestFit="1" customWidth="1"/>
    <col min="23" max="23" width="10.8515625" style="49" bestFit="1" customWidth="1"/>
    <col min="24" max="44" width="9.140625" style="49" customWidth="1"/>
  </cols>
  <sheetData>
    <row r="1" spans="1:44" s="2" customFormat="1" ht="20.25">
      <c r="A1" s="79" t="s">
        <v>164</v>
      </c>
      <c r="B1" s="3"/>
      <c r="C1" s="3"/>
      <c r="D1" s="4"/>
      <c r="E1"/>
      <c r="F1" s="95"/>
      <c r="G1" s="95"/>
      <c r="H1" s="95"/>
      <c r="I1" s="95"/>
      <c r="J1" s="95"/>
      <c r="K1" s="95"/>
      <c r="L1" s="95"/>
      <c r="M1" s="95"/>
      <c r="N1" s="121"/>
      <c r="O1" s="49"/>
      <c r="P1" s="95"/>
      <c r="Q1" s="121"/>
      <c r="R1" s="95"/>
      <c r="S1" s="121"/>
      <c r="T1" s="95"/>
      <c r="U1" s="121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1:44" s="2" customFormat="1" ht="15">
      <c r="A2" s="3"/>
      <c r="B2" s="3"/>
      <c r="C2" s="3"/>
      <c r="D2" s="4"/>
      <c r="E2"/>
      <c r="F2" s="95"/>
      <c r="G2" s="95"/>
      <c r="H2" s="128"/>
      <c r="I2" s="129"/>
      <c r="J2" s="128"/>
      <c r="K2" s="128"/>
      <c r="L2" s="128"/>
      <c r="M2" s="95"/>
      <c r="N2" s="121"/>
      <c r="O2" s="49"/>
      <c r="P2" s="95"/>
      <c r="Q2" s="121"/>
      <c r="R2" s="95"/>
      <c r="S2" s="121"/>
      <c r="T2" s="95"/>
      <c r="U2" s="121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1:44" s="2" customFormat="1" ht="21.75">
      <c r="A3" s="6"/>
      <c r="B3" s="6"/>
      <c r="C3" s="6"/>
      <c r="D3" s="7" t="s">
        <v>48</v>
      </c>
      <c r="E3"/>
      <c r="F3" s="95"/>
      <c r="G3" s="95"/>
      <c r="H3" s="128"/>
      <c r="I3" s="129"/>
      <c r="J3" s="130"/>
      <c r="K3" s="130"/>
      <c r="L3" s="130"/>
      <c r="M3" s="131"/>
      <c r="N3" s="132"/>
      <c r="O3" s="49"/>
      <c r="P3" s="96"/>
      <c r="Q3" s="121"/>
      <c r="R3" s="96"/>
      <c r="S3" s="121"/>
      <c r="T3" s="96"/>
      <c r="U3" s="121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1:44" s="2" customFormat="1" ht="12.75">
      <c r="A4" s="6"/>
      <c r="B4" s="6"/>
      <c r="C4" s="6"/>
      <c r="D4" s="9"/>
      <c r="E4"/>
      <c r="F4" s="95"/>
      <c r="G4" s="95"/>
      <c r="H4" s="95"/>
      <c r="I4" s="95"/>
      <c r="J4" s="95"/>
      <c r="K4" s="95"/>
      <c r="L4" s="95"/>
      <c r="M4" s="95"/>
      <c r="N4" s="121"/>
      <c r="O4" s="49"/>
      <c r="P4" s="95"/>
      <c r="Q4" s="121"/>
      <c r="R4" s="95"/>
      <c r="S4" s="121"/>
      <c r="T4" s="95"/>
      <c r="U4" s="121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1:44" s="2" customFormat="1" ht="12.75">
      <c r="A5" s="81" t="s">
        <v>127</v>
      </c>
      <c r="B5" s="10"/>
      <c r="C5" s="10"/>
      <c r="D5" s="11"/>
      <c r="E5"/>
      <c r="F5" s="95"/>
      <c r="G5" s="95"/>
      <c r="H5" s="95"/>
      <c r="I5" s="95"/>
      <c r="J5" s="95"/>
      <c r="K5" s="95"/>
      <c r="L5" s="95"/>
      <c r="M5" s="95"/>
      <c r="N5" s="121"/>
      <c r="O5" s="49"/>
      <c r="P5" s="95"/>
      <c r="Q5" s="121"/>
      <c r="R5" s="95"/>
      <c r="S5" s="121"/>
      <c r="T5" s="95"/>
      <c r="U5" s="121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</row>
    <row r="6" spans="1:44" s="2" customFormat="1" ht="12.75">
      <c r="A6" s="12"/>
      <c r="B6" s="17"/>
      <c r="C6" s="12"/>
      <c r="D6" s="12"/>
      <c r="E6"/>
      <c r="F6" s="164">
        <v>1997</v>
      </c>
      <c r="G6" s="165"/>
      <c r="H6" s="164">
        <v>1998</v>
      </c>
      <c r="I6" s="165"/>
      <c r="J6" s="164">
        <v>1999</v>
      </c>
      <c r="K6" s="165"/>
      <c r="L6" s="164">
        <v>2000</v>
      </c>
      <c r="M6" s="165"/>
      <c r="N6" s="164">
        <v>2001</v>
      </c>
      <c r="O6" s="166"/>
      <c r="P6" s="164">
        <v>2002</v>
      </c>
      <c r="Q6" s="166"/>
      <c r="R6" s="164">
        <v>2003</v>
      </c>
      <c r="S6" s="166"/>
      <c r="T6" s="164">
        <v>2004</v>
      </c>
      <c r="U6" s="166"/>
      <c r="V6" s="164">
        <v>2005</v>
      </c>
      <c r="W6" s="166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s="2" customFormat="1" ht="12.75">
      <c r="A7" s="12"/>
      <c r="B7" s="12"/>
      <c r="C7" s="12"/>
      <c r="D7" s="12"/>
      <c r="E7"/>
      <c r="F7" s="133" t="s">
        <v>56</v>
      </c>
      <c r="G7" s="134"/>
      <c r="H7" s="133" t="s">
        <v>56</v>
      </c>
      <c r="I7" s="134"/>
      <c r="J7" s="133" t="s">
        <v>56</v>
      </c>
      <c r="K7" s="134"/>
      <c r="L7" s="133" t="s">
        <v>56</v>
      </c>
      <c r="M7" s="134"/>
      <c r="N7" s="239" t="s">
        <v>56</v>
      </c>
      <c r="O7" s="240"/>
      <c r="P7" s="239" t="s">
        <v>56</v>
      </c>
      <c r="Q7" s="240"/>
      <c r="R7" s="239" t="s">
        <v>56</v>
      </c>
      <c r="S7" s="240"/>
      <c r="T7" s="239" t="s">
        <v>56</v>
      </c>
      <c r="U7" s="240"/>
      <c r="V7" s="239" t="s">
        <v>56</v>
      </c>
      <c r="W7" s="240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</row>
    <row r="8" spans="1:44" s="2" customFormat="1" ht="12.75">
      <c r="A8" s="12"/>
      <c r="B8" s="12"/>
      <c r="C8" s="12"/>
      <c r="D8" s="12"/>
      <c r="E8"/>
      <c r="F8" s="97" t="s">
        <v>51</v>
      </c>
      <c r="G8" s="97" t="s">
        <v>126</v>
      </c>
      <c r="H8" s="97" t="s">
        <v>51</v>
      </c>
      <c r="I8" s="97" t="s">
        <v>126</v>
      </c>
      <c r="J8" s="97" t="s">
        <v>51</v>
      </c>
      <c r="K8" s="97" t="s">
        <v>126</v>
      </c>
      <c r="L8" s="97" t="s">
        <v>51</v>
      </c>
      <c r="M8" s="97" t="s">
        <v>126</v>
      </c>
      <c r="N8" s="97" t="s">
        <v>51</v>
      </c>
      <c r="O8" s="97" t="s">
        <v>126</v>
      </c>
      <c r="P8" s="97" t="s">
        <v>51</v>
      </c>
      <c r="Q8" s="97" t="s">
        <v>126</v>
      </c>
      <c r="R8" s="97" t="s">
        <v>51</v>
      </c>
      <c r="S8" s="97" t="s">
        <v>126</v>
      </c>
      <c r="T8" s="97" t="s">
        <v>51</v>
      </c>
      <c r="U8" s="97" t="s">
        <v>126</v>
      </c>
      <c r="V8" s="97" t="s">
        <v>51</v>
      </c>
      <c r="W8" s="97" t="s">
        <v>126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</row>
    <row r="9" spans="1:44" s="2" customFormat="1" ht="12.75">
      <c r="A9" s="173" t="s">
        <v>0</v>
      </c>
      <c r="B9" s="174"/>
      <c r="C9" s="174"/>
      <c r="D9" s="175"/>
      <c r="E9" s="37"/>
      <c r="F9" s="98">
        <f aca="true" t="shared" si="0" ref="F9:S9">SUM(F10:F11)</f>
        <v>3</v>
      </c>
      <c r="G9" s="98">
        <f t="shared" si="0"/>
        <v>0</v>
      </c>
      <c r="H9" s="98">
        <f t="shared" si="0"/>
        <v>5</v>
      </c>
      <c r="I9" s="98">
        <f t="shared" si="0"/>
        <v>0</v>
      </c>
      <c r="J9" s="98">
        <f t="shared" si="0"/>
        <v>2</v>
      </c>
      <c r="K9" s="98">
        <f t="shared" si="0"/>
        <v>0</v>
      </c>
      <c r="L9" s="98">
        <f t="shared" si="0"/>
        <v>5</v>
      </c>
      <c r="M9" s="98">
        <f t="shared" si="0"/>
        <v>0</v>
      </c>
      <c r="N9" s="98">
        <f t="shared" si="0"/>
        <v>56</v>
      </c>
      <c r="O9" s="98">
        <f t="shared" si="0"/>
        <v>0</v>
      </c>
      <c r="P9" s="98">
        <f t="shared" si="0"/>
        <v>168</v>
      </c>
      <c r="Q9" s="98">
        <f t="shared" si="0"/>
        <v>0</v>
      </c>
      <c r="R9" s="98">
        <f t="shared" si="0"/>
        <v>199</v>
      </c>
      <c r="S9" s="98">
        <f t="shared" si="0"/>
        <v>0</v>
      </c>
      <c r="T9" s="98">
        <f>SUM(T10:T11)</f>
        <v>86</v>
      </c>
      <c r="U9" s="98">
        <f>SUM(U10:U11)</f>
        <v>0</v>
      </c>
      <c r="V9" s="98">
        <f>SUM(V10:V11)</f>
        <v>57</v>
      </c>
      <c r="W9" s="98">
        <f>SUM(W10:W11)</f>
        <v>0</v>
      </c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</row>
    <row r="10" spans="1:44" s="2" customFormat="1" ht="12.75">
      <c r="A10" s="13"/>
      <c r="B10" s="8" t="s">
        <v>0</v>
      </c>
      <c r="C10" s="32"/>
      <c r="D10" s="33"/>
      <c r="E10" s="32"/>
      <c r="F10" s="85">
        <v>3</v>
      </c>
      <c r="G10" s="83"/>
      <c r="H10" s="85">
        <v>5</v>
      </c>
      <c r="I10" s="83"/>
      <c r="J10" s="85">
        <v>2</v>
      </c>
      <c r="K10" s="83"/>
      <c r="L10" s="85">
        <f>ROUND((10/1936.27)*1000,0)</f>
        <v>5</v>
      </c>
      <c r="M10" s="83"/>
      <c r="N10" s="85">
        <v>56</v>
      </c>
      <c r="O10" s="83"/>
      <c r="P10" s="85">
        <v>80</v>
      </c>
      <c r="Q10" s="83"/>
      <c r="R10" s="85">
        <v>44</v>
      </c>
      <c r="S10" s="83"/>
      <c r="T10" s="85">
        <v>31</v>
      </c>
      <c r="U10" s="83"/>
      <c r="V10" s="85">
        <v>57</v>
      </c>
      <c r="W10" s="83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</row>
    <row r="11" spans="1:44" s="2" customFormat="1" ht="12.75">
      <c r="A11" s="46"/>
      <c r="B11" s="40" t="s">
        <v>64</v>
      </c>
      <c r="C11" s="40"/>
      <c r="D11" s="47"/>
      <c r="F11" s="82"/>
      <c r="G11" s="77"/>
      <c r="H11" s="82"/>
      <c r="I11" s="77"/>
      <c r="J11" s="82"/>
      <c r="K11" s="77"/>
      <c r="L11" s="85"/>
      <c r="M11" s="77"/>
      <c r="N11" s="82"/>
      <c r="O11" s="77"/>
      <c r="P11" s="82">
        <v>88</v>
      </c>
      <c r="Q11" s="77"/>
      <c r="R11" s="82">
        <v>155</v>
      </c>
      <c r="S11" s="77"/>
      <c r="T11" s="82">
        <v>55</v>
      </c>
      <c r="U11" s="77"/>
      <c r="V11" s="82"/>
      <c r="W11" s="77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</row>
    <row r="12" spans="1:44" s="2" customFormat="1" ht="12.75">
      <c r="A12" s="173" t="s">
        <v>1</v>
      </c>
      <c r="B12" s="174"/>
      <c r="C12" s="174"/>
      <c r="D12" s="175"/>
      <c r="E12" s="38"/>
      <c r="F12" s="98">
        <f aca="true" t="shared" si="1" ref="F12:S12">SUM(F13:F16)</f>
        <v>1532</v>
      </c>
      <c r="G12" s="98">
        <f t="shared" si="1"/>
        <v>584</v>
      </c>
      <c r="H12" s="98">
        <f t="shared" si="1"/>
        <v>1561</v>
      </c>
      <c r="I12" s="98">
        <f t="shared" si="1"/>
        <v>622</v>
      </c>
      <c r="J12" s="98">
        <f t="shared" si="1"/>
        <v>2369</v>
      </c>
      <c r="K12" s="98">
        <f t="shared" si="1"/>
        <v>1408</v>
      </c>
      <c r="L12" s="98">
        <f t="shared" si="1"/>
        <v>2690</v>
      </c>
      <c r="M12" s="98">
        <f t="shared" si="1"/>
        <v>1697</v>
      </c>
      <c r="N12" s="98">
        <f t="shared" si="1"/>
        <v>2843</v>
      </c>
      <c r="O12" s="98">
        <f t="shared" si="1"/>
        <v>1411</v>
      </c>
      <c r="P12" s="98">
        <f t="shared" si="1"/>
        <v>2503</v>
      </c>
      <c r="Q12" s="98">
        <f t="shared" si="1"/>
        <v>1287</v>
      </c>
      <c r="R12" s="98">
        <f t="shared" si="1"/>
        <v>2372</v>
      </c>
      <c r="S12" s="98">
        <f t="shared" si="1"/>
        <v>1143</v>
      </c>
      <c r="T12" s="98">
        <f>SUM(T13:T16)</f>
        <v>2897</v>
      </c>
      <c r="U12" s="98">
        <f>SUM(U13:U16)</f>
        <v>1819</v>
      </c>
      <c r="V12" s="98">
        <f>SUM(V13:V16)</f>
        <v>4610</v>
      </c>
      <c r="W12" s="98">
        <f>SUM(W13:W16)</f>
        <v>3761</v>
      </c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</row>
    <row r="13" spans="1:44" s="2" customFormat="1" ht="12.75">
      <c r="A13" s="48"/>
      <c r="B13" s="40" t="s">
        <v>78</v>
      </c>
      <c r="C13" s="40"/>
      <c r="D13" s="47"/>
      <c r="F13" s="75">
        <v>716</v>
      </c>
      <c r="G13" s="76"/>
      <c r="H13" s="82">
        <v>692</v>
      </c>
      <c r="I13" s="77"/>
      <c r="J13" s="75">
        <v>568</v>
      </c>
      <c r="K13" s="76"/>
      <c r="L13" s="85">
        <f>ROUND((976/1936.27)*1000,0)</f>
        <v>504</v>
      </c>
      <c r="M13" s="77"/>
      <c r="N13" s="82">
        <v>817</v>
      </c>
      <c r="O13" s="77"/>
      <c r="P13" s="82">
        <v>537</v>
      </c>
      <c r="Q13" s="77"/>
      <c r="R13" s="82">
        <v>321</v>
      </c>
      <c r="S13" s="77"/>
      <c r="T13" s="82">
        <v>186</v>
      </c>
      <c r="U13" s="77"/>
      <c r="V13" s="82">
        <v>25</v>
      </c>
      <c r="W13" s="77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</row>
    <row r="14" spans="1:44" s="2" customFormat="1" ht="12.75">
      <c r="A14" s="48"/>
      <c r="B14" s="39" t="s">
        <v>90</v>
      </c>
      <c r="C14" s="41"/>
      <c r="D14" s="53"/>
      <c r="E14" s="54"/>
      <c r="F14" s="75">
        <f>309+507</f>
        <v>816</v>
      </c>
      <c r="G14" s="76">
        <f>114+470</f>
        <v>584</v>
      </c>
      <c r="H14" s="75">
        <f>213+656</f>
        <v>869</v>
      </c>
      <c r="I14" s="76">
        <f>2+620</f>
        <v>622</v>
      </c>
      <c r="J14" s="75">
        <f>334+1332</f>
        <v>1666</v>
      </c>
      <c r="K14" s="76">
        <f>109+1299</f>
        <v>1408</v>
      </c>
      <c r="L14" s="85">
        <v>1975</v>
      </c>
      <c r="M14" s="77">
        <v>1697</v>
      </c>
      <c r="N14" s="82">
        <v>1644</v>
      </c>
      <c r="O14" s="77">
        <v>1411</v>
      </c>
      <c r="P14" s="82">
        <v>1518</v>
      </c>
      <c r="Q14" s="77">
        <v>1287</v>
      </c>
      <c r="R14" s="82">
        <v>1414</v>
      </c>
      <c r="S14" s="77">
        <v>1143</v>
      </c>
      <c r="T14" s="82">
        <v>2053</v>
      </c>
      <c r="U14" s="77">
        <v>1819</v>
      </c>
      <c r="V14" s="82">
        <v>3886</v>
      </c>
      <c r="W14" s="77">
        <v>3661</v>
      </c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</row>
    <row r="15" spans="1:44" s="42" customFormat="1" ht="12.75">
      <c r="A15" s="20"/>
      <c r="B15" s="14" t="s">
        <v>3</v>
      </c>
      <c r="C15" s="14"/>
      <c r="D15" s="21"/>
      <c r="E15"/>
      <c r="F15" s="103"/>
      <c r="G15" s="125"/>
      <c r="H15" s="103"/>
      <c r="I15" s="125"/>
      <c r="J15" s="103">
        <v>135</v>
      </c>
      <c r="K15" s="125"/>
      <c r="L15" s="85">
        <f>ROUND((409/1936.27)*1000,0)</f>
        <v>211</v>
      </c>
      <c r="M15" s="83"/>
      <c r="N15" s="85">
        <v>382</v>
      </c>
      <c r="O15" s="83"/>
      <c r="P15" s="85">
        <v>234</v>
      </c>
      <c r="Q15" s="83"/>
      <c r="R15" s="85">
        <v>442</v>
      </c>
      <c r="S15" s="83"/>
      <c r="T15" s="85">
        <v>481</v>
      </c>
      <c r="U15" s="83"/>
      <c r="V15" s="85">
        <v>699</v>
      </c>
      <c r="W15" s="83">
        <v>100</v>
      </c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</row>
    <row r="16" spans="1:44" s="42" customFormat="1" ht="12.75">
      <c r="A16" s="20"/>
      <c r="B16" s="14" t="s">
        <v>65</v>
      </c>
      <c r="C16" s="14"/>
      <c r="D16" s="21"/>
      <c r="E16"/>
      <c r="F16" s="103"/>
      <c r="G16" s="125"/>
      <c r="H16" s="103"/>
      <c r="I16" s="125"/>
      <c r="J16" s="103"/>
      <c r="K16" s="125"/>
      <c r="L16" s="85"/>
      <c r="M16" s="83"/>
      <c r="N16" s="85"/>
      <c r="O16" s="83"/>
      <c r="P16" s="85">
        <v>214</v>
      </c>
      <c r="Q16" s="83"/>
      <c r="R16" s="85">
        <v>195</v>
      </c>
      <c r="S16" s="83"/>
      <c r="T16" s="85">
        <v>177</v>
      </c>
      <c r="U16" s="83"/>
      <c r="V16" s="85"/>
      <c r="W16" s="83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</row>
    <row r="17" spans="1:44" s="2" customFormat="1" ht="12.75">
      <c r="A17" s="173" t="s">
        <v>132</v>
      </c>
      <c r="B17" s="174"/>
      <c r="C17" s="174"/>
      <c r="D17" s="175"/>
      <c r="E17" s="38"/>
      <c r="F17" s="98">
        <v>688</v>
      </c>
      <c r="G17" s="98">
        <f>SUM(G18:G22)</f>
        <v>0</v>
      </c>
      <c r="H17" s="98">
        <v>737</v>
      </c>
      <c r="I17" s="98">
        <v>227</v>
      </c>
      <c r="J17" s="98">
        <v>1074</v>
      </c>
      <c r="K17" s="98">
        <v>300</v>
      </c>
      <c r="L17" s="98">
        <v>874</v>
      </c>
      <c r="M17" s="98">
        <v>350</v>
      </c>
      <c r="N17" s="98">
        <v>1068</v>
      </c>
      <c r="O17" s="98">
        <v>150</v>
      </c>
      <c r="P17" s="98">
        <f aca="true" t="shared" si="2" ref="P17:U17">SUM(P18:P22)</f>
        <v>1720</v>
      </c>
      <c r="Q17" s="98">
        <f t="shared" si="2"/>
        <v>294</v>
      </c>
      <c r="R17" s="98">
        <f t="shared" si="2"/>
        <v>1728</v>
      </c>
      <c r="S17" s="98">
        <f t="shared" si="2"/>
        <v>345</v>
      </c>
      <c r="T17" s="98">
        <f t="shared" si="2"/>
        <v>1391</v>
      </c>
      <c r="U17" s="98">
        <f t="shared" si="2"/>
        <v>157</v>
      </c>
      <c r="V17" s="98">
        <f>SUM(V18:V22)</f>
        <v>1261</v>
      </c>
      <c r="W17" s="98">
        <f>SUM(W18:W22)</f>
        <v>251</v>
      </c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</row>
    <row r="18" spans="1:44" s="42" customFormat="1" ht="12.75">
      <c r="A18" s="20"/>
      <c r="B18" s="40" t="s">
        <v>9</v>
      </c>
      <c r="D18" s="30"/>
      <c r="E18"/>
      <c r="F18" s="82"/>
      <c r="G18" s="77"/>
      <c r="H18" s="82"/>
      <c r="I18" s="77"/>
      <c r="J18" s="75"/>
      <c r="K18" s="76"/>
      <c r="L18" s="85"/>
      <c r="M18" s="77"/>
      <c r="N18" s="82"/>
      <c r="O18" s="77"/>
      <c r="P18" s="82">
        <v>222</v>
      </c>
      <c r="Q18" s="77"/>
      <c r="R18" s="82">
        <v>45</v>
      </c>
      <c r="S18" s="77"/>
      <c r="T18" s="82">
        <v>123</v>
      </c>
      <c r="U18" s="77"/>
      <c r="V18" s="82">
        <v>119</v>
      </c>
      <c r="W18" s="7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</row>
    <row r="19" spans="1:44" s="42" customFormat="1" ht="12.75">
      <c r="A19" s="20"/>
      <c r="B19" s="40" t="s">
        <v>119</v>
      </c>
      <c r="D19" s="30"/>
      <c r="E19"/>
      <c r="F19" s="82"/>
      <c r="G19" s="77"/>
      <c r="H19" s="82"/>
      <c r="I19" s="77"/>
      <c r="J19" s="75"/>
      <c r="K19" s="76"/>
      <c r="L19" s="85"/>
      <c r="M19" s="77"/>
      <c r="N19" s="82"/>
      <c r="O19" s="77"/>
      <c r="P19" s="82">
        <v>238</v>
      </c>
      <c r="Q19" s="77">
        <v>48</v>
      </c>
      <c r="R19" s="82">
        <v>437</v>
      </c>
      <c r="S19" s="77">
        <v>6</v>
      </c>
      <c r="T19" s="82">
        <v>374</v>
      </c>
      <c r="U19" s="77">
        <v>10</v>
      </c>
      <c r="V19" s="82">
        <v>406</v>
      </c>
      <c r="W19" s="7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</row>
    <row r="20" spans="1:44" s="42" customFormat="1" ht="12.75">
      <c r="A20" s="20"/>
      <c r="B20" s="40" t="s">
        <v>120</v>
      </c>
      <c r="D20" s="30"/>
      <c r="E20"/>
      <c r="F20" s="82"/>
      <c r="G20" s="77"/>
      <c r="H20" s="82"/>
      <c r="I20" s="77"/>
      <c r="J20" s="75"/>
      <c r="K20" s="76"/>
      <c r="L20" s="85"/>
      <c r="M20" s="77"/>
      <c r="N20" s="82"/>
      <c r="O20" s="77"/>
      <c r="P20" s="82">
        <v>479</v>
      </c>
      <c r="Q20" s="77"/>
      <c r="R20" s="82">
        <v>393</v>
      </c>
      <c r="S20" s="77"/>
      <c r="T20" s="82">
        <v>256</v>
      </c>
      <c r="U20" s="77"/>
      <c r="V20" s="82">
        <v>71</v>
      </c>
      <c r="W20" s="7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</row>
    <row r="21" spans="1:44" s="42" customFormat="1" ht="12.75">
      <c r="A21" s="20"/>
      <c r="B21" s="40" t="s">
        <v>121</v>
      </c>
      <c r="D21" s="30"/>
      <c r="E21"/>
      <c r="F21" s="82"/>
      <c r="G21" s="77"/>
      <c r="H21" s="82"/>
      <c r="I21" s="77"/>
      <c r="J21" s="75"/>
      <c r="K21" s="76"/>
      <c r="L21" s="85"/>
      <c r="M21" s="77"/>
      <c r="N21" s="82"/>
      <c r="O21" s="77"/>
      <c r="P21" s="82">
        <v>85</v>
      </c>
      <c r="Q21" s="77">
        <v>33</v>
      </c>
      <c r="R21" s="82">
        <v>69</v>
      </c>
      <c r="S21" s="77"/>
      <c r="T21" s="82"/>
      <c r="U21" s="77"/>
      <c r="V21" s="82"/>
      <c r="W21" s="7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</row>
    <row r="22" spans="1:44" s="42" customFormat="1" ht="12.75">
      <c r="A22" s="20"/>
      <c r="B22" s="40" t="s">
        <v>122</v>
      </c>
      <c r="D22" s="30"/>
      <c r="E22"/>
      <c r="F22" s="82"/>
      <c r="G22" s="77"/>
      <c r="H22" s="82"/>
      <c r="I22" s="77"/>
      <c r="J22" s="75"/>
      <c r="K22" s="76"/>
      <c r="L22" s="85"/>
      <c r="M22" s="77"/>
      <c r="N22" s="82"/>
      <c r="O22" s="77"/>
      <c r="P22" s="82">
        <v>696</v>
      </c>
      <c r="Q22" s="77">
        <v>213</v>
      </c>
      <c r="R22" s="82">
        <v>784</v>
      </c>
      <c r="S22" s="77">
        <v>339</v>
      </c>
      <c r="T22" s="82">
        <v>638</v>
      </c>
      <c r="U22" s="77">
        <v>147</v>
      </c>
      <c r="V22" s="82">
        <v>665</v>
      </c>
      <c r="W22" s="77">
        <v>251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</row>
    <row r="23" spans="1:44" s="2" customFormat="1" ht="12.75">
      <c r="A23" s="173" t="s">
        <v>4</v>
      </c>
      <c r="B23" s="174"/>
      <c r="C23" s="174"/>
      <c r="D23" s="175"/>
      <c r="E23" s="38"/>
      <c r="F23" s="101">
        <v>303</v>
      </c>
      <c r="G23" s="139">
        <v>0</v>
      </c>
      <c r="H23" s="101">
        <v>334</v>
      </c>
      <c r="I23" s="139">
        <v>0</v>
      </c>
      <c r="J23" s="124">
        <v>315</v>
      </c>
      <c r="K23" s="123">
        <v>0</v>
      </c>
      <c r="L23" s="124">
        <f>ROUND((699/1936.27)*1000,0)</f>
        <v>361</v>
      </c>
      <c r="M23" s="123">
        <v>0</v>
      </c>
      <c r="N23" s="101">
        <v>339</v>
      </c>
      <c r="O23" s="123">
        <v>0</v>
      </c>
      <c r="P23" s="101">
        <v>265</v>
      </c>
      <c r="Q23" s="123">
        <v>0</v>
      </c>
      <c r="R23" s="101">
        <v>250</v>
      </c>
      <c r="S23" s="123">
        <v>0</v>
      </c>
      <c r="T23" s="101">
        <v>359</v>
      </c>
      <c r="U23" s="123">
        <v>0</v>
      </c>
      <c r="V23" s="101">
        <v>378</v>
      </c>
      <c r="W23" s="123">
        <v>0</v>
      </c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</row>
    <row r="24" spans="1:44" s="2" customFormat="1" ht="12.75">
      <c r="A24" s="173" t="s">
        <v>131</v>
      </c>
      <c r="B24" s="174"/>
      <c r="C24" s="174"/>
      <c r="D24" s="175"/>
      <c r="E24" s="38"/>
      <c r="F24" s="101">
        <v>468</v>
      </c>
      <c r="G24" s="139"/>
      <c r="H24" s="101">
        <v>159</v>
      </c>
      <c r="I24" s="139"/>
      <c r="J24" s="124">
        <v>258</v>
      </c>
      <c r="K24" s="123"/>
      <c r="L24" s="124">
        <f>ROUND((291/1936.27)*1000,0)</f>
        <v>150</v>
      </c>
      <c r="M24" s="123"/>
      <c r="N24" s="101">
        <v>127</v>
      </c>
      <c r="O24" s="123"/>
      <c r="P24" s="101">
        <v>73</v>
      </c>
      <c r="Q24" s="123"/>
      <c r="R24" s="101">
        <v>71</v>
      </c>
      <c r="S24" s="123"/>
      <c r="T24" s="101">
        <v>124</v>
      </c>
      <c r="U24" s="123"/>
      <c r="V24" s="101">
        <v>63</v>
      </c>
      <c r="W24" s="123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</row>
    <row r="25" spans="1:44" s="2" customFormat="1" ht="12.75">
      <c r="A25" s="173" t="s">
        <v>79</v>
      </c>
      <c r="B25" s="174"/>
      <c r="C25" s="174"/>
      <c r="D25" s="175"/>
      <c r="E25" s="38"/>
      <c r="F25" s="101">
        <v>187</v>
      </c>
      <c r="G25" s="101">
        <v>0</v>
      </c>
      <c r="H25" s="101">
        <v>278</v>
      </c>
      <c r="I25" s="101">
        <v>0</v>
      </c>
      <c r="J25" s="124">
        <v>315</v>
      </c>
      <c r="K25" s="124">
        <v>0</v>
      </c>
      <c r="L25" s="124">
        <f>ROUND((440/1936.27)*1000,0)</f>
        <v>227</v>
      </c>
      <c r="M25" s="124">
        <v>0</v>
      </c>
      <c r="N25" s="101">
        <v>239</v>
      </c>
      <c r="O25" s="124">
        <v>0</v>
      </c>
      <c r="P25" s="101">
        <v>280</v>
      </c>
      <c r="Q25" s="124">
        <v>0</v>
      </c>
      <c r="R25" s="101">
        <v>265</v>
      </c>
      <c r="S25" s="124">
        <v>0</v>
      </c>
      <c r="T25" s="101">
        <v>215</v>
      </c>
      <c r="U25" s="124">
        <v>0</v>
      </c>
      <c r="V25" s="101">
        <v>203</v>
      </c>
      <c r="W25" s="124">
        <v>0</v>
      </c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</row>
    <row r="26" spans="1:44" s="2" customFormat="1" ht="12.75">
      <c r="A26" s="173" t="s">
        <v>80</v>
      </c>
      <c r="B26" s="174"/>
      <c r="C26" s="174"/>
      <c r="D26" s="175"/>
      <c r="E26" s="38"/>
      <c r="F26" s="101"/>
      <c r="G26" s="101"/>
      <c r="H26" s="101"/>
      <c r="I26" s="101"/>
      <c r="J26" s="124"/>
      <c r="K26" s="124"/>
      <c r="L26" s="124">
        <f>ROUND((484/1936.27)*1000,0)</f>
        <v>250</v>
      </c>
      <c r="M26" s="124">
        <v>0</v>
      </c>
      <c r="N26" s="101">
        <f>851+23</f>
        <v>874</v>
      </c>
      <c r="O26" s="124">
        <v>0</v>
      </c>
      <c r="P26" s="101">
        <v>810</v>
      </c>
      <c r="Q26" s="124">
        <v>0</v>
      </c>
      <c r="R26" s="101">
        <v>916</v>
      </c>
      <c r="S26" s="124">
        <v>0</v>
      </c>
      <c r="T26" s="101">
        <v>844</v>
      </c>
      <c r="U26" s="124">
        <v>0</v>
      </c>
      <c r="V26" s="101">
        <v>921</v>
      </c>
      <c r="W26" s="124">
        <v>0</v>
      </c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</row>
    <row r="27" spans="1:44" s="2" customFormat="1" ht="12.75">
      <c r="A27" s="173" t="s">
        <v>133</v>
      </c>
      <c r="B27" s="174"/>
      <c r="C27" s="174"/>
      <c r="D27" s="175"/>
      <c r="E27" s="38"/>
      <c r="F27" s="101"/>
      <c r="G27" s="101"/>
      <c r="H27" s="101"/>
      <c r="I27" s="101"/>
      <c r="J27" s="124"/>
      <c r="K27" s="124"/>
      <c r="L27" s="124"/>
      <c r="M27" s="124"/>
      <c r="N27" s="101"/>
      <c r="O27" s="124"/>
      <c r="P27" s="101"/>
      <c r="Q27" s="124"/>
      <c r="R27" s="101"/>
      <c r="S27" s="124"/>
      <c r="T27" s="101">
        <v>35</v>
      </c>
      <c r="U27" s="124"/>
      <c r="V27" s="101">
        <v>36</v>
      </c>
      <c r="W27" s="12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</row>
    <row r="28" spans="1:44" s="2" customFormat="1" ht="12.75">
      <c r="A28" s="173" t="s">
        <v>135</v>
      </c>
      <c r="B28" s="174"/>
      <c r="C28" s="174"/>
      <c r="D28" s="175"/>
      <c r="E28" s="38"/>
      <c r="F28" s="101"/>
      <c r="G28" s="101"/>
      <c r="H28" s="101"/>
      <c r="I28" s="101"/>
      <c r="J28" s="124"/>
      <c r="K28" s="124"/>
      <c r="L28" s="124"/>
      <c r="M28" s="124"/>
      <c r="N28" s="101"/>
      <c r="O28" s="124"/>
      <c r="P28" s="101"/>
      <c r="Q28" s="124"/>
      <c r="R28" s="101"/>
      <c r="S28" s="124"/>
      <c r="T28" s="101">
        <v>7</v>
      </c>
      <c r="U28" s="124"/>
      <c r="V28" s="101">
        <v>6</v>
      </c>
      <c r="W28" s="12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</row>
    <row r="29" spans="1:44" s="2" customFormat="1" ht="12.75">
      <c r="A29" s="173" t="s">
        <v>134</v>
      </c>
      <c r="B29" s="174"/>
      <c r="C29" s="174"/>
      <c r="D29" s="175"/>
      <c r="E29" s="38"/>
      <c r="F29" s="102">
        <f aca="true" t="shared" si="3" ref="F29:S29">SUM(F30:F34)</f>
        <v>784</v>
      </c>
      <c r="G29" s="102">
        <f t="shared" si="3"/>
        <v>0</v>
      </c>
      <c r="H29" s="102">
        <f t="shared" si="3"/>
        <v>722</v>
      </c>
      <c r="I29" s="102">
        <f t="shared" si="3"/>
        <v>0</v>
      </c>
      <c r="J29" s="102">
        <f t="shared" si="3"/>
        <v>1040</v>
      </c>
      <c r="K29" s="102">
        <f t="shared" si="3"/>
        <v>41</v>
      </c>
      <c r="L29" s="102">
        <f t="shared" si="3"/>
        <v>1202</v>
      </c>
      <c r="M29" s="102">
        <f t="shared" si="3"/>
        <v>8</v>
      </c>
      <c r="N29" s="102">
        <f t="shared" si="3"/>
        <v>1101</v>
      </c>
      <c r="O29" s="102">
        <f t="shared" si="3"/>
        <v>0</v>
      </c>
      <c r="P29" s="102">
        <f t="shared" si="3"/>
        <v>744</v>
      </c>
      <c r="Q29" s="102">
        <f t="shared" si="3"/>
        <v>7</v>
      </c>
      <c r="R29" s="102">
        <f t="shared" si="3"/>
        <v>227</v>
      </c>
      <c r="S29" s="102">
        <f t="shared" si="3"/>
        <v>7</v>
      </c>
      <c r="T29" s="102">
        <f>SUM(T30:T34)</f>
        <v>381</v>
      </c>
      <c r="U29" s="102">
        <f>SUM(U30:U34)</f>
        <v>9</v>
      </c>
      <c r="V29" s="102">
        <f>SUM(V30:V34)</f>
        <v>159</v>
      </c>
      <c r="W29" s="102">
        <f>SUM(W30:W34)</f>
        <v>0</v>
      </c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</row>
    <row r="30" spans="1:44" s="2" customFormat="1" ht="12.75">
      <c r="A30" s="46"/>
      <c r="B30" s="40" t="s">
        <v>6</v>
      </c>
      <c r="C30" s="40"/>
      <c r="D30" s="47"/>
      <c r="F30" s="82">
        <v>199</v>
      </c>
      <c r="G30" s="77"/>
      <c r="H30" s="82">
        <v>154</v>
      </c>
      <c r="I30" s="77"/>
      <c r="J30" s="82">
        <v>200</v>
      </c>
      <c r="K30" s="77"/>
      <c r="L30" s="85">
        <f>ROUND((153/1936.27)*1000,0)</f>
        <v>79</v>
      </c>
      <c r="M30" s="77"/>
      <c r="N30" s="82">
        <v>98</v>
      </c>
      <c r="O30" s="77"/>
      <c r="P30" s="82">
        <v>44</v>
      </c>
      <c r="Q30" s="77"/>
      <c r="R30" s="82">
        <v>36</v>
      </c>
      <c r="S30" s="77"/>
      <c r="T30" s="82">
        <v>39</v>
      </c>
      <c r="U30" s="77"/>
      <c r="V30" s="82">
        <v>14</v>
      </c>
      <c r="W30" s="77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</row>
    <row r="31" spans="1:44" s="2" customFormat="1" ht="12.75">
      <c r="A31" s="46"/>
      <c r="B31" s="41" t="s">
        <v>7</v>
      </c>
      <c r="C31" s="40"/>
      <c r="D31" s="47"/>
      <c r="F31" s="99">
        <v>4</v>
      </c>
      <c r="G31" s="140"/>
      <c r="H31" s="99">
        <v>10</v>
      </c>
      <c r="I31" s="140"/>
      <c r="J31" s="99">
        <v>65</v>
      </c>
      <c r="K31" s="140">
        <v>41</v>
      </c>
      <c r="L31" s="141">
        <f>ROUND((45/1936.27)*1000,0)</f>
        <v>23</v>
      </c>
      <c r="M31" s="77"/>
      <c r="N31" s="82"/>
      <c r="O31" s="77"/>
      <c r="P31" s="82"/>
      <c r="Q31" s="77"/>
      <c r="R31" s="82"/>
      <c r="S31" s="77"/>
      <c r="T31" s="82"/>
      <c r="U31" s="77"/>
      <c r="V31" s="82"/>
      <c r="W31" s="77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</row>
    <row r="32" spans="1:44" s="2" customFormat="1" ht="12.75">
      <c r="A32" s="46"/>
      <c r="B32" s="41" t="s">
        <v>81</v>
      </c>
      <c r="C32" s="41"/>
      <c r="D32" s="53"/>
      <c r="E32" s="54"/>
      <c r="F32" s="99">
        <v>144</v>
      </c>
      <c r="G32" s="140"/>
      <c r="H32" s="99">
        <v>103</v>
      </c>
      <c r="I32" s="140"/>
      <c r="J32" s="99">
        <v>96</v>
      </c>
      <c r="K32" s="140"/>
      <c r="L32" s="141"/>
      <c r="M32" s="77"/>
      <c r="N32" s="99"/>
      <c r="O32" s="77"/>
      <c r="P32" s="99"/>
      <c r="Q32" s="77"/>
      <c r="R32" s="99"/>
      <c r="S32" s="77"/>
      <c r="T32" s="99"/>
      <c r="U32" s="77"/>
      <c r="V32" s="99"/>
      <c r="W32" s="77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</row>
    <row r="33" spans="1:44" s="2" customFormat="1" ht="12.75">
      <c r="A33" s="46"/>
      <c r="B33" s="40" t="s">
        <v>165</v>
      </c>
      <c r="C33" s="40"/>
      <c r="D33" s="47"/>
      <c r="F33" s="82">
        <v>98</v>
      </c>
      <c r="G33" s="77"/>
      <c r="H33" s="82">
        <v>223</v>
      </c>
      <c r="I33" s="77"/>
      <c r="J33" s="82">
        <v>139</v>
      </c>
      <c r="K33" s="77"/>
      <c r="L33" s="85">
        <f>ROUND((258/1936.27)*1000,0)</f>
        <v>133</v>
      </c>
      <c r="M33" s="77"/>
      <c r="N33" s="82">
        <v>127</v>
      </c>
      <c r="O33" s="77"/>
      <c r="P33" s="82">
        <v>116</v>
      </c>
      <c r="Q33" s="77"/>
      <c r="R33" s="82">
        <v>131</v>
      </c>
      <c r="S33" s="77"/>
      <c r="T33" s="82">
        <v>83</v>
      </c>
      <c r="U33" s="77"/>
      <c r="V33" s="82">
        <v>56</v>
      </c>
      <c r="W33" s="77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</row>
    <row r="34" spans="1:44" s="2" customFormat="1" ht="12.75">
      <c r="A34" s="46"/>
      <c r="B34" s="40" t="s">
        <v>66</v>
      </c>
      <c r="C34" s="40"/>
      <c r="D34" s="47"/>
      <c r="F34" s="105">
        <v>339</v>
      </c>
      <c r="G34" s="138">
        <v>0</v>
      </c>
      <c r="H34" s="105">
        <v>232</v>
      </c>
      <c r="I34" s="138">
        <v>0</v>
      </c>
      <c r="J34" s="105">
        <v>540</v>
      </c>
      <c r="K34" s="138">
        <v>0</v>
      </c>
      <c r="L34" s="105">
        <f>ROUND((1872/1936.27)*1000,0)</f>
        <v>967</v>
      </c>
      <c r="M34" s="138">
        <f>ROUND(16000/1936.27,0)</f>
        <v>8</v>
      </c>
      <c r="N34" s="105">
        <v>876</v>
      </c>
      <c r="O34" s="138">
        <v>0</v>
      </c>
      <c r="P34" s="105">
        <v>584</v>
      </c>
      <c r="Q34" s="138">
        <v>7</v>
      </c>
      <c r="R34" s="105">
        <v>60</v>
      </c>
      <c r="S34" s="138">
        <v>7</v>
      </c>
      <c r="T34" s="105">
        <v>259</v>
      </c>
      <c r="U34" s="138">
        <v>9</v>
      </c>
      <c r="V34" s="105">
        <v>89</v>
      </c>
      <c r="W34" s="138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</row>
    <row r="35" spans="1:44" s="2" customFormat="1" ht="12.75">
      <c r="A35" s="198" t="s">
        <v>136</v>
      </c>
      <c r="B35" s="184"/>
      <c r="C35" s="184"/>
      <c r="D35" s="185"/>
      <c r="E35" s="86"/>
      <c r="F35" s="107">
        <f>SUM(F36:F38)</f>
        <v>903</v>
      </c>
      <c r="G35" s="107">
        <f aca="true" t="shared" si="4" ref="G35:R35">SUM(G36:G38)</f>
        <v>0</v>
      </c>
      <c r="H35" s="107">
        <f t="shared" si="4"/>
        <v>1076</v>
      </c>
      <c r="I35" s="107">
        <f t="shared" si="4"/>
        <v>0</v>
      </c>
      <c r="J35" s="107">
        <f t="shared" si="4"/>
        <v>1106</v>
      </c>
      <c r="K35" s="107">
        <f t="shared" si="4"/>
        <v>0</v>
      </c>
      <c r="L35" s="107">
        <f t="shared" si="4"/>
        <v>1288</v>
      </c>
      <c r="M35" s="107">
        <f t="shared" si="4"/>
        <v>0</v>
      </c>
      <c r="N35" s="107">
        <f t="shared" si="4"/>
        <v>1604</v>
      </c>
      <c r="O35" s="107">
        <f t="shared" si="4"/>
        <v>0</v>
      </c>
      <c r="P35" s="107">
        <f t="shared" si="4"/>
        <v>2285</v>
      </c>
      <c r="Q35" s="107">
        <f t="shared" si="4"/>
        <v>0</v>
      </c>
      <c r="R35" s="107">
        <f t="shared" si="4"/>
        <v>3590</v>
      </c>
      <c r="S35" s="107">
        <f>SUM(S36:S38)</f>
        <v>0</v>
      </c>
      <c r="T35" s="107">
        <f>SUM(T36:T38)</f>
        <v>5007</v>
      </c>
      <c r="U35" s="107">
        <f>SUM(U36:U38)</f>
        <v>0</v>
      </c>
      <c r="V35" s="107">
        <f>SUM(V36:V38)</f>
        <v>5272</v>
      </c>
      <c r="W35" s="107">
        <f>SUM(W36:W38)</f>
        <v>0</v>
      </c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</row>
    <row r="36" spans="1:44" s="2" customFormat="1" ht="12.75">
      <c r="A36" s="46"/>
      <c r="B36" s="177" t="s">
        <v>67</v>
      </c>
      <c r="C36" s="170"/>
      <c r="D36" s="171"/>
      <c r="F36" s="108">
        <v>41</v>
      </c>
      <c r="G36" s="154"/>
      <c r="H36" s="152">
        <v>132</v>
      </c>
      <c r="I36" s="127"/>
      <c r="J36" s="152">
        <v>150</v>
      </c>
      <c r="K36" s="151"/>
      <c r="L36" s="152">
        <v>162</v>
      </c>
      <c r="M36" s="83"/>
      <c r="N36" s="111">
        <v>169</v>
      </c>
      <c r="O36" s="83"/>
      <c r="P36" s="111">
        <v>244</v>
      </c>
      <c r="Q36" s="83"/>
      <c r="R36" s="111">
        <v>304</v>
      </c>
      <c r="S36" s="83"/>
      <c r="T36" s="111">
        <v>227</v>
      </c>
      <c r="U36" s="83"/>
      <c r="V36" s="111">
        <v>246</v>
      </c>
      <c r="W36" s="83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</row>
    <row r="37" spans="1:44" s="2" customFormat="1" ht="12.75">
      <c r="A37" s="46"/>
      <c r="B37" s="177" t="s">
        <v>68</v>
      </c>
      <c r="C37" s="170"/>
      <c r="D37" s="171"/>
      <c r="F37" s="108">
        <v>719</v>
      </c>
      <c r="G37" s="154"/>
      <c r="H37" s="152">
        <v>771</v>
      </c>
      <c r="I37" s="127"/>
      <c r="J37" s="152">
        <v>784</v>
      </c>
      <c r="K37" s="151"/>
      <c r="L37" s="152">
        <f>ROUND((1847/1936.27)*1000,0)</f>
        <v>954</v>
      </c>
      <c r="M37" s="83"/>
      <c r="N37" s="111">
        <v>1304</v>
      </c>
      <c r="O37" s="83"/>
      <c r="P37" s="111">
        <v>1852</v>
      </c>
      <c r="Q37" s="83"/>
      <c r="R37" s="111">
        <v>3046</v>
      </c>
      <c r="S37" s="83"/>
      <c r="T37" s="111">
        <v>4516</v>
      </c>
      <c r="U37" s="83"/>
      <c r="V37" s="111">
        <v>4841</v>
      </c>
      <c r="W37" s="83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</row>
    <row r="38" spans="1:44" s="2" customFormat="1" ht="12.75">
      <c r="A38" s="57"/>
      <c r="B38" s="197" t="s">
        <v>137</v>
      </c>
      <c r="C38" s="179"/>
      <c r="D38" s="180"/>
      <c r="F38" s="110">
        <v>143</v>
      </c>
      <c r="G38" s="145"/>
      <c r="H38" s="110">
        <v>173</v>
      </c>
      <c r="I38" s="145"/>
      <c r="J38" s="110">
        <v>172</v>
      </c>
      <c r="K38" s="145"/>
      <c r="L38" s="116">
        <f>ROUND((334/1936.27)*1000,0)</f>
        <v>172</v>
      </c>
      <c r="M38" s="126"/>
      <c r="N38" s="110">
        <v>131</v>
      </c>
      <c r="O38" s="126"/>
      <c r="P38" s="110">
        <v>189</v>
      </c>
      <c r="Q38" s="126"/>
      <c r="R38" s="110">
        <v>240</v>
      </c>
      <c r="S38" s="126"/>
      <c r="T38" s="110">
        <v>264</v>
      </c>
      <c r="U38" s="126"/>
      <c r="V38" s="110">
        <v>185</v>
      </c>
      <c r="W38" s="126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</row>
    <row r="39" spans="1:44" s="2" customFormat="1" ht="12.75">
      <c r="A39" s="181" t="s">
        <v>8</v>
      </c>
      <c r="B39" s="182"/>
      <c r="C39" s="182"/>
      <c r="D39" s="183"/>
      <c r="E39" s="38"/>
      <c r="F39" s="104">
        <f aca="true" t="shared" si="5" ref="F39:S39">SUM(F40:F41)</f>
        <v>28</v>
      </c>
      <c r="G39" s="104">
        <f t="shared" si="5"/>
        <v>0</v>
      </c>
      <c r="H39" s="104">
        <f t="shared" si="5"/>
        <v>44</v>
      </c>
      <c r="I39" s="104">
        <f t="shared" si="5"/>
        <v>0</v>
      </c>
      <c r="J39" s="104">
        <f t="shared" si="5"/>
        <v>46</v>
      </c>
      <c r="K39" s="104">
        <f t="shared" si="5"/>
        <v>0</v>
      </c>
      <c r="L39" s="104">
        <f t="shared" si="5"/>
        <v>46</v>
      </c>
      <c r="M39" s="104">
        <f t="shared" si="5"/>
        <v>0</v>
      </c>
      <c r="N39" s="104">
        <f t="shared" si="5"/>
        <v>30</v>
      </c>
      <c r="O39" s="104">
        <f t="shared" si="5"/>
        <v>0</v>
      </c>
      <c r="P39" s="104">
        <f t="shared" si="5"/>
        <v>4</v>
      </c>
      <c r="Q39" s="104">
        <f t="shared" si="5"/>
        <v>0</v>
      </c>
      <c r="R39" s="104">
        <f t="shared" si="5"/>
        <v>26</v>
      </c>
      <c r="S39" s="104">
        <f t="shared" si="5"/>
        <v>0</v>
      </c>
      <c r="T39" s="104">
        <f>SUM(T40:T41)</f>
        <v>39</v>
      </c>
      <c r="U39" s="104">
        <f>SUM(U40:U41)</f>
        <v>0</v>
      </c>
      <c r="V39" s="104">
        <f>SUM(V40:V41)</f>
        <v>65</v>
      </c>
      <c r="W39" s="104">
        <f>SUM(W40:W41)</f>
        <v>0</v>
      </c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</row>
    <row r="40" spans="1:44" s="2" customFormat="1" ht="12.75">
      <c r="A40" s="43"/>
      <c r="B40" s="40" t="s">
        <v>9</v>
      </c>
      <c r="C40" s="44"/>
      <c r="D40" s="45"/>
      <c r="F40" s="75">
        <v>28</v>
      </c>
      <c r="G40" s="76"/>
      <c r="H40" s="82">
        <v>44</v>
      </c>
      <c r="I40" s="77"/>
      <c r="J40" s="75">
        <v>46</v>
      </c>
      <c r="K40" s="76"/>
      <c r="L40" s="85">
        <f>ROUND((90/1936.27)*1000,0)</f>
        <v>46</v>
      </c>
      <c r="M40" s="77"/>
      <c r="N40" s="82">
        <v>30</v>
      </c>
      <c r="O40" s="77"/>
      <c r="P40" s="82">
        <v>4</v>
      </c>
      <c r="Q40" s="77"/>
      <c r="R40" s="82">
        <v>20</v>
      </c>
      <c r="S40" s="77"/>
      <c r="T40" s="82"/>
      <c r="U40" s="77"/>
      <c r="V40" s="82"/>
      <c r="W40" s="77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</row>
    <row r="41" spans="1:44" s="2" customFormat="1" ht="12.75">
      <c r="A41" s="23"/>
      <c r="B41" s="14" t="s">
        <v>10</v>
      </c>
      <c r="C41" s="15"/>
      <c r="D41" s="16"/>
      <c r="E41"/>
      <c r="F41" s="105"/>
      <c r="G41" s="138"/>
      <c r="H41" s="105"/>
      <c r="I41" s="138"/>
      <c r="J41" s="105"/>
      <c r="K41" s="138"/>
      <c r="L41" s="100"/>
      <c r="M41" s="122"/>
      <c r="N41" s="100">
        <v>0</v>
      </c>
      <c r="O41" s="122"/>
      <c r="P41" s="100"/>
      <c r="Q41" s="122"/>
      <c r="R41" s="100">
        <v>6</v>
      </c>
      <c r="S41" s="122"/>
      <c r="T41" s="100">
        <v>39</v>
      </c>
      <c r="U41" s="122"/>
      <c r="V41" s="100">
        <v>65</v>
      </c>
      <c r="W41" s="122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</row>
    <row r="42" spans="1:44" s="2" customFormat="1" ht="12.75">
      <c r="A42" s="173" t="s">
        <v>16</v>
      </c>
      <c r="B42" s="174"/>
      <c r="C42" s="174"/>
      <c r="D42" s="175"/>
      <c r="E42" s="38"/>
      <c r="F42" s="102">
        <f>SUM(F43:F48)</f>
        <v>781</v>
      </c>
      <c r="G42" s="102">
        <f>SUM(G43:G48)</f>
        <v>0</v>
      </c>
      <c r="H42" s="102">
        <f>SUM(H43:H48)</f>
        <v>1120</v>
      </c>
      <c r="I42" s="102">
        <f>SUM(I43:I48)</f>
        <v>0</v>
      </c>
      <c r="J42" s="102">
        <f>SUM(J43:J48)-1</f>
        <v>1239</v>
      </c>
      <c r="K42" s="102">
        <f aca="true" t="shared" si="6" ref="K42:Q42">SUM(K43:K48)</f>
        <v>0</v>
      </c>
      <c r="L42" s="102">
        <f t="shared" si="6"/>
        <v>1008</v>
      </c>
      <c r="M42" s="102">
        <f t="shared" si="6"/>
        <v>0</v>
      </c>
      <c r="N42" s="102">
        <f t="shared" si="6"/>
        <v>1045</v>
      </c>
      <c r="O42" s="102">
        <f t="shared" si="6"/>
        <v>0</v>
      </c>
      <c r="P42" s="102">
        <f t="shared" si="6"/>
        <v>1063</v>
      </c>
      <c r="Q42" s="102">
        <f t="shared" si="6"/>
        <v>0</v>
      </c>
      <c r="R42" s="102">
        <f aca="true" t="shared" si="7" ref="R42:W42">SUM(R43:R48)</f>
        <v>983</v>
      </c>
      <c r="S42" s="102">
        <f t="shared" si="7"/>
        <v>0</v>
      </c>
      <c r="T42" s="102">
        <f t="shared" si="7"/>
        <v>900</v>
      </c>
      <c r="U42" s="102">
        <f t="shared" si="7"/>
        <v>0</v>
      </c>
      <c r="V42" s="102">
        <f t="shared" si="7"/>
        <v>946</v>
      </c>
      <c r="W42" s="102">
        <f t="shared" si="7"/>
        <v>0</v>
      </c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</row>
    <row r="43" spans="1:44" s="2" customFormat="1" ht="12.75">
      <c r="A43" s="46"/>
      <c r="B43" s="40" t="s">
        <v>6</v>
      </c>
      <c r="C43" s="40"/>
      <c r="D43" s="47"/>
      <c r="F43" s="75">
        <v>306</v>
      </c>
      <c r="G43" s="76"/>
      <c r="H43" s="82">
        <v>382</v>
      </c>
      <c r="I43" s="77"/>
      <c r="J43" s="75">
        <f>445</f>
        <v>445</v>
      </c>
      <c r="K43" s="76"/>
      <c r="L43" s="85">
        <f>ROUND((515/1936.27)*1000,0)</f>
        <v>266</v>
      </c>
      <c r="M43" s="77"/>
      <c r="N43" s="75">
        <v>224</v>
      </c>
      <c r="O43" s="77"/>
      <c r="P43" s="75">
        <v>248</v>
      </c>
      <c r="Q43" s="77"/>
      <c r="R43" s="75">
        <v>343</v>
      </c>
      <c r="S43" s="77"/>
      <c r="T43" s="75">
        <v>99</v>
      </c>
      <c r="U43" s="77"/>
      <c r="V43" s="75">
        <v>363</v>
      </c>
      <c r="W43" s="77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</row>
    <row r="44" spans="1:44" s="2" customFormat="1" ht="12.75">
      <c r="A44" s="46"/>
      <c r="B44" s="40" t="s">
        <v>17</v>
      </c>
      <c r="C44" s="40"/>
      <c r="D44" s="47"/>
      <c r="F44" s="75">
        <v>25</v>
      </c>
      <c r="G44" s="76"/>
      <c r="H44" s="75">
        <v>28</v>
      </c>
      <c r="I44" s="76"/>
      <c r="J44" s="75">
        <v>5</v>
      </c>
      <c r="K44" s="76"/>
      <c r="L44" s="85">
        <f>ROUND((20/1936.27)*1000,0)</f>
        <v>10</v>
      </c>
      <c r="M44" s="77"/>
      <c r="N44" s="75">
        <v>23</v>
      </c>
      <c r="O44" s="77"/>
      <c r="P44" s="75">
        <v>22</v>
      </c>
      <c r="Q44" s="77"/>
      <c r="R44" s="75">
        <v>21</v>
      </c>
      <c r="S44" s="77"/>
      <c r="T44" s="75">
        <v>186</v>
      </c>
      <c r="U44" s="77"/>
      <c r="V44" s="75">
        <v>109</v>
      </c>
      <c r="W44" s="77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</row>
    <row r="45" spans="1:44" s="2" customFormat="1" ht="12.75">
      <c r="A45" s="46"/>
      <c r="B45" s="40" t="s">
        <v>52</v>
      </c>
      <c r="C45" s="40"/>
      <c r="D45" s="47"/>
      <c r="F45" s="75">
        <v>94</v>
      </c>
      <c r="G45" s="76"/>
      <c r="H45" s="75">
        <v>83</v>
      </c>
      <c r="I45" s="76"/>
      <c r="J45" s="75">
        <v>60</v>
      </c>
      <c r="K45" s="76"/>
      <c r="L45" s="85">
        <f>ROUND((80/1936.27)*1000,0)</f>
        <v>41</v>
      </c>
      <c r="M45" s="77"/>
      <c r="N45" s="75">
        <v>0</v>
      </c>
      <c r="O45" s="77"/>
      <c r="P45" s="75"/>
      <c r="Q45" s="77"/>
      <c r="R45" s="75"/>
      <c r="S45" s="77"/>
      <c r="T45" s="75"/>
      <c r="U45" s="77"/>
      <c r="V45" s="75">
        <v>12</v>
      </c>
      <c r="W45" s="77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</row>
    <row r="46" spans="1:44" s="2" customFormat="1" ht="12.75">
      <c r="A46" s="46"/>
      <c r="B46" s="40" t="s">
        <v>160</v>
      </c>
      <c r="C46" s="40"/>
      <c r="D46" s="47"/>
      <c r="F46" s="75">
        <v>218</v>
      </c>
      <c r="G46" s="76"/>
      <c r="H46" s="75">
        <v>305</v>
      </c>
      <c r="I46" s="76"/>
      <c r="J46" s="75">
        <v>336</v>
      </c>
      <c r="K46" s="76"/>
      <c r="L46" s="85">
        <f>ROUND((710/1936.27)*1000,0)</f>
        <v>367</v>
      </c>
      <c r="M46" s="77"/>
      <c r="N46" s="75">
        <v>506</v>
      </c>
      <c r="O46" s="77"/>
      <c r="P46" s="75">
        <v>478</v>
      </c>
      <c r="Q46" s="77"/>
      <c r="R46" s="75">
        <v>400</v>
      </c>
      <c r="S46" s="77"/>
      <c r="T46" s="75">
        <v>394</v>
      </c>
      <c r="U46" s="77"/>
      <c r="V46" s="75">
        <v>258</v>
      </c>
      <c r="W46" s="77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</row>
    <row r="47" spans="1:44" s="2" customFormat="1" ht="12.75">
      <c r="A47" s="46"/>
      <c r="B47" s="40" t="s">
        <v>161</v>
      </c>
      <c r="C47" s="40"/>
      <c r="D47" s="47"/>
      <c r="F47" s="75">
        <v>88</v>
      </c>
      <c r="G47" s="76"/>
      <c r="H47" s="75">
        <v>202</v>
      </c>
      <c r="I47" s="76"/>
      <c r="J47" s="75">
        <v>270</v>
      </c>
      <c r="K47" s="76"/>
      <c r="L47" s="85">
        <f>ROUND((487/1936.27)*1000,0)</f>
        <v>252</v>
      </c>
      <c r="M47" s="77"/>
      <c r="N47" s="75">
        <v>241</v>
      </c>
      <c r="O47" s="77"/>
      <c r="P47" s="75">
        <v>254</v>
      </c>
      <c r="Q47" s="77"/>
      <c r="R47" s="75">
        <v>219</v>
      </c>
      <c r="S47" s="77"/>
      <c r="T47" s="75">
        <v>221</v>
      </c>
      <c r="U47" s="77"/>
      <c r="V47" s="75">
        <v>204</v>
      </c>
      <c r="W47" s="77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</row>
    <row r="48" spans="1:44" s="2" customFormat="1" ht="12.75">
      <c r="A48" s="168"/>
      <c r="B48" s="87" t="s">
        <v>69</v>
      </c>
      <c r="C48" s="87"/>
      <c r="D48" s="88"/>
      <c r="E48" s="54"/>
      <c r="F48" s="205">
        <v>50</v>
      </c>
      <c r="G48" s="206">
        <v>0</v>
      </c>
      <c r="H48" s="135">
        <v>120</v>
      </c>
      <c r="I48" s="136">
        <v>0</v>
      </c>
      <c r="J48" s="135">
        <v>124</v>
      </c>
      <c r="K48" s="136">
        <v>0</v>
      </c>
      <c r="L48" s="135">
        <f>ROUND((140/1936.27)*1000,0)</f>
        <v>72</v>
      </c>
      <c r="M48" s="136">
        <v>0</v>
      </c>
      <c r="N48" s="141">
        <v>51</v>
      </c>
      <c r="O48" s="140">
        <v>0</v>
      </c>
      <c r="P48" s="141">
        <v>61</v>
      </c>
      <c r="Q48" s="140"/>
      <c r="R48" s="141"/>
      <c r="S48" s="140"/>
      <c r="T48" s="141"/>
      <c r="U48" s="140"/>
      <c r="V48" s="141"/>
      <c r="W48" s="140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</row>
    <row r="49" spans="1:44" s="2" customFormat="1" ht="12.75">
      <c r="A49" s="173" t="s">
        <v>70</v>
      </c>
      <c r="B49" s="174"/>
      <c r="C49" s="174"/>
      <c r="D49" s="175"/>
      <c r="E49" s="38"/>
      <c r="F49" s="98">
        <f aca="true" t="shared" si="8" ref="F49:S49">SUM(F50:F52)</f>
        <v>71</v>
      </c>
      <c r="G49" s="98">
        <f t="shared" si="8"/>
        <v>0</v>
      </c>
      <c r="H49" s="98">
        <f t="shared" si="8"/>
        <v>80</v>
      </c>
      <c r="I49" s="98">
        <f t="shared" si="8"/>
        <v>0</v>
      </c>
      <c r="J49" s="98">
        <f t="shared" si="8"/>
        <v>89</v>
      </c>
      <c r="K49" s="98">
        <f t="shared" si="8"/>
        <v>0</v>
      </c>
      <c r="L49" s="98">
        <f t="shared" si="8"/>
        <v>116</v>
      </c>
      <c r="M49" s="98">
        <f t="shared" si="8"/>
        <v>0</v>
      </c>
      <c r="N49" s="98">
        <f t="shared" si="8"/>
        <v>80</v>
      </c>
      <c r="O49" s="98">
        <f t="shared" si="8"/>
        <v>0</v>
      </c>
      <c r="P49" s="98">
        <f t="shared" si="8"/>
        <v>107</v>
      </c>
      <c r="Q49" s="98">
        <f t="shared" si="8"/>
        <v>0</v>
      </c>
      <c r="R49" s="98">
        <f t="shared" si="8"/>
        <v>58</v>
      </c>
      <c r="S49" s="98">
        <f t="shared" si="8"/>
        <v>0</v>
      </c>
      <c r="T49" s="98">
        <f>SUM(T50:T52)</f>
        <v>46</v>
      </c>
      <c r="U49" s="98">
        <f>SUM(U50:U52)</f>
        <v>0</v>
      </c>
      <c r="V49" s="98">
        <f>SUM(V50:V52)</f>
        <v>54</v>
      </c>
      <c r="W49" s="98">
        <f>SUM(W50:W52)</f>
        <v>0</v>
      </c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</row>
    <row r="50" spans="1:44" s="2" customFormat="1" ht="12.75">
      <c r="A50" s="13"/>
      <c r="B50" s="14" t="s">
        <v>6</v>
      </c>
      <c r="C50" s="15"/>
      <c r="D50" s="16"/>
      <c r="E50"/>
      <c r="F50" s="103">
        <v>71</v>
      </c>
      <c r="G50" s="125"/>
      <c r="H50" s="85">
        <v>80</v>
      </c>
      <c r="I50" s="83"/>
      <c r="J50" s="103">
        <v>89</v>
      </c>
      <c r="K50" s="125"/>
      <c r="L50" s="85">
        <f>ROUND((225/1936.27)*1000,0)</f>
        <v>116</v>
      </c>
      <c r="M50" s="83"/>
      <c r="N50" s="85">
        <v>80</v>
      </c>
      <c r="O50" s="83"/>
      <c r="P50" s="85">
        <v>107</v>
      </c>
      <c r="Q50" s="83"/>
      <c r="R50" s="85">
        <v>58</v>
      </c>
      <c r="S50" s="83"/>
      <c r="T50" s="85">
        <v>37</v>
      </c>
      <c r="U50" s="83"/>
      <c r="V50" s="85">
        <v>45</v>
      </c>
      <c r="W50" s="83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</row>
    <row r="51" spans="1:44" s="2" customFormat="1" ht="12.75">
      <c r="A51" s="13"/>
      <c r="B51" s="14" t="s">
        <v>95</v>
      </c>
      <c r="C51" s="15"/>
      <c r="D51" s="16"/>
      <c r="E51"/>
      <c r="F51" s="103">
        <v>0</v>
      </c>
      <c r="G51" s="125"/>
      <c r="H51" s="103">
        <v>0</v>
      </c>
      <c r="I51" s="125"/>
      <c r="J51" s="103">
        <v>0</v>
      </c>
      <c r="K51" s="125"/>
      <c r="L51" s="85">
        <v>0</v>
      </c>
      <c r="M51" s="83"/>
      <c r="N51" s="103">
        <v>0</v>
      </c>
      <c r="O51" s="83"/>
      <c r="P51" s="103"/>
      <c r="Q51" s="83"/>
      <c r="R51" s="103"/>
      <c r="S51" s="83"/>
      <c r="T51" s="103">
        <v>7</v>
      </c>
      <c r="U51" s="83"/>
      <c r="V51" s="103">
        <v>2</v>
      </c>
      <c r="W51" s="83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</row>
    <row r="52" spans="1:44" s="2" customFormat="1" ht="12.75">
      <c r="A52" s="29"/>
      <c r="B52" s="28" t="s">
        <v>59</v>
      </c>
      <c r="C52" s="24"/>
      <c r="D52" s="25"/>
      <c r="E52"/>
      <c r="F52" s="105">
        <v>0</v>
      </c>
      <c r="G52" s="138"/>
      <c r="H52" s="105">
        <v>0</v>
      </c>
      <c r="I52" s="138"/>
      <c r="J52" s="105">
        <v>0</v>
      </c>
      <c r="K52" s="138"/>
      <c r="L52" s="85">
        <v>0</v>
      </c>
      <c r="M52" s="122"/>
      <c r="N52" s="105">
        <v>0</v>
      </c>
      <c r="O52" s="122"/>
      <c r="P52" s="105"/>
      <c r="Q52" s="122"/>
      <c r="R52" s="105"/>
      <c r="S52" s="122"/>
      <c r="T52" s="105">
        <v>2</v>
      </c>
      <c r="U52" s="122"/>
      <c r="V52" s="105">
        <v>7</v>
      </c>
      <c r="W52" s="122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</row>
    <row r="53" spans="1:44" s="2" customFormat="1" ht="12.75">
      <c r="A53" s="173" t="s">
        <v>82</v>
      </c>
      <c r="B53" s="174"/>
      <c r="C53" s="174"/>
      <c r="D53" s="175"/>
      <c r="E53" s="38"/>
      <c r="F53" s="98">
        <f aca="true" t="shared" si="9" ref="F53:K53">SUM(F54:F56)</f>
        <v>7274</v>
      </c>
      <c r="G53" s="98">
        <f t="shared" si="9"/>
        <v>0</v>
      </c>
      <c r="H53" s="98">
        <f t="shared" si="9"/>
        <v>8829</v>
      </c>
      <c r="I53" s="98">
        <f t="shared" si="9"/>
        <v>0</v>
      </c>
      <c r="J53" s="98">
        <f t="shared" si="9"/>
        <v>7879</v>
      </c>
      <c r="K53" s="98">
        <f t="shared" si="9"/>
        <v>0</v>
      </c>
      <c r="L53" s="98">
        <f aca="true" t="shared" si="10" ref="L53:Q53">SUM(L54:L56)</f>
        <v>9104</v>
      </c>
      <c r="M53" s="98">
        <f t="shared" si="10"/>
        <v>0</v>
      </c>
      <c r="N53" s="98">
        <f t="shared" si="10"/>
        <v>8016</v>
      </c>
      <c r="O53" s="98">
        <f t="shared" si="10"/>
        <v>112.58760400150805</v>
      </c>
      <c r="P53" s="98">
        <f t="shared" si="10"/>
        <v>8513</v>
      </c>
      <c r="Q53" s="98">
        <f t="shared" si="10"/>
        <v>620</v>
      </c>
      <c r="R53" s="98">
        <f aca="true" t="shared" si="11" ref="R53:W53">SUM(R54:R56)</f>
        <v>8435</v>
      </c>
      <c r="S53" s="98">
        <f t="shared" si="11"/>
        <v>404</v>
      </c>
      <c r="T53" s="98">
        <f t="shared" si="11"/>
        <v>8296</v>
      </c>
      <c r="U53" s="98">
        <f t="shared" si="11"/>
        <v>78</v>
      </c>
      <c r="V53" s="98">
        <f t="shared" si="11"/>
        <v>7639</v>
      </c>
      <c r="W53" s="98">
        <f t="shared" si="11"/>
        <v>20</v>
      </c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</row>
    <row r="54" spans="1:44" s="42" customFormat="1" ht="12.75">
      <c r="A54" s="46"/>
      <c r="B54" s="40" t="s">
        <v>9</v>
      </c>
      <c r="C54" s="40"/>
      <c r="D54" s="47"/>
      <c r="E54" s="2"/>
      <c r="F54" s="82">
        <v>52</v>
      </c>
      <c r="G54" s="77"/>
      <c r="H54" s="82">
        <v>52</v>
      </c>
      <c r="I54" s="77"/>
      <c r="J54" s="75">
        <v>50</v>
      </c>
      <c r="K54" s="76"/>
      <c r="L54" s="85">
        <f>ROUND((100/1936.27)*1000,0)</f>
        <v>52</v>
      </c>
      <c r="M54" s="77"/>
      <c r="N54" s="75">
        <v>40</v>
      </c>
      <c r="O54" s="77"/>
      <c r="P54" s="75">
        <v>174</v>
      </c>
      <c r="Q54" s="77"/>
      <c r="R54" s="75">
        <v>167</v>
      </c>
      <c r="S54" s="77"/>
      <c r="T54" s="75">
        <v>531</v>
      </c>
      <c r="U54" s="77"/>
      <c r="V54" s="75">
        <v>174</v>
      </c>
      <c r="W54" s="7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</row>
    <row r="55" spans="1:44" s="2" customFormat="1" ht="12.75">
      <c r="A55" s="46"/>
      <c r="B55" s="40" t="s">
        <v>71</v>
      </c>
      <c r="C55" s="40"/>
      <c r="D55" s="47"/>
      <c r="F55" s="82">
        <v>2822</v>
      </c>
      <c r="G55" s="77"/>
      <c r="H55" s="82">
        <v>3040</v>
      </c>
      <c r="I55" s="77"/>
      <c r="J55" s="75">
        <v>2927</v>
      </c>
      <c r="K55" s="76"/>
      <c r="L55" s="85">
        <f>ROUND((6324/1936.27)*1000,0)</f>
        <v>3266</v>
      </c>
      <c r="M55" s="77"/>
      <c r="N55" s="75">
        <v>2383</v>
      </c>
      <c r="O55" s="77"/>
      <c r="P55" s="75">
        <v>2614</v>
      </c>
      <c r="Q55" s="77"/>
      <c r="R55" s="75">
        <v>2781</v>
      </c>
      <c r="S55" s="77"/>
      <c r="T55" s="75">
        <v>2552</v>
      </c>
      <c r="U55" s="77"/>
      <c r="V55" s="75">
        <v>2974</v>
      </c>
      <c r="W55" s="77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</row>
    <row r="56" spans="1:44" s="2" customFormat="1" ht="12.75">
      <c r="A56" s="46"/>
      <c r="B56" s="40" t="s">
        <v>18</v>
      </c>
      <c r="C56" s="40"/>
      <c r="D56" s="47"/>
      <c r="F56" s="82">
        <v>4400</v>
      </c>
      <c r="G56" s="77"/>
      <c r="H56" s="82">
        <v>5737</v>
      </c>
      <c r="I56" s="77"/>
      <c r="J56" s="75">
        <v>4902</v>
      </c>
      <c r="K56" s="76"/>
      <c r="L56" s="85">
        <f>ROUND((11203/1936.27)*1000,0)</f>
        <v>5786</v>
      </c>
      <c r="M56" s="77"/>
      <c r="N56" s="75">
        <v>5593</v>
      </c>
      <c r="O56" s="77">
        <f>218/1.93627</f>
        <v>112.58760400150805</v>
      </c>
      <c r="P56" s="75">
        <v>5725</v>
      </c>
      <c r="Q56" s="77">
        <v>620</v>
      </c>
      <c r="R56" s="75">
        <v>5487</v>
      </c>
      <c r="S56" s="77">
        <v>404</v>
      </c>
      <c r="T56" s="75">
        <v>5213</v>
      </c>
      <c r="U56" s="77">
        <v>78</v>
      </c>
      <c r="V56" s="75">
        <v>4491</v>
      </c>
      <c r="W56" s="77">
        <v>20</v>
      </c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</row>
    <row r="57" spans="1:44" s="2" customFormat="1" ht="12.75">
      <c r="A57" s="173" t="s">
        <v>138</v>
      </c>
      <c r="B57" s="174"/>
      <c r="C57" s="174"/>
      <c r="D57" s="175"/>
      <c r="E57" s="38"/>
      <c r="F57" s="98">
        <f>+F58+F59+F63+F64+F65+F66</f>
        <v>16068</v>
      </c>
      <c r="G57" s="98">
        <f aca="true" t="shared" si="12" ref="G57:W57">+G58+G59+G63+G64+G65+G66</f>
        <v>35</v>
      </c>
      <c r="H57" s="98">
        <f t="shared" si="12"/>
        <v>22071</v>
      </c>
      <c r="I57" s="98">
        <f t="shared" si="12"/>
        <v>89</v>
      </c>
      <c r="J57" s="98">
        <f t="shared" si="12"/>
        <v>14550</v>
      </c>
      <c r="K57" s="98">
        <f t="shared" si="12"/>
        <v>235</v>
      </c>
      <c r="L57" s="98">
        <f t="shared" si="12"/>
        <v>15997</v>
      </c>
      <c r="M57" s="98">
        <f t="shared" si="12"/>
        <v>166</v>
      </c>
      <c r="N57" s="98">
        <f t="shared" si="12"/>
        <v>17852</v>
      </c>
      <c r="O57" s="98">
        <f t="shared" si="12"/>
        <v>2063.2453118624985</v>
      </c>
      <c r="P57" s="98">
        <f t="shared" si="12"/>
        <v>18593</v>
      </c>
      <c r="Q57" s="98">
        <f t="shared" si="12"/>
        <v>3635</v>
      </c>
      <c r="R57" s="98">
        <f t="shared" si="12"/>
        <v>17417</v>
      </c>
      <c r="S57" s="98">
        <f t="shared" si="12"/>
        <v>2263</v>
      </c>
      <c r="T57" s="98">
        <f t="shared" si="12"/>
        <v>15634</v>
      </c>
      <c r="U57" s="98">
        <f t="shared" si="12"/>
        <v>310</v>
      </c>
      <c r="V57" s="98">
        <f t="shared" si="12"/>
        <v>17383</v>
      </c>
      <c r="W57" s="98">
        <f t="shared" si="12"/>
        <v>740</v>
      </c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</row>
    <row r="58" spans="1:44" s="2" customFormat="1" ht="12.75">
      <c r="A58" s="46"/>
      <c r="B58" s="40" t="s">
        <v>166</v>
      </c>
      <c r="D58" s="47"/>
      <c r="F58" s="82">
        <v>4324</v>
      </c>
      <c r="G58" s="77"/>
      <c r="H58" s="82">
        <v>6850</v>
      </c>
      <c r="I58" s="77">
        <v>22</v>
      </c>
      <c r="J58" s="82">
        <v>1620</v>
      </c>
      <c r="K58" s="77">
        <v>67</v>
      </c>
      <c r="L58" s="85">
        <f>ROUND((3354/1936.27)*1000,0)</f>
        <v>1732</v>
      </c>
      <c r="M58" s="77"/>
      <c r="N58" s="82">
        <v>2570</v>
      </c>
      <c r="O58" s="77">
        <f>262/1.93627</f>
        <v>135.31170756144547</v>
      </c>
      <c r="P58" s="82">
        <v>979</v>
      </c>
      <c r="Q58" s="77"/>
      <c r="R58" s="82">
        <v>685</v>
      </c>
      <c r="S58" s="77"/>
      <c r="T58" s="82">
        <v>532</v>
      </c>
      <c r="U58" s="77">
        <v>9</v>
      </c>
      <c r="V58" s="82">
        <v>633</v>
      </c>
      <c r="W58" s="77">
        <v>123</v>
      </c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</row>
    <row r="59" spans="1:44" s="2" customFormat="1" ht="12.75">
      <c r="A59" s="46"/>
      <c r="B59" s="40" t="s">
        <v>61</v>
      </c>
      <c r="D59" s="47"/>
      <c r="F59" s="82">
        <f>SUM(F60:F62)</f>
        <v>399</v>
      </c>
      <c r="G59" s="82">
        <f aca="true" t="shared" si="13" ref="G59:W59">SUM(G60:G62)</f>
        <v>0</v>
      </c>
      <c r="H59" s="82">
        <f t="shared" si="13"/>
        <v>622</v>
      </c>
      <c r="I59" s="82">
        <f t="shared" si="13"/>
        <v>0</v>
      </c>
      <c r="J59" s="82">
        <f t="shared" si="13"/>
        <v>570</v>
      </c>
      <c r="K59" s="82">
        <f t="shared" si="13"/>
        <v>0</v>
      </c>
      <c r="L59" s="82">
        <f t="shared" si="13"/>
        <v>1387</v>
      </c>
      <c r="M59" s="82">
        <f t="shared" si="13"/>
        <v>0</v>
      </c>
      <c r="N59" s="82">
        <f t="shared" si="13"/>
        <v>831</v>
      </c>
      <c r="O59" s="82">
        <f t="shared" si="13"/>
        <v>284.0512944992176</v>
      </c>
      <c r="P59" s="82">
        <f t="shared" si="13"/>
        <v>3665</v>
      </c>
      <c r="Q59" s="82">
        <f t="shared" si="13"/>
        <v>2360</v>
      </c>
      <c r="R59" s="82">
        <f t="shared" si="13"/>
        <v>1535</v>
      </c>
      <c r="S59" s="82">
        <f t="shared" si="13"/>
        <v>440</v>
      </c>
      <c r="T59" s="82">
        <f t="shared" si="13"/>
        <v>1054</v>
      </c>
      <c r="U59" s="82">
        <f t="shared" si="13"/>
        <v>81</v>
      </c>
      <c r="V59" s="82">
        <f t="shared" si="13"/>
        <v>2094</v>
      </c>
      <c r="W59" s="82">
        <f t="shared" si="13"/>
        <v>387</v>
      </c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</row>
    <row r="60" spans="1:44" s="208" customFormat="1" ht="8.25">
      <c r="A60" s="209"/>
      <c r="C60" s="213" t="s">
        <v>12</v>
      </c>
      <c r="D60" s="210"/>
      <c r="F60" s="211">
        <v>268</v>
      </c>
      <c r="G60" s="214"/>
      <c r="H60" s="211">
        <v>408</v>
      </c>
      <c r="I60" s="214"/>
      <c r="J60" s="211">
        <v>362</v>
      </c>
      <c r="K60" s="214"/>
      <c r="L60" s="211">
        <f>ROUND((2401/1936.27)*1000,0)</f>
        <v>1240</v>
      </c>
      <c r="M60" s="214"/>
      <c r="N60" s="211">
        <v>516</v>
      </c>
      <c r="O60" s="214"/>
      <c r="P60" s="211">
        <v>3373</v>
      </c>
      <c r="Q60" s="214">
        <v>2360</v>
      </c>
      <c r="R60" s="211">
        <v>533</v>
      </c>
      <c r="S60" s="214"/>
      <c r="T60" s="211">
        <f>706+59</f>
        <v>765</v>
      </c>
      <c r="U60" s="214">
        <f>22+59</f>
        <v>81</v>
      </c>
      <c r="V60" s="211">
        <v>1638</v>
      </c>
      <c r="W60" s="214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</row>
    <row r="61" spans="1:44" s="208" customFormat="1" ht="8.25">
      <c r="A61" s="209"/>
      <c r="C61" s="208" t="s">
        <v>97</v>
      </c>
      <c r="D61" s="210"/>
      <c r="F61" s="211">
        <v>129</v>
      </c>
      <c r="G61" s="214"/>
      <c r="H61" s="211">
        <v>212</v>
      </c>
      <c r="I61" s="214"/>
      <c r="J61" s="211">
        <v>206</v>
      </c>
      <c r="K61" s="214"/>
      <c r="L61" s="211">
        <v>145</v>
      </c>
      <c r="M61" s="214"/>
      <c r="N61" s="211">
        <f>284+1</f>
        <v>285</v>
      </c>
      <c r="O61" s="214">
        <f>550/1.93627</f>
        <v>284.0512944992176</v>
      </c>
      <c r="P61" s="211">
        <v>199</v>
      </c>
      <c r="Q61" s="214"/>
      <c r="R61" s="211">
        <v>258</v>
      </c>
      <c r="S61" s="214"/>
      <c r="T61" s="211">
        <v>64</v>
      </c>
      <c r="U61" s="214"/>
      <c r="V61" s="211">
        <v>59</v>
      </c>
      <c r="W61" s="214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</row>
    <row r="62" spans="1:44" s="208" customFormat="1" ht="8.25">
      <c r="A62" s="209"/>
      <c r="C62" s="208" t="s">
        <v>11</v>
      </c>
      <c r="D62" s="210"/>
      <c r="F62" s="211">
        <v>2</v>
      </c>
      <c r="G62" s="214"/>
      <c r="H62" s="211">
        <v>2</v>
      </c>
      <c r="I62" s="214"/>
      <c r="J62" s="211">
        <v>2</v>
      </c>
      <c r="K62" s="214"/>
      <c r="L62" s="211">
        <f>ROUND((4/1936.27)*1000,0)</f>
        <v>2</v>
      </c>
      <c r="M62" s="214"/>
      <c r="N62" s="211">
        <v>30</v>
      </c>
      <c r="O62" s="214"/>
      <c r="P62" s="211">
        <v>93</v>
      </c>
      <c r="Q62" s="214"/>
      <c r="R62" s="211">
        <v>744</v>
      </c>
      <c r="S62" s="214">
        <v>440</v>
      </c>
      <c r="T62" s="211">
        <v>225</v>
      </c>
      <c r="U62" s="214"/>
      <c r="V62" s="211">
        <v>397</v>
      </c>
      <c r="W62" s="214">
        <v>387</v>
      </c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</row>
    <row r="63" spans="1:44" s="2" customFormat="1" ht="12.75">
      <c r="A63" s="46"/>
      <c r="B63" s="14" t="s">
        <v>167</v>
      </c>
      <c r="D63" s="47"/>
      <c r="F63" s="85">
        <v>88</v>
      </c>
      <c r="G63" s="83"/>
      <c r="H63" s="85">
        <v>356</v>
      </c>
      <c r="I63" s="83"/>
      <c r="J63" s="85">
        <v>491</v>
      </c>
      <c r="K63" s="83"/>
      <c r="L63" s="85">
        <f>ROUND((670/1936.27)*1000,0)</f>
        <v>346</v>
      </c>
      <c r="M63" s="83"/>
      <c r="N63" s="85">
        <v>369</v>
      </c>
      <c r="O63" s="83"/>
      <c r="P63" s="85">
        <v>420</v>
      </c>
      <c r="Q63" s="83">
        <v>37</v>
      </c>
      <c r="R63" s="85">
        <v>441</v>
      </c>
      <c r="S63" s="83"/>
      <c r="T63" s="85">
        <v>488</v>
      </c>
      <c r="U63" s="83"/>
      <c r="V63" s="85">
        <v>453</v>
      </c>
      <c r="W63" s="8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</row>
    <row r="64" spans="1:44" s="2" customFormat="1" ht="12.75">
      <c r="A64" s="215"/>
      <c r="B64" s="14" t="s">
        <v>168</v>
      </c>
      <c r="D64" s="47"/>
      <c r="F64" s="85">
        <v>831</v>
      </c>
      <c r="G64" s="83"/>
      <c r="H64" s="85">
        <v>330</v>
      </c>
      <c r="I64" s="83"/>
      <c r="J64" s="85">
        <v>77</v>
      </c>
      <c r="K64" s="83"/>
      <c r="L64" s="85">
        <f>ROUND((260/1936.27)*1000,0)</f>
        <v>134</v>
      </c>
      <c r="M64" s="83"/>
      <c r="N64" s="85">
        <v>38</v>
      </c>
      <c r="O64" s="83"/>
      <c r="P64" s="85">
        <v>29</v>
      </c>
      <c r="Q64" s="83"/>
      <c r="R64" s="85">
        <v>136</v>
      </c>
      <c r="S64" s="83"/>
      <c r="T64" s="85">
        <v>104</v>
      </c>
      <c r="U64" s="83"/>
      <c r="V64" s="85">
        <v>98</v>
      </c>
      <c r="W64" s="8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</row>
    <row r="65" spans="1:44" s="2" customFormat="1" ht="12.75">
      <c r="A65" s="46"/>
      <c r="B65" s="14" t="s">
        <v>169</v>
      </c>
      <c r="D65" s="47"/>
      <c r="F65" s="85"/>
      <c r="G65" s="83"/>
      <c r="H65" s="85"/>
      <c r="I65" s="83"/>
      <c r="J65" s="85">
        <v>1</v>
      </c>
      <c r="K65" s="83"/>
      <c r="L65" s="85">
        <f>ROUND((201/1936.27)*1000,0)</f>
        <v>104</v>
      </c>
      <c r="M65" s="83"/>
      <c r="N65" s="85"/>
      <c r="O65" s="83"/>
      <c r="P65" s="85">
        <v>1</v>
      </c>
      <c r="Q65" s="83"/>
      <c r="R65" s="85"/>
      <c r="S65" s="83"/>
      <c r="T65" s="85">
        <v>67</v>
      </c>
      <c r="U65" s="83"/>
      <c r="V65" s="85">
        <v>1</v>
      </c>
      <c r="W65" s="83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</row>
    <row r="66" spans="1:44" s="2" customFormat="1" ht="12.75">
      <c r="A66" s="46"/>
      <c r="B66" s="40" t="s">
        <v>170</v>
      </c>
      <c r="D66" s="47"/>
      <c r="F66" s="82">
        <f>SUM(F67:F73)</f>
        <v>10426</v>
      </c>
      <c r="G66" s="82">
        <f aca="true" t="shared" si="14" ref="G66:AD66">SUM(G67:G73)</f>
        <v>35</v>
      </c>
      <c r="H66" s="82">
        <f t="shared" si="14"/>
        <v>13913</v>
      </c>
      <c r="I66" s="82">
        <f t="shared" si="14"/>
        <v>67</v>
      </c>
      <c r="J66" s="82">
        <f t="shared" si="14"/>
        <v>11791</v>
      </c>
      <c r="K66" s="82">
        <f t="shared" si="14"/>
        <v>168</v>
      </c>
      <c r="L66" s="82">
        <f t="shared" si="14"/>
        <v>12294</v>
      </c>
      <c r="M66" s="82">
        <f t="shared" si="14"/>
        <v>166</v>
      </c>
      <c r="N66" s="82">
        <f t="shared" si="14"/>
        <v>14044</v>
      </c>
      <c r="O66" s="82">
        <f t="shared" si="14"/>
        <v>1643.8823098018356</v>
      </c>
      <c r="P66" s="82">
        <f t="shared" si="14"/>
        <v>13499</v>
      </c>
      <c r="Q66" s="82">
        <f t="shared" si="14"/>
        <v>1238</v>
      </c>
      <c r="R66" s="82">
        <f t="shared" si="14"/>
        <v>14620</v>
      </c>
      <c r="S66" s="82">
        <f t="shared" si="14"/>
        <v>1823</v>
      </c>
      <c r="T66" s="82">
        <f t="shared" si="14"/>
        <v>13389</v>
      </c>
      <c r="U66" s="82">
        <f t="shared" si="14"/>
        <v>220</v>
      </c>
      <c r="V66" s="82">
        <f t="shared" si="14"/>
        <v>14104</v>
      </c>
      <c r="W66" s="82">
        <f t="shared" si="14"/>
        <v>230</v>
      </c>
      <c r="X66" s="82">
        <f t="shared" si="14"/>
        <v>0</v>
      </c>
      <c r="Y66" s="82">
        <f t="shared" si="14"/>
        <v>0</v>
      </c>
      <c r="Z66" s="82">
        <f t="shared" si="14"/>
        <v>0</v>
      </c>
      <c r="AA66" s="82">
        <f t="shared" si="14"/>
        <v>0</v>
      </c>
      <c r="AB66" s="82">
        <f t="shared" si="14"/>
        <v>0</v>
      </c>
      <c r="AC66" s="82">
        <f t="shared" si="14"/>
        <v>0</v>
      </c>
      <c r="AD66" s="82">
        <f t="shared" si="14"/>
        <v>0</v>
      </c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</row>
    <row r="67" spans="1:44" s="208" customFormat="1" ht="8.25">
      <c r="A67" s="209"/>
      <c r="C67" s="208" t="s">
        <v>171</v>
      </c>
      <c r="D67" s="210"/>
      <c r="F67" s="211"/>
      <c r="G67" s="214"/>
      <c r="H67" s="211"/>
      <c r="I67" s="214"/>
      <c r="J67" s="211"/>
      <c r="K67" s="214"/>
      <c r="L67" s="211"/>
      <c r="M67" s="214"/>
      <c r="N67" s="211"/>
      <c r="O67" s="214"/>
      <c r="P67" s="211"/>
      <c r="Q67" s="214"/>
      <c r="R67" s="211">
        <v>197</v>
      </c>
      <c r="S67" s="214"/>
      <c r="T67" s="211">
        <v>188</v>
      </c>
      <c r="U67" s="214"/>
      <c r="V67" s="211">
        <v>179</v>
      </c>
      <c r="W67" s="214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</row>
    <row r="68" spans="1:44" s="208" customFormat="1" ht="8.25">
      <c r="A68" s="209"/>
      <c r="C68" s="208" t="s">
        <v>113</v>
      </c>
      <c r="D68" s="210"/>
      <c r="F68" s="211">
        <v>2996</v>
      </c>
      <c r="G68" s="214"/>
      <c r="H68" s="211">
        <v>3782</v>
      </c>
      <c r="I68" s="214"/>
      <c r="J68" s="211">
        <v>3318</v>
      </c>
      <c r="K68" s="214"/>
      <c r="L68" s="211">
        <f>ROUND((4215/1936.27)*1000,0)</f>
        <v>2177</v>
      </c>
      <c r="M68" s="214"/>
      <c r="N68" s="211">
        <v>3733</v>
      </c>
      <c r="O68" s="214">
        <f>2502/1.93627</f>
        <v>1292.1751615218952</v>
      </c>
      <c r="P68" s="211">
        <v>3923</v>
      </c>
      <c r="Q68" s="214">
        <v>948</v>
      </c>
      <c r="R68" s="211">
        <v>4188</v>
      </c>
      <c r="S68" s="214">
        <v>1559</v>
      </c>
      <c r="T68" s="211">
        <v>2647</v>
      </c>
      <c r="U68" s="214"/>
      <c r="V68" s="211">
        <v>2799</v>
      </c>
      <c r="W68" s="214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</row>
    <row r="69" spans="1:44" s="208" customFormat="1" ht="8.25">
      <c r="A69" s="209"/>
      <c r="C69" s="208" t="s">
        <v>115</v>
      </c>
      <c r="D69" s="210"/>
      <c r="F69" s="211">
        <v>4522</v>
      </c>
      <c r="G69" s="214"/>
      <c r="H69" s="211">
        <v>6464</v>
      </c>
      <c r="I69" s="214"/>
      <c r="J69" s="211">
        <v>5020</v>
      </c>
      <c r="K69" s="214"/>
      <c r="L69" s="211">
        <f>ROUND((12841/1936.27)*1000,0)-166</f>
        <v>6466</v>
      </c>
      <c r="M69" s="214"/>
      <c r="N69" s="211">
        <v>4823</v>
      </c>
      <c r="O69" s="214">
        <f>681/1.93627</f>
        <v>351.7071482799403</v>
      </c>
      <c r="P69" s="211">
        <v>4511</v>
      </c>
      <c r="Q69" s="214">
        <v>290</v>
      </c>
      <c r="R69" s="211">
        <v>3699</v>
      </c>
      <c r="S69" s="214">
        <v>264</v>
      </c>
      <c r="T69" s="211">
        <v>3606</v>
      </c>
      <c r="U69" s="214">
        <v>130</v>
      </c>
      <c r="V69" s="211">
        <v>3710</v>
      </c>
      <c r="W69" s="214">
        <v>130</v>
      </c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</row>
    <row r="70" spans="1:44" s="208" customFormat="1" ht="8.25">
      <c r="A70" s="209"/>
      <c r="C70" s="208" t="s">
        <v>114</v>
      </c>
      <c r="D70" s="210"/>
      <c r="F70" s="211"/>
      <c r="G70" s="214"/>
      <c r="H70" s="211"/>
      <c r="I70" s="214"/>
      <c r="J70" s="211"/>
      <c r="K70" s="214"/>
      <c r="L70" s="211"/>
      <c r="M70" s="214"/>
      <c r="N70" s="211"/>
      <c r="O70" s="214"/>
      <c r="P70" s="211">
        <v>154</v>
      </c>
      <c r="Q70" s="214"/>
      <c r="R70" s="211">
        <v>1372</v>
      </c>
      <c r="S70" s="214"/>
      <c r="T70" s="211">
        <v>1443</v>
      </c>
      <c r="U70" s="214">
        <v>90</v>
      </c>
      <c r="V70" s="211">
        <v>1583</v>
      </c>
      <c r="W70" s="214">
        <v>100</v>
      </c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</row>
    <row r="71" spans="1:44" s="208" customFormat="1" ht="8.25">
      <c r="A71" s="209"/>
      <c r="C71" s="208" t="s">
        <v>172</v>
      </c>
      <c r="D71" s="210"/>
      <c r="F71" s="211"/>
      <c r="G71" s="214"/>
      <c r="H71" s="211"/>
      <c r="I71" s="214"/>
      <c r="J71" s="211"/>
      <c r="K71" s="214"/>
      <c r="L71" s="211"/>
      <c r="M71" s="214"/>
      <c r="N71" s="211">
        <v>3904</v>
      </c>
      <c r="O71" s="214"/>
      <c r="P71" s="211">
        <v>4911</v>
      </c>
      <c r="Q71" s="214"/>
      <c r="R71" s="211">
        <v>5164</v>
      </c>
      <c r="S71" s="214"/>
      <c r="T71" s="211">
        <v>5505</v>
      </c>
      <c r="U71" s="214"/>
      <c r="V71" s="211">
        <v>5833</v>
      </c>
      <c r="W71" s="214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</row>
    <row r="72" spans="1:44" s="208" customFormat="1" ht="8.25">
      <c r="A72" s="209"/>
      <c r="C72" s="216" t="s">
        <v>14</v>
      </c>
      <c r="D72" s="217"/>
      <c r="E72" s="218"/>
      <c r="F72" s="219">
        <v>1702</v>
      </c>
      <c r="G72" s="220">
        <v>35</v>
      </c>
      <c r="H72" s="219">
        <v>2046</v>
      </c>
      <c r="I72" s="220">
        <v>67</v>
      </c>
      <c r="J72" s="219">
        <v>1938</v>
      </c>
      <c r="K72" s="220">
        <v>168</v>
      </c>
      <c r="L72" s="219">
        <f>ROUND((3308/1936.27)*1000,0)+166</f>
        <v>1874</v>
      </c>
      <c r="M72" s="220">
        <f>ROUND(320701/1936.27,0)</f>
        <v>166</v>
      </c>
      <c r="N72" s="219">
        <v>190</v>
      </c>
      <c r="O72" s="220"/>
      <c r="P72" s="219"/>
      <c r="Q72" s="220"/>
      <c r="R72" s="219"/>
      <c r="S72" s="220"/>
      <c r="T72" s="219"/>
      <c r="U72" s="220"/>
      <c r="V72" s="219"/>
      <c r="W72" s="220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</row>
    <row r="73" spans="1:44" s="208" customFormat="1" ht="8.25">
      <c r="A73" s="221"/>
      <c r="B73" s="222"/>
      <c r="C73" s="223" t="s">
        <v>15</v>
      </c>
      <c r="D73" s="224"/>
      <c r="E73" s="225"/>
      <c r="F73" s="226">
        <v>1206</v>
      </c>
      <c r="G73" s="227"/>
      <c r="H73" s="226">
        <v>1621</v>
      </c>
      <c r="I73" s="227"/>
      <c r="J73" s="226">
        <v>1515</v>
      </c>
      <c r="K73" s="227"/>
      <c r="L73" s="226">
        <f>ROUND((3440/1936.27)*1000,0)</f>
        <v>1777</v>
      </c>
      <c r="M73" s="227"/>
      <c r="N73" s="226">
        <v>1394</v>
      </c>
      <c r="O73" s="227"/>
      <c r="P73" s="226"/>
      <c r="Q73" s="227"/>
      <c r="R73" s="226"/>
      <c r="S73" s="227"/>
      <c r="T73" s="226"/>
      <c r="U73" s="227"/>
      <c r="V73" s="226"/>
      <c r="W73" s="227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</row>
    <row r="74" spans="1:44" s="2" customFormat="1" ht="12.75">
      <c r="A74" s="188" t="s">
        <v>142</v>
      </c>
      <c r="B74" s="186"/>
      <c r="C74" s="186"/>
      <c r="D74" s="187"/>
      <c r="E74" s="86"/>
      <c r="F74" s="107">
        <f aca="true" t="shared" si="15" ref="F74:W74">+F75+F76+F80+F89</f>
        <v>18085</v>
      </c>
      <c r="G74" s="107">
        <f t="shared" si="15"/>
        <v>3780</v>
      </c>
      <c r="H74" s="107">
        <f t="shared" si="15"/>
        <v>20795</v>
      </c>
      <c r="I74" s="107">
        <f t="shared" si="15"/>
        <v>5685</v>
      </c>
      <c r="J74" s="107">
        <f t="shared" si="15"/>
        <v>20367</v>
      </c>
      <c r="K74" s="107">
        <f t="shared" si="15"/>
        <v>2318</v>
      </c>
      <c r="L74" s="107">
        <f t="shared" si="15"/>
        <v>23251</v>
      </c>
      <c r="M74" s="107">
        <f t="shared" si="15"/>
        <v>3355</v>
      </c>
      <c r="N74" s="107">
        <f t="shared" si="15"/>
        <v>25790</v>
      </c>
      <c r="O74" s="107">
        <f t="shared" si="15"/>
        <v>3085.7013536335326</v>
      </c>
      <c r="P74" s="107">
        <f t="shared" si="15"/>
        <v>29043</v>
      </c>
      <c r="Q74" s="107">
        <f t="shared" si="15"/>
        <v>6043</v>
      </c>
      <c r="R74" s="107">
        <f t="shared" si="15"/>
        <v>31296</v>
      </c>
      <c r="S74" s="107">
        <f t="shared" si="15"/>
        <v>7607</v>
      </c>
      <c r="T74" s="107">
        <f t="shared" si="15"/>
        <v>38407</v>
      </c>
      <c r="U74" s="107">
        <f t="shared" si="15"/>
        <v>11232</v>
      </c>
      <c r="V74" s="107">
        <f t="shared" si="15"/>
        <v>34026</v>
      </c>
      <c r="W74" s="107">
        <f t="shared" si="15"/>
        <v>10123</v>
      </c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</row>
    <row r="75" spans="1:44" s="61" customFormat="1" ht="12.75">
      <c r="A75" s="199"/>
      <c r="B75" s="200"/>
      <c r="C75" s="200" t="s">
        <v>158</v>
      </c>
      <c r="D75" s="201"/>
      <c r="F75" s="108"/>
      <c r="G75" s="154"/>
      <c r="H75" s="108"/>
      <c r="I75" s="154"/>
      <c r="J75" s="202"/>
      <c r="K75" s="202"/>
      <c r="L75" s="127"/>
      <c r="M75" s="154"/>
      <c r="N75" s="202"/>
      <c r="O75" s="154"/>
      <c r="P75" s="113"/>
      <c r="Q75" s="154"/>
      <c r="R75" s="202">
        <v>292</v>
      </c>
      <c r="S75" s="154">
        <v>243</v>
      </c>
      <c r="T75" s="202">
        <v>274</v>
      </c>
      <c r="U75" s="154">
        <v>224</v>
      </c>
      <c r="V75" s="202">
        <v>121</v>
      </c>
      <c r="W75" s="154">
        <v>55</v>
      </c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</row>
    <row r="76" spans="1:44" s="2" customFormat="1" ht="12.75">
      <c r="A76" s="46"/>
      <c r="B76" s="170" t="s">
        <v>141</v>
      </c>
      <c r="C76" s="170"/>
      <c r="D76" s="171"/>
      <c r="F76" s="108">
        <f aca="true" t="shared" si="16" ref="F76:L76">SUM(F77:F79)</f>
        <v>2550</v>
      </c>
      <c r="G76" s="108">
        <f t="shared" si="16"/>
        <v>0</v>
      </c>
      <c r="H76" s="108">
        <f t="shared" si="16"/>
        <v>2378</v>
      </c>
      <c r="I76" s="108">
        <f t="shared" si="16"/>
        <v>0</v>
      </c>
      <c r="J76" s="108">
        <f t="shared" si="16"/>
        <v>2467</v>
      </c>
      <c r="K76" s="108">
        <f t="shared" si="16"/>
        <v>0</v>
      </c>
      <c r="L76" s="108">
        <f t="shared" si="16"/>
        <v>2865</v>
      </c>
      <c r="M76" s="108">
        <f aca="true" t="shared" si="17" ref="M76:S76">SUM(M77:M79)</f>
        <v>0</v>
      </c>
      <c r="N76" s="108">
        <f t="shared" si="17"/>
        <v>3748</v>
      </c>
      <c r="O76" s="108">
        <f t="shared" si="17"/>
        <v>37.70135363353251</v>
      </c>
      <c r="P76" s="108">
        <f t="shared" si="17"/>
        <v>3419</v>
      </c>
      <c r="Q76" s="108">
        <f t="shared" si="17"/>
        <v>512</v>
      </c>
      <c r="R76" s="108">
        <f t="shared" si="17"/>
        <v>3037</v>
      </c>
      <c r="S76" s="108">
        <f t="shared" si="17"/>
        <v>853</v>
      </c>
      <c r="T76" s="108">
        <f>SUM(T77:T79)</f>
        <v>2782</v>
      </c>
      <c r="U76" s="108">
        <f>SUM(U77:U79)</f>
        <v>767</v>
      </c>
      <c r="V76" s="108">
        <f>SUM(V77:V79)</f>
        <v>2271</v>
      </c>
      <c r="W76" s="108">
        <f>SUM(W77:W79)</f>
        <v>926</v>
      </c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</row>
    <row r="77" spans="1:44" s="2" customFormat="1" ht="12.75">
      <c r="A77" s="46"/>
      <c r="B77" s="40"/>
      <c r="C77" s="8" t="s">
        <v>6</v>
      </c>
      <c r="D77" s="47"/>
      <c r="F77" s="103"/>
      <c r="G77" s="125"/>
      <c r="H77" s="103"/>
      <c r="I77" s="125"/>
      <c r="J77" s="103"/>
      <c r="K77" s="125"/>
      <c r="L77" s="85">
        <f>ROUND((50/1936.27)*1000,0)</f>
        <v>26</v>
      </c>
      <c r="M77" s="77"/>
      <c r="N77" s="103">
        <v>77</v>
      </c>
      <c r="O77" s="77"/>
      <c r="P77" s="103">
        <v>70</v>
      </c>
      <c r="Q77" s="77"/>
      <c r="R77" s="103">
        <v>49</v>
      </c>
      <c r="S77" s="77"/>
      <c r="T77" s="103">
        <v>64</v>
      </c>
      <c r="U77" s="77"/>
      <c r="V77" s="103">
        <v>96</v>
      </c>
      <c r="W77" s="77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94"/>
      <c r="AQ77" s="94"/>
      <c r="AR77" s="94"/>
    </row>
    <row r="78" spans="1:44" s="2" customFormat="1" ht="12.75">
      <c r="A78" s="46"/>
      <c r="B78" s="40"/>
      <c r="C78" s="39" t="s">
        <v>162</v>
      </c>
      <c r="D78" s="47"/>
      <c r="F78" s="75">
        <v>2166</v>
      </c>
      <c r="G78" s="76"/>
      <c r="H78" s="75">
        <v>2183</v>
      </c>
      <c r="I78" s="76"/>
      <c r="J78" s="75">
        <v>2169</v>
      </c>
      <c r="K78" s="76"/>
      <c r="L78" s="85">
        <f>ROUND((4988/1936.27)*1000,0)</f>
        <v>2576</v>
      </c>
      <c r="M78" s="77"/>
      <c r="N78" s="75">
        <v>2654</v>
      </c>
      <c r="O78" s="77"/>
      <c r="P78" s="75">
        <v>2485</v>
      </c>
      <c r="Q78" s="77">
        <v>478</v>
      </c>
      <c r="R78" s="75">
        <v>973</v>
      </c>
      <c r="S78" s="77">
        <v>797</v>
      </c>
      <c r="T78" s="75">
        <v>799</v>
      </c>
      <c r="U78" s="77">
        <v>744</v>
      </c>
      <c r="V78" s="75">
        <v>801</v>
      </c>
      <c r="W78" s="77">
        <v>799</v>
      </c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</row>
    <row r="79" spans="1:44" s="2" customFormat="1" ht="12.75">
      <c r="A79" s="46"/>
      <c r="B79" s="40"/>
      <c r="C79" s="39" t="s">
        <v>29</v>
      </c>
      <c r="D79" s="47"/>
      <c r="F79" s="85">
        <v>384</v>
      </c>
      <c r="G79" s="83"/>
      <c r="H79" s="85">
        <v>195</v>
      </c>
      <c r="I79" s="83"/>
      <c r="J79" s="85">
        <v>298</v>
      </c>
      <c r="K79" s="83"/>
      <c r="L79" s="85">
        <f>ROUND((509/1936.27)*1000,0)</f>
        <v>263</v>
      </c>
      <c r="M79" s="83"/>
      <c r="N79" s="85">
        <v>1017</v>
      </c>
      <c r="O79" s="83">
        <f>73/1.93627</f>
        <v>37.70135363353251</v>
      </c>
      <c r="P79" s="85">
        <v>864</v>
      </c>
      <c r="Q79" s="83">
        <v>34</v>
      </c>
      <c r="R79" s="85">
        <v>2015</v>
      </c>
      <c r="S79" s="83">
        <v>56</v>
      </c>
      <c r="T79" s="85">
        <v>1919</v>
      </c>
      <c r="U79" s="83">
        <v>23</v>
      </c>
      <c r="V79" s="85">
        <v>1374</v>
      </c>
      <c r="W79" s="83">
        <v>127</v>
      </c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</row>
    <row r="80" spans="1:44" s="2" customFormat="1" ht="12.75">
      <c r="A80" s="46"/>
      <c r="B80" s="170" t="s">
        <v>140</v>
      </c>
      <c r="C80" s="170"/>
      <c r="D80" s="171"/>
      <c r="F80" s="108">
        <f aca="true" t="shared" si="18" ref="F80:S80">SUM(F81:F88)</f>
        <v>12794</v>
      </c>
      <c r="G80" s="108">
        <f t="shared" si="18"/>
        <v>2085</v>
      </c>
      <c r="H80" s="108">
        <f t="shared" si="18"/>
        <v>15595</v>
      </c>
      <c r="I80" s="108">
        <f t="shared" si="18"/>
        <v>4093</v>
      </c>
      <c r="J80" s="108">
        <f t="shared" si="18"/>
        <v>15168</v>
      </c>
      <c r="K80" s="108">
        <f t="shared" si="18"/>
        <v>1523</v>
      </c>
      <c r="L80" s="108">
        <f t="shared" si="18"/>
        <v>17030</v>
      </c>
      <c r="M80" s="108">
        <f t="shared" si="18"/>
        <v>2163</v>
      </c>
      <c r="N80" s="108">
        <f t="shared" si="18"/>
        <v>17832</v>
      </c>
      <c r="O80" s="108">
        <f t="shared" si="18"/>
        <v>1813</v>
      </c>
      <c r="P80" s="108">
        <f t="shared" si="18"/>
        <v>19937</v>
      </c>
      <c r="Q80" s="108">
        <f t="shared" si="18"/>
        <v>3960</v>
      </c>
      <c r="R80" s="108">
        <f t="shared" si="18"/>
        <v>22397</v>
      </c>
      <c r="S80" s="108">
        <f t="shared" si="18"/>
        <v>5246</v>
      </c>
      <c r="T80" s="108">
        <f>SUM(T81:T88)</f>
        <v>30419</v>
      </c>
      <c r="U80" s="108">
        <f>SUM(U81:U88)</f>
        <v>8663</v>
      </c>
      <c r="V80" s="108">
        <f>SUM(V81:V88)</f>
        <v>26443</v>
      </c>
      <c r="W80" s="108">
        <f>SUM(W81:W88)</f>
        <v>7661</v>
      </c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</row>
    <row r="81" spans="1:44" s="2" customFormat="1" ht="12.75">
      <c r="A81" s="46"/>
      <c r="B81" s="40"/>
      <c r="C81" s="39" t="s">
        <v>28</v>
      </c>
      <c r="D81" s="47"/>
      <c r="F81" s="75">
        <f>256+1096</f>
        <v>1352</v>
      </c>
      <c r="G81" s="76">
        <v>967</v>
      </c>
      <c r="H81" s="75">
        <f>168+156</f>
        <v>324</v>
      </c>
      <c r="I81" s="76"/>
      <c r="J81" s="75">
        <f>323+103</f>
        <v>426</v>
      </c>
      <c r="K81" s="76">
        <v>31</v>
      </c>
      <c r="L81" s="85">
        <f>ROUND((1086/1936.27)*1000,0)</f>
        <v>561</v>
      </c>
      <c r="M81" s="77"/>
      <c r="N81" s="75">
        <v>834</v>
      </c>
      <c r="O81" s="82">
        <f>ROUND((2000/1936.27),0)</f>
        <v>1</v>
      </c>
      <c r="P81" s="75">
        <v>484</v>
      </c>
      <c r="Q81" s="82">
        <v>12</v>
      </c>
      <c r="R81" s="75">
        <v>356</v>
      </c>
      <c r="S81" s="82">
        <v>26</v>
      </c>
      <c r="T81" s="75">
        <f>309+20</f>
        <v>329</v>
      </c>
      <c r="U81" s="82">
        <v>7</v>
      </c>
      <c r="V81" s="75">
        <v>152</v>
      </c>
      <c r="W81" s="82">
        <v>30</v>
      </c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</row>
    <row r="82" spans="1:44" s="2" customFormat="1" ht="12.75">
      <c r="A82" s="46"/>
      <c r="B82" s="40"/>
      <c r="C82" s="39" t="s">
        <v>30</v>
      </c>
      <c r="D82" s="47"/>
      <c r="F82" s="75">
        <v>4309</v>
      </c>
      <c r="G82" s="76">
        <v>70</v>
      </c>
      <c r="H82" s="75">
        <v>5489</v>
      </c>
      <c r="I82" s="76">
        <v>788</v>
      </c>
      <c r="J82" s="75">
        <v>6312</v>
      </c>
      <c r="K82" s="76">
        <v>900</v>
      </c>
      <c r="L82" s="85">
        <f>ROUND((12765/1936.27)*1000,0)</f>
        <v>6593</v>
      </c>
      <c r="M82" s="77">
        <f>+ROUND(1834790/1936.27,0)</f>
        <v>948</v>
      </c>
      <c r="N82" s="75">
        <v>6410</v>
      </c>
      <c r="O82" s="82">
        <f>ROUND((1847271/1936.27),0)</f>
        <v>954</v>
      </c>
      <c r="P82" s="75">
        <v>6194</v>
      </c>
      <c r="Q82" s="82">
        <v>901</v>
      </c>
      <c r="R82" s="75">
        <v>5951</v>
      </c>
      <c r="S82" s="82">
        <v>689</v>
      </c>
      <c r="T82" s="75">
        <v>8095</v>
      </c>
      <c r="U82" s="82">
        <v>1231</v>
      </c>
      <c r="V82" s="75">
        <v>7783</v>
      </c>
      <c r="W82" s="82">
        <v>1229</v>
      </c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</row>
    <row r="83" spans="1:44" s="2" customFormat="1" ht="12.75">
      <c r="A83" s="46"/>
      <c r="B83" s="40"/>
      <c r="C83" s="39" t="s">
        <v>99</v>
      </c>
      <c r="D83" s="47"/>
      <c r="F83" s="75"/>
      <c r="G83" s="76"/>
      <c r="H83" s="75"/>
      <c r="I83" s="76"/>
      <c r="J83" s="75"/>
      <c r="K83" s="76"/>
      <c r="L83" s="85"/>
      <c r="M83" s="77"/>
      <c r="N83" s="75"/>
      <c r="O83" s="82"/>
      <c r="P83" s="75">
        <v>1535</v>
      </c>
      <c r="Q83" s="82">
        <v>687</v>
      </c>
      <c r="R83" s="75">
        <v>2541</v>
      </c>
      <c r="S83" s="82">
        <v>1135</v>
      </c>
      <c r="T83" s="75">
        <v>1841</v>
      </c>
      <c r="U83" s="82">
        <v>542</v>
      </c>
      <c r="V83" s="75">
        <v>2356</v>
      </c>
      <c r="W83" s="82">
        <v>1983</v>
      </c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</row>
    <row r="84" spans="1:44" s="2" customFormat="1" ht="12.75">
      <c r="A84" s="46"/>
      <c r="B84" s="40"/>
      <c r="C84" s="39" t="s">
        <v>98</v>
      </c>
      <c r="D84" s="47"/>
      <c r="F84" s="75"/>
      <c r="G84" s="76"/>
      <c r="H84" s="75"/>
      <c r="I84" s="76"/>
      <c r="J84" s="75"/>
      <c r="K84" s="76"/>
      <c r="L84" s="85"/>
      <c r="M84" s="77"/>
      <c r="N84" s="75"/>
      <c r="O84" s="82"/>
      <c r="P84" s="75">
        <v>600</v>
      </c>
      <c r="Q84" s="82"/>
      <c r="R84" s="75">
        <v>1198</v>
      </c>
      <c r="S84" s="82">
        <v>366</v>
      </c>
      <c r="T84" s="75">
        <v>5113</v>
      </c>
      <c r="U84" s="82">
        <v>4457</v>
      </c>
      <c r="V84" s="75">
        <v>1212</v>
      </c>
      <c r="W84" s="82">
        <v>527</v>
      </c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</row>
    <row r="85" spans="1:44" s="54" customFormat="1" ht="12.75">
      <c r="A85" s="167"/>
      <c r="B85" s="41"/>
      <c r="C85" s="41" t="s">
        <v>94</v>
      </c>
      <c r="D85" s="53"/>
      <c r="F85" s="135">
        <v>1392</v>
      </c>
      <c r="G85" s="136">
        <v>371</v>
      </c>
      <c r="H85" s="135">
        <v>1421</v>
      </c>
      <c r="I85" s="136">
        <v>422</v>
      </c>
      <c r="J85" s="135">
        <v>1197</v>
      </c>
      <c r="K85" s="136">
        <v>247</v>
      </c>
      <c r="L85" s="141">
        <f>ROUND((2752/1936.27)*1000,0)</f>
        <v>1421</v>
      </c>
      <c r="M85" s="140">
        <f>ROUND(570922/1936.27,0)</f>
        <v>295</v>
      </c>
      <c r="N85" s="135">
        <v>2015</v>
      </c>
      <c r="O85" s="99">
        <f>ROUND((850534/1936.27),0)</f>
        <v>439</v>
      </c>
      <c r="P85" s="135"/>
      <c r="Q85" s="99"/>
      <c r="R85" s="135"/>
      <c r="S85" s="99"/>
      <c r="T85" s="135"/>
      <c r="U85" s="99"/>
      <c r="V85" s="135"/>
      <c r="W85" s="99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</row>
    <row r="86" spans="1:44" s="2" customFormat="1" ht="12.75">
      <c r="A86" s="46"/>
      <c r="B86" s="40"/>
      <c r="C86" s="39" t="s">
        <v>31</v>
      </c>
      <c r="D86" s="47"/>
      <c r="F86" s="75">
        <f>2012+688-574</f>
        <v>2126</v>
      </c>
      <c r="G86" s="76">
        <f>651+26</f>
        <v>677</v>
      </c>
      <c r="H86" s="75">
        <f>3176+1432-398</f>
        <v>4210</v>
      </c>
      <c r="I86" s="76">
        <f>101+1224+1303-101</f>
        <v>2527</v>
      </c>
      <c r="J86" s="75">
        <v>2576</v>
      </c>
      <c r="K86" s="76">
        <f>177+140+28</f>
        <v>345</v>
      </c>
      <c r="L86" s="85">
        <f>ROUND((6537/1936.27)*1000,0)</f>
        <v>3376</v>
      </c>
      <c r="M86" s="77">
        <f>ROUND(1533955/1936.27,0)</f>
        <v>792</v>
      </c>
      <c r="N86" s="75">
        <v>2520</v>
      </c>
      <c r="O86" s="82">
        <f>ROUND((244356/1936.27),0)</f>
        <v>126</v>
      </c>
      <c r="P86" s="75">
        <v>3846</v>
      </c>
      <c r="Q86" s="82">
        <v>1242</v>
      </c>
      <c r="R86" s="75">
        <v>4521</v>
      </c>
      <c r="S86" s="82">
        <v>1477</v>
      </c>
      <c r="T86" s="75">
        <v>5009</v>
      </c>
      <c r="U86" s="82">
        <f>1722</f>
        <v>1722</v>
      </c>
      <c r="V86" s="75">
        <v>5152</v>
      </c>
      <c r="W86" s="82">
        <v>1420</v>
      </c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</row>
    <row r="87" spans="1:44" s="2" customFormat="1" ht="12.75">
      <c r="A87" s="46"/>
      <c r="B87" s="40"/>
      <c r="C87" s="39" t="s">
        <v>83</v>
      </c>
      <c r="D87" s="47"/>
      <c r="F87" s="75">
        <v>2582</v>
      </c>
      <c r="G87" s="76"/>
      <c r="H87" s="75">
        <v>2659</v>
      </c>
      <c r="I87" s="76"/>
      <c r="J87" s="75">
        <f>3496-1</f>
        <v>3495</v>
      </c>
      <c r="K87" s="76"/>
      <c r="L87" s="85">
        <f>ROUND((7815/1936.27)*1000,0)</f>
        <v>4036</v>
      </c>
      <c r="M87" s="77"/>
      <c r="N87" s="75">
        <v>4063</v>
      </c>
      <c r="O87" s="77"/>
      <c r="P87" s="75">
        <v>4757</v>
      </c>
      <c r="Q87" s="77">
        <v>575</v>
      </c>
      <c r="R87" s="75">
        <v>5353</v>
      </c>
      <c r="S87" s="77">
        <v>1000</v>
      </c>
      <c r="T87" s="75">
        <v>7420</v>
      </c>
      <c r="U87" s="77">
        <v>187</v>
      </c>
      <c r="V87" s="75">
        <v>6751</v>
      </c>
      <c r="W87" s="77">
        <v>1955</v>
      </c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</row>
    <row r="88" spans="1:44" s="2" customFormat="1" ht="12.75">
      <c r="A88" s="46"/>
      <c r="B88" s="40"/>
      <c r="C88" s="39" t="s">
        <v>100</v>
      </c>
      <c r="D88" s="47"/>
      <c r="F88" s="75">
        <v>1033</v>
      </c>
      <c r="G88" s="76"/>
      <c r="H88" s="75">
        <v>1492</v>
      </c>
      <c r="I88" s="76">
        <v>356</v>
      </c>
      <c r="J88" s="75">
        <v>1162</v>
      </c>
      <c r="K88" s="76"/>
      <c r="L88" s="85">
        <f>ROUND((2019/1936.27)*1000,0)</f>
        <v>1043</v>
      </c>
      <c r="M88" s="77">
        <f>ROUND(247831/1936.27,0)</f>
        <v>128</v>
      </c>
      <c r="N88" s="75">
        <v>1990</v>
      </c>
      <c r="O88" s="77">
        <f>ROUND((568177/1936.27),0)</f>
        <v>293</v>
      </c>
      <c r="P88" s="75">
        <v>2521</v>
      </c>
      <c r="Q88" s="77">
        <v>543</v>
      </c>
      <c r="R88" s="75">
        <v>2477</v>
      </c>
      <c r="S88" s="77">
        <v>553</v>
      </c>
      <c r="T88" s="75">
        <v>2612</v>
      </c>
      <c r="U88" s="77">
        <v>517</v>
      </c>
      <c r="V88" s="75">
        <v>3037</v>
      </c>
      <c r="W88" s="77">
        <v>517</v>
      </c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</row>
    <row r="89" spans="1:44" s="2" customFormat="1" ht="12.75">
      <c r="A89" s="46"/>
      <c r="B89" s="170" t="s">
        <v>72</v>
      </c>
      <c r="C89" s="170"/>
      <c r="D89" s="171"/>
      <c r="F89" s="108">
        <f aca="true" t="shared" si="19" ref="F89:U89">SUM(F90:F95)</f>
        <v>2741</v>
      </c>
      <c r="G89" s="108">
        <f t="shared" si="19"/>
        <v>1695</v>
      </c>
      <c r="H89" s="108">
        <f t="shared" si="19"/>
        <v>2822</v>
      </c>
      <c r="I89" s="108">
        <f t="shared" si="19"/>
        <v>1592</v>
      </c>
      <c r="J89" s="108">
        <f t="shared" si="19"/>
        <v>2732</v>
      </c>
      <c r="K89" s="108">
        <f t="shared" si="19"/>
        <v>795</v>
      </c>
      <c r="L89" s="108">
        <f t="shared" si="19"/>
        <v>3356</v>
      </c>
      <c r="M89" s="108">
        <f t="shared" si="19"/>
        <v>1192</v>
      </c>
      <c r="N89" s="108">
        <f t="shared" si="19"/>
        <v>4210</v>
      </c>
      <c r="O89" s="108">
        <f t="shared" si="19"/>
        <v>1235</v>
      </c>
      <c r="P89" s="108">
        <f t="shared" si="19"/>
        <v>5687</v>
      </c>
      <c r="Q89" s="108">
        <f t="shared" si="19"/>
        <v>1571</v>
      </c>
      <c r="R89" s="108">
        <f t="shared" si="19"/>
        <v>5570</v>
      </c>
      <c r="S89" s="108">
        <f t="shared" si="19"/>
        <v>1265</v>
      </c>
      <c r="T89" s="108">
        <f t="shared" si="19"/>
        <v>4932</v>
      </c>
      <c r="U89" s="108">
        <f t="shared" si="19"/>
        <v>1578</v>
      </c>
      <c r="V89" s="108">
        <f>SUM(V90:V95)</f>
        <v>5191</v>
      </c>
      <c r="W89" s="108">
        <f>SUM(W90:W95)</f>
        <v>1481</v>
      </c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</row>
    <row r="90" spans="1:44" s="2" customFormat="1" ht="12.75">
      <c r="A90" s="46"/>
      <c r="B90" s="40"/>
      <c r="C90" s="39" t="s">
        <v>28</v>
      </c>
      <c r="D90" s="47"/>
      <c r="F90" s="75">
        <v>139</v>
      </c>
      <c r="G90" s="76">
        <v>37</v>
      </c>
      <c r="H90" s="82">
        <v>227</v>
      </c>
      <c r="I90" s="77">
        <v>85</v>
      </c>
      <c r="J90" s="75">
        <v>221</v>
      </c>
      <c r="K90" s="76">
        <v>38</v>
      </c>
      <c r="L90" s="85">
        <f>ROUND((1367/1936.27)*1000,0)</f>
        <v>706</v>
      </c>
      <c r="M90" s="82">
        <f>ROUND(361500/1936.27,0)</f>
        <v>187</v>
      </c>
      <c r="N90" s="82">
        <v>399</v>
      </c>
      <c r="O90" s="82">
        <f>ROUND((107600/1936.27),0)</f>
        <v>56</v>
      </c>
      <c r="P90" s="82">
        <v>257</v>
      </c>
      <c r="Q90" s="82">
        <v>23</v>
      </c>
      <c r="R90" s="82">
        <v>137</v>
      </c>
      <c r="S90" s="82">
        <v>38</v>
      </c>
      <c r="T90" s="82">
        <v>138</v>
      </c>
      <c r="U90" s="82">
        <v>28</v>
      </c>
      <c r="V90" s="82">
        <v>96</v>
      </c>
      <c r="W90" s="82">
        <v>48</v>
      </c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</row>
    <row r="91" spans="1:44" s="2" customFormat="1" ht="12.75">
      <c r="A91" s="46"/>
      <c r="B91" s="40"/>
      <c r="C91" s="40" t="s">
        <v>73</v>
      </c>
      <c r="D91" s="47"/>
      <c r="F91" s="75">
        <f>540-ROUND(20000/1936.27,0)</f>
        <v>530</v>
      </c>
      <c r="G91" s="76">
        <v>150</v>
      </c>
      <c r="H91" s="75">
        <f>320-ROUND(12000/1936.27,0)</f>
        <v>314</v>
      </c>
      <c r="I91" s="76">
        <v>182</v>
      </c>
      <c r="J91" s="75">
        <f>875-ROUND(17973/1936.27,0)</f>
        <v>866</v>
      </c>
      <c r="K91" s="76">
        <v>117</v>
      </c>
      <c r="L91" s="85">
        <f>ROUND((1634/1936.27)*1000,0)</f>
        <v>844</v>
      </c>
      <c r="M91" s="82">
        <f>ROUND(292090/1936.27,0)</f>
        <v>151</v>
      </c>
      <c r="N91" s="82">
        <v>888</v>
      </c>
      <c r="O91" s="82">
        <f>ROUND((300000/1936.27),0)</f>
        <v>155</v>
      </c>
      <c r="P91" s="82">
        <v>2475</v>
      </c>
      <c r="Q91" s="82">
        <v>804</v>
      </c>
      <c r="R91" s="82">
        <v>2234</v>
      </c>
      <c r="S91" s="82">
        <v>570</v>
      </c>
      <c r="T91" s="82">
        <v>2766</v>
      </c>
      <c r="U91" s="82">
        <v>843</v>
      </c>
      <c r="V91" s="82">
        <v>3451</v>
      </c>
      <c r="W91" s="82">
        <v>642</v>
      </c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</row>
    <row r="92" spans="1:44" s="2" customFormat="1" ht="12.75">
      <c r="A92" s="46"/>
      <c r="B92" s="40"/>
      <c r="C92" s="39" t="s">
        <v>84</v>
      </c>
      <c r="D92" s="47"/>
      <c r="F92" s="75">
        <v>70</v>
      </c>
      <c r="G92" s="76">
        <v>0</v>
      </c>
      <c r="H92" s="75">
        <f>480-ROUND((580000+128796)/1936.27,0)</f>
        <v>114</v>
      </c>
      <c r="I92" s="76">
        <v>0</v>
      </c>
      <c r="J92" s="75">
        <f>596-ROUND((87000+650000)/1936.27,0)</f>
        <v>215</v>
      </c>
      <c r="K92" s="76">
        <f>59-45</f>
        <v>14</v>
      </c>
      <c r="L92" s="85">
        <f>ROUND((368/1936.27)*1000,0)</f>
        <v>190</v>
      </c>
      <c r="M92" s="82">
        <f>ROUND(23000/1936.27,0)</f>
        <v>12</v>
      </c>
      <c r="N92" s="82">
        <v>203</v>
      </c>
      <c r="O92" s="82"/>
      <c r="P92" s="82">
        <v>116</v>
      </c>
      <c r="Q92" s="82"/>
      <c r="R92" s="82">
        <v>147</v>
      </c>
      <c r="S92" s="82"/>
      <c r="T92" s="82">
        <v>97</v>
      </c>
      <c r="U92" s="82">
        <v>5</v>
      </c>
      <c r="V92" s="82">
        <v>86</v>
      </c>
      <c r="W92" s="82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</row>
    <row r="93" spans="1:44" s="2" customFormat="1" ht="12.75">
      <c r="A93" s="46"/>
      <c r="B93" s="40"/>
      <c r="C93" s="39" t="s">
        <v>85</v>
      </c>
      <c r="D93" s="47"/>
      <c r="F93" s="75">
        <f>+ROUND((307100+65000+20000+6451)/1936.27,0)</f>
        <v>206</v>
      </c>
      <c r="G93" s="76">
        <v>206</v>
      </c>
      <c r="H93" s="75">
        <f>0+ROUND((65000+12000+580000+128796)/1936.27,0)</f>
        <v>406</v>
      </c>
      <c r="I93" s="76">
        <v>67</v>
      </c>
      <c r="J93" s="75">
        <f>+ROUND((18000+87000+650000)/1936.27,0)</f>
        <v>390</v>
      </c>
      <c r="K93" s="76">
        <v>45</v>
      </c>
      <c r="L93" s="85">
        <f>ROUND((2213/1936.27)*1000,0)</f>
        <v>1143</v>
      </c>
      <c r="M93" s="82">
        <f>ROUND(1536207/1936.27,0)</f>
        <v>793</v>
      </c>
      <c r="N93" s="82">
        <v>2275</v>
      </c>
      <c r="O93" s="82">
        <f>ROUND((1948733/1936.27),0)</f>
        <v>1006</v>
      </c>
      <c r="P93" s="82">
        <f>2366+30</f>
        <v>2396</v>
      </c>
      <c r="Q93" s="82">
        <v>736</v>
      </c>
      <c r="R93" s="82">
        <f>2498+92</f>
        <v>2590</v>
      </c>
      <c r="S93" s="82">
        <v>649</v>
      </c>
      <c r="T93" s="82">
        <v>1509</v>
      </c>
      <c r="U93" s="82">
        <v>694</v>
      </c>
      <c r="V93" s="82">
        <v>1256</v>
      </c>
      <c r="W93" s="82">
        <v>785</v>
      </c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</row>
    <row r="94" spans="1:44" s="2" customFormat="1" ht="12.75">
      <c r="A94" s="46"/>
      <c r="B94" s="40"/>
      <c r="C94" s="39" t="s">
        <v>91</v>
      </c>
      <c r="D94" s="47"/>
      <c r="F94" s="75">
        <v>427</v>
      </c>
      <c r="G94" s="76">
        <v>34</v>
      </c>
      <c r="H94" s="75">
        <v>444</v>
      </c>
      <c r="I94" s="76">
        <v>41</v>
      </c>
      <c r="J94" s="75">
        <v>467</v>
      </c>
      <c r="K94" s="76">
        <v>65</v>
      </c>
      <c r="L94" s="85">
        <f>ROUND((916/1936.27)*1000,0)</f>
        <v>473</v>
      </c>
      <c r="M94" s="82">
        <f>ROUND(94889/1936.27,0)</f>
        <v>49</v>
      </c>
      <c r="N94" s="82">
        <v>445</v>
      </c>
      <c r="O94" s="82">
        <f>ROUND((34765/1936.27),0)</f>
        <v>18</v>
      </c>
      <c r="P94" s="82">
        <v>443</v>
      </c>
      <c r="Q94" s="82">
        <v>8</v>
      </c>
      <c r="R94" s="82">
        <v>462</v>
      </c>
      <c r="S94" s="82">
        <v>8</v>
      </c>
      <c r="T94" s="82">
        <v>422</v>
      </c>
      <c r="U94" s="82">
        <v>8</v>
      </c>
      <c r="V94" s="82">
        <v>302</v>
      </c>
      <c r="W94" s="82">
        <v>6</v>
      </c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</row>
    <row r="95" spans="1:44" s="2" customFormat="1" ht="12.75">
      <c r="A95" s="57"/>
      <c r="B95" s="58"/>
      <c r="C95" s="87" t="s">
        <v>74</v>
      </c>
      <c r="D95" s="88"/>
      <c r="E95" s="89"/>
      <c r="F95" s="147">
        <f>1561-ROUND((307100+65000)/1936.27,0)</f>
        <v>1369</v>
      </c>
      <c r="G95" s="148">
        <f>1427-159</f>
        <v>1268</v>
      </c>
      <c r="H95" s="147">
        <f>1351-ROUND(65000/1936.27,0)</f>
        <v>1317</v>
      </c>
      <c r="I95" s="148">
        <v>1217</v>
      </c>
      <c r="J95" s="147">
        <f>573</f>
        <v>573</v>
      </c>
      <c r="K95" s="148">
        <v>516</v>
      </c>
      <c r="L95" s="149">
        <v>0</v>
      </c>
      <c r="M95" s="90"/>
      <c r="N95" s="90">
        <v>0</v>
      </c>
      <c r="O95" s="90"/>
      <c r="P95" s="90"/>
      <c r="Q95" s="90"/>
      <c r="R95" s="90"/>
      <c r="S95" s="90"/>
      <c r="T95" s="90"/>
      <c r="U95" s="90"/>
      <c r="V95" s="90"/>
      <c r="W95" s="9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94"/>
      <c r="AR95" s="94"/>
    </row>
    <row r="96" spans="1:44" s="2" customFormat="1" ht="12.75">
      <c r="A96" s="188" t="s">
        <v>143</v>
      </c>
      <c r="B96" s="186"/>
      <c r="C96" s="186"/>
      <c r="D96" s="187"/>
      <c r="E96" s="86"/>
      <c r="F96" s="107">
        <f aca="true" t="shared" si="20" ref="F96:S96">+F97+F98+F99+F115+F121</f>
        <v>13424</v>
      </c>
      <c r="G96" s="107">
        <f t="shared" si="20"/>
        <v>1177</v>
      </c>
      <c r="H96" s="107">
        <f t="shared" si="20"/>
        <v>18897</v>
      </c>
      <c r="I96" s="107">
        <f t="shared" si="20"/>
        <v>1373</v>
      </c>
      <c r="J96" s="107">
        <f t="shared" si="20"/>
        <v>23805</v>
      </c>
      <c r="K96" s="107">
        <f t="shared" si="20"/>
        <v>9883</v>
      </c>
      <c r="L96" s="107">
        <f t="shared" si="20"/>
        <v>21424</v>
      </c>
      <c r="M96" s="107">
        <f t="shared" si="20"/>
        <v>5318</v>
      </c>
      <c r="N96" s="107">
        <f t="shared" si="20"/>
        <v>19845</v>
      </c>
      <c r="O96" s="107">
        <f t="shared" si="20"/>
        <v>4538</v>
      </c>
      <c r="P96" s="107">
        <f t="shared" si="20"/>
        <v>19422</v>
      </c>
      <c r="Q96" s="107">
        <f t="shared" si="20"/>
        <v>3125</v>
      </c>
      <c r="R96" s="107">
        <f t="shared" si="20"/>
        <v>23590</v>
      </c>
      <c r="S96" s="107">
        <f t="shared" si="20"/>
        <v>5028</v>
      </c>
      <c r="T96" s="107">
        <f>+T97+T98+T99+T115+T121</f>
        <v>20617</v>
      </c>
      <c r="U96" s="107">
        <f>+U97+U98+U99+U115+U121</f>
        <v>2207</v>
      </c>
      <c r="V96" s="107">
        <f>+V97+V98+V99+V115+V121</f>
        <v>22176</v>
      </c>
      <c r="W96" s="107">
        <f>+W97+W98+W99+W115+W121</f>
        <v>4971</v>
      </c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</row>
    <row r="97" spans="1:44" s="2" customFormat="1" ht="12.75">
      <c r="A97" s="46"/>
      <c r="B97" s="40"/>
      <c r="C97" s="40" t="s">
        <v>144</v>
      </c>
      <c r="D97" s="47"/>
      <c r="F97" s="82"/>
      <c r="G97" s="77"/>
      <c r="H97" s="82"/>
      <c r="I97" s="77"/>
      <c r="J97" s="76"/>
      <c r="K97" s="76"/>
      <c r="L97" s="83"/>
      <c r="M97" s="77"/>
      <c r="N97" s="76"/>
      <c r="O97" s="77"/>
      <c r="P97" s="75"/>
      <c r="Q97" s="77"/>
      <c r="R97" s="76"/>
      <c r="S97" s="77"/>
      <c r="T97" s="76"/>
      <c r="U97" s="77"/>
      <c r="V97" s="76"/>
      <c r="W97" s="77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</row>
    <row r="98" spans="1:44" s="2" customFormat="1" ht="12.75">
      <c r="A98" s="46"/>
      <c r="B98" s="170" t="s">
        <v>156</v>
      </c>
      <c r="C98" s="177"/>
      <c r="D98" s="178"/>
      <c r="F98" s="111"/>
      <c r="G98" s="151"/>
      <c r="H98" s="111"/>
      <c r="I98" s="151"/>
      <c r="J98" s="111"/>
      <c r="K98" s="151"/>
      <c r="L98" s="152">
        <f>ROUND((40/1936.27)*1000,0)</f>
        <v>21</v>
      </c>
      <c r="M98" s="83"/>
      <c r="N98" s="111">
        <v>231</v>
      </c>
      <c r="O98" s="83"/>
      <c r="P98" s="111">
        <v>71</v>
      </c>
      <c r="Q98" s="83"/>
      <c r="R98" s="111">
        <v>472</v>
      </c>
      <c r="S98" s="127">
        <v>203</v>
      </c>
      <c r="T98" s="111">
        <v>436</v>
      </c>
      <c r="U98" s="127">
        <v>211</v>
      </c>
      <c r="V98" s="111">
        <v>160</v>
      </c>
      <c r="W98" s="127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</row>
    <row r="99" spans="1:44" s="2" customFormat="1" ht="12.75">
      <c r="A99" s="46"/>
      <c r="B99" s="170" t="s">
        <v>157</v>
      </c>
      <c r="C99" s="177"/>
      <c r="D99" s="178"/>
      <c r="F99" s="111">
        <f aca="true" t="shared" si="21" ref="F99:O99">SUM(F100:F114)</f>
        <v>7682</v>
      </c>
      <c r="G99" s="111">
        <f t="shared" si="21"/>
        <v>93</v>
      </c>
      <c r="H99" s="111">
        <f t="shared" si="21"/>
        <v>13043</v>
      </c>
      <c r="I99" s="111">
        <f t="shared" si="21"/>
        <v>303</v>
      </c>
      <c r="J99" s="111">
        <f t="shared" si="21"/>
        <v>16143</v>
      </c>
      <c r="K99" s="111">
        <f t="shared" si="21"/>
        <v>7319</v>
      </c>
      <c r="L99" s="111">
        <f t="shared" si="21"/>
        <v>14651</v>
      </c>
      <c r="M99" s="111">
        <f t="shared" si="21"/>
        <v>3888</v>
      </c>
      <c r="N99" s="111">
        <f t="shared" si="21"/>
        <v>11327</v>
      </c>
      <c r="O99" s="111">
        <f t="shared" si="21"/>
        <v>1616</v>
      </c>
      <c r="P99" s="111">
        <f aca="true" t="shared" si="22" ref="P99:U99">SUM(P100:P114)</f>
        <v>10843</v>
      </c>
      <c r="Q99" s="111">
        <f t="shared" si="22"/>
        <v>542</v>
      </c>
      <c r="R99" s="111">
        <f t="shared" si="22"/>
        <v>14322</v>
      </c>
      <c r="S99" s="111">
        <f t="shared" si="22"/>
        <v>1856</v>
      </c>
      <c r="T99" s="111">
        <f t="shared" si="22"/>
        <v>13854</v>
      </c>
      <c r="U99" s="111">
        <f t="shared" si="22"/>
        <v>1419</v>
      </c>
      <c r="V99" s="111">
        <f>SUM(V100:V114)</f>
        <v>13431</v>
      </c>
      <c r="W99" s="111">
        <f>SUM(W100:W114)</f>
        <v>1910</v>
      </c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</row>
    <row r="100" spans="1:44" s="2" customFormat="1" ht="12.75">
      <c r="A100" s="46"/>
      <c r="B100" s="52"/>
      <c r="C100" s="40" t="s">
        <v>9</v>
      </c>
      <c r="D100" s="19"/>
      <c r="F100" s="75">
        <v>193</v>
      </c>
      <c r="G100" s="76">
        <v>27</v>
      </c>
      <c r="H100" s="82">
        <f>ROUND(828000/1936.27,0)</f>
        <v>428</v>
      </c>
      <c r="I100" s="77">
        <v>238</v>
      </c>
      <c r="J100" s="75">
        <v>694</v>
      </c>
      <c r="K100" s="76">
        <v>525</v>
      </c>
      <c r="L100" s="85">
        <f>ROUND((843/1936.27)*1000,0)</f>
        <v>435</v>
      </c>
      <c r="M100" s="77">
        <f>ROUND(329000/1936.27,0)</f>
        <v>170</v>
      </c>
      <c r="N100" s="75">
        <v>1846</v>
      </c>
      <c r="O100" s="82">
        <f>ROUND((3015000/1936.27),0)</f>
        <v>1557</v>
      </c>
      <c r="P100" s="75">
        <v>113</v>
      </c>
      <c r="Q100" s="82"/>
      <c r="R100" s="75">
        <v>191</v>
      </c>
      <c r="S100" s="82"/>
      <c r="T100" s="75">
        <v>126</v>
      </c>
      <c r="U100" s="82"/>
      <c r="V100" s="75">
        <v>122</v>
      </c>
      <c r="W100" s="82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</row>
    <row r="101" spans="1:44" s="2" customFormat="1" ht="12.75">
      <c r="A101" s="46"/>
      <c r="B101" s="52"/>
      <c r="C101" s="40" t="s">
        <v>101</v>
      </c>
      <c r="D101" s="19"/>
      <c r="F101" s="75">
        <v>1042</v>
      </c>
      <c r="G101" s="76"/>
      <c r="H101" s="82">
        <f>ROUND(8731000/1936.27,0)</f>
        <v>4509</v>
      </c>
      <c r="I101" s="76"/>
      <c r="J101" s="75">
        <v>805</v>
      </c>
      <c r="K101" s="76"/>
      <c r="L101" s="85">
        <f>ROUND((674/1936.27)*1000,0)</f>
        <v>348</v>
      </c>
      <c r="M101" s="77"/>
      <c r="N101" s="75">
        <v>1310</v>
      </c>
      <c r="O101" s="82"/>
      <c r="P101" s="75">
        <v>1943</v>
      </c>
      <c r="Q101" s="82">
        <v>87</v>
      </c>
      <c r="R101" s="75">
        <v>3609</v>
      </c>
      <c r="S101" s="82">
        <v>833</v>
      </c>
      <c r="T101" s="75">
        <v>3222</v>
      </c>
      <c r="U101" s="82">
        <v>648</v>
      </c>
      <c r="V101" s="75">
        <v>2391</v>
      </c>
      <c r="W101" s="82">
        <v>855</v>
      </c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</row>
    <row r="102" spans="1:44" s="2" customFormat="1" ht="12.75">
      <c r="A102" s="46"/>
      <c r="B102" s="52"/>
      <c r="C102" s="40" t="s">
        <v>86</v>
      </c>
      <c r="D102" s="19"/>
      <c r="F102" s="75"/>
      <c r="G102" s="76"/>
      <c r="H102" s="82">
        <f>ROUND(1973000/1936.27,0)</f>
        <v>1019</v>
      </c>
      <c r="I102" s="76"/>
      <c r="J102" s="75">
        <v>7165</v>
      </c>
      <c r="K102" s="76">
        <v>6714</v>
      </c>
      <c r="L102" s="85">
        <f>ROUND((11149/1936.27)*1000,0)</f>
        <v>5758</v>
      </c>
      <c r="M102" s="77">
        <v>3615</v>
      </c>
      <c r="N102" s="75">
        <v>0</v>
      </c>
      <c r="O102" s="82"/>
      <c r="P102" s="75">
        <v>270</v>
      </c>
      <c r="Q102" s="82">
        <v>270</v>
      </c>
      <c r="R102" s="75">
        <v>59</v>
      </c>
      <c r="S102" s="82">
        <v>59</v>
      </c>
      <c r="T102" s="75"/>
      <c r="U102" s="82"/>
      <c r="V102" s="75"/>
      <c r="W102" s="82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</row>
    <row r="103" spans="1:44" s="2" customFormat="1" ht="12.75">
      <c r="A103" s="46"/>
      <c r="B103" s="52"/>
      <c r="C103" s="40" t="s">
        <v>53</v>
      </c>
      <c r="D103" s="19"/>
      <c r="F103" s="75">
        <v>2549</v>
      </c>
      <c r="G103" s="76"/>
      <c r="H103" s="82">
        <f>ROUND(5539000/1936.27,0)</f>
        <v>2861</v>
      </c>
      <c r="I103" s="76"/>
      <c r="J103" s="75">
        <v>3001</v>
      </c>
      <c r="K103" s="76"/>
      <c r="L103" s="85">
        <f>ROUND((6431/1936.27)*1000,0)</f>
        <v>3321</v>
      </c>
      <c r="M103" s="77"/>
      <c r="N103" s="75">
        <v>2893</v>
      </c>
      <c r="O103" s="82"/>
      <c r="P103" s="75">
        <v>2680</v>
      </c>
      <c r="Q103" s="82"/>
      <c r="R103" s="75">
        <v>2879</v>
      </c>
      <c r="S103" s="82">
        <v>8</v>
      </c>
      <c r="T103" s="75">
        <v>2890</v>
      </c>
      <c r="U103" s="82">
        <v>19</v>
      </c>
      <c r="V103" s="75">
        <v>3144</v>
      </c>
      <c r="W103" s="82">
        <v>46</v>
      </c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</row>
    <row r="104" spans="1:44" s="2" customFormat="1" ht="12.75">
      <c r="A104" s="46"/>
      <c r="B104" s="52"/>
      <c r="C104" s="40" t="s">
        <v>19</v>
      </c>
      <c r="D104" s="19"/>
      <c r="F104" s="75">
        <v>479</v>
      </c>
      <c r="G104" s="76">
        <v>3</v>
      </c>
      <c r="H104" s="82">
        <f>ROUND(1266000/1936.27,0)</f>
        <v>654</v>
      </c>
      <c r="I104" s="76">
        <v>6</v>
      </c>
      <c r="J104" s="75">
        <v>728</v>
      </c>
      <c r="K104" s="76">
        <v>3</v>
      </c>
      <c r="L104" s="85">
        <f>ROUND((1670/1936.27)*1000,0)</f>
        <v>862</v>
      </c>
      <c r="M104" s="77">
        <f>+ROUND(4319/1936.27,0)</f>
        <v>2</v>
      </c>
      <c r="N104" s="75">
        <v>757</v>
      </c>
      <c r="O104" s="82">
        <v>2</v>
      </c>
      <c r="P104" s="75">
        <v>819</v>
      </c>
      <c r="Q104" s="82">
        <v>53</v>
      </c>
      <c r="R104" s="75">
        <v>700</v>
      </c>
      <c r="S104" s="82">
        <v>94</v>
      </c>
      <c r="T104" s="75">
        <v>754</v>
      </c>
      <c r="U104" s="82">
        <v>112</v>
      </c>
      <c r="V104" s="75">
        <v>578</v>
      </c>
      <c r="W104" s="82">
        <v>2</v>
      </c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</row>
    <row r="105" spans="1:44" s="2" customFormat="1" ht="12.75">
      <c r="A105" s="46"/>
      <c r="B105" s="52"/>
      <c r="C105" s="40" t="s">
        <v>145</v>
      </c>
      <c r="D105" s="19"/>
      <c r="F105" s="75"/>
      <c r="G105" s="76"/>
      <c r="H105" s="82"/>
      <c r="I105" s="76"/>
      <c r="J105" s="75"/>
      <c r="K105" s="76"/>
      <c r="L105" s="85"/>
      <c r="M105" s="77"/>
      <c r="N105" s="75"/>
      <c r="O105" s="82"/>
      <c r="P105" s="75">
        <v>76</v>
      </c>
      <c r="Q105" s="82"/>
      <c r="R105" s="75">
        <v>736</v>
      </c>
      <c r="S105" s="82">
        <v>607</v>
      </c>
      <c r="T105" s="75">
        <v>451</v>
      </c>
      <c r="U105" s="82">
        <v>31</v>
      </c>
      <c r="V105" s="75">
        <v>359</v>
      </c>
      <c r="W105" s="82">
        <v>125</v>
      </c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</row>
    <row r="106" spans="1:44" s="2" customFormat="1" ht="12.75">
      <c r="A106" s="46"/>
      <c r="B106" s="52"/>
      <c r="C106" s="40" t="s">
        <v>87</v>
      </c>
      <c r="D106" s="19"/>
      <c r="F106" s="75">
        <v>363</v>
      </c>
      <c r="G106" s="76"/>
      <c r="H106" s="82">
        <f>ROUND(675000/1936.27,0)</f>
        <v>349</v>
      </c>
      <c r="I106" s="76"/>
      <c r="J106" s="75">
        <v>588</v>
      </c>
      <c r="K106" s="76"/>
      <c r="L106" s="85">
        <f>ROUND((1278/1936.27)*1000,0)</f>
        <v>660</v>
      </c>
      <c r="M106" s="77"/>
      <c r="N106" s="75">
        <v>1082</v>
      </c>
      <c r="O106" s="82"/>
      <c r="P106" s="75">
        <v>1509</v>
      </c>
      <c r="Q106" s="82"/>
      <c r="R106" s="75">
        <v>2501</v>
      </c>
      <c r="S106" s="82">
        <v>70</v>
      </c>
      <c r="T106" s="75">
        <v>2072</v>
      </c>
      <c r="U106" s="82">
        <v>9</v>
      </c>
      <c r="V106" s="75">
        <v>2324</v>
      </c>
      <c r="W106" s="82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</row>
    <row r="107" spans="1:44" s="2" customFormat="1" ht="12.75">
      <c r="A107" s="46"/>
      <c r="B107" s="52"/>
      <c r="C107" s="40" t="s">
        <v>20</v>
      </c>
      <c r="D107" s="19"/>
      <c r="F107" s="75">
        <v>434</v>
      </c>
      <c r="G107" s="76"/>
      <c r="H107" s="82">
        <f>ROUND(968000/1936.27,0)</f>
        <v>500</v>
      </c>
      <c r="I107" s="76"/>
      <c r="J107" s="75">
        <v>410</v>
      </c>
      <c r="K107" s="76"/>
      <c r="L107" s="85">
        <f>ROUND((748/1936.27)*1000,0)</f>
        <v>386</v>
      </c>
      <c r="M107" s="77"/>
      <c r="N107" s="75">
        <v>457</v>
      </c>
      <c r="O107" s="82"/>
      <c r="P107" s="75">
        <v>454</v>
      </c>
      <c r="Q107" s="82">
        <v>19</v>
      </c>
      <c r="R107" s="75">
        <v>451</v>
      </c>
      <c r="S107" s="82">
        <v>19</v>
      </c>
      <c r="T107" s="75">
        <v>454</v>
      </c>
      <c r="U107" s="82">
        <v>156</v>
      </c>
      <c r="V107" s="75">
        <v>316</v>
      </c>
      <c r="W107" s="82">
        <v>11</v>
      </c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</row>
    <row r="108" spans="1:44" s="2" customFormat="1" ht="12.75">
      <c r="A108" s="46"/>
      <c r="B108" s="52"/>
      <c r="C108" s="40" t="s">
        <v>21</v>
      </c>
      <c r="D108" s="19"/>
      <c r="F108" s="75">
        <v>456</v>
      </c>
      <c r="G108" s="76"/>
      <c r="H108" s="82">
        <f>ROUND(1172000/1936.27,0)</f>
        <v>605</v>
      </c>
      <c r="I108" s="76"/>
      <c r="J108" s="75">
        <v>617</v>
      </c>
      <c r="K108" s="76"/>
      <c r="L108" s="85">
        <f>ROUND((1194/1936.27)*1000,0)</f>
        <v>617</v>
      </c>
      <c r="M108" s="77"/>
      <c r="N108" s="75">
        <v>746</v>
      </c>
      <c r="O108" s="82"/>
      <c r="P108" s="75">
        <v>650</v>
      </c>
      <c r="Q108" s="82"/>
      <c r="R108" s="75">
        <v>620</v>
      </c>
      <c r="S108" s="82"/>
      <c r="T108" s="75">
        <v>588</v>
      </c>
      <c r="U108" s="82">
        <v>80</v>
      </c>
      <c r="V108" s="75">
        <v>771</v>
      </c>
      <c r="W108" s="82">
        <v>201</v>
      </c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</row>
    <row r="109" spans="1:44" s="2" customFormat="1" ht="12.75">
      <c r="A109" s="46"/>
      <c r="B109" s="52"/>
      <c r="C109" s="40" t="s">
        <v>22</v>
      </c>
      <c r="D109" s="19"/>
      <c r="F109" s="75">
        <v>465</v>
      </c>
      <c r="G109" s="76"/>
      <c r="H109" s="82">
        <f>ROUND(951000/1936.27,0)</f>
        <v>491</v>
      </c>
      <c r="I109" s="76"/>
      <c r="J109" s="75">
        <v>491</v>
      </c>
      <c r="K109" s="76"/>
      <c r="L109" s="85">
        <f>ROUND((961/1936.27)*1000,0)</f>
        <v>496</v>
      </c>
      <c r="M109" s="77"/>
      <c r="N109" s="75">
        <v>491</v>
      </c>
      <c r="O109" s="82"/>
      <c r="P109" s="75">
        <f>497+53</f>
        <v>550</v>
      </c>
      <c r="Q109" s="82"/>
      <c r="R109" s="75">
        <f>647+44</f>
        <v>691</v>
      </c>
      <c r="S109" s="82">
        <v>50</v>
      </c>
      <c r="T109" s="75">
        <f>861+31</f>
        <v>892</v>
      </c>
      <c r="U109" s="82">
        <v>50</v>
      </c>
      <c r="V109" s="75">
        <v>1000</v>
      </c>
      <c r="W109" s="82">
        <v>330</v>
      </c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</row>
    <row r="110" spans="1:44" s="2" customFormat="1" ht="12.75">
      <c r="A110" s="46"/>
      <c r="B110" s="52"/>
      <c r="C110" s="40" t="s">
        <v>23</v>
      </c>
      <c r="D110" s="19"/>
      <c r="F110" s="75">
        <v>1211</v>
      </c>
      <c r="G110" s="76"/>
      <c r="H110" s="82">
        <f>ROUND(2225000/1936.27,0)</f>
        <v>1149</v>
      </c>
      <c r="I110" s="76"/>
      <c r="J110" s="75">
        <v>1136</v>
      </c>
      <c r="K110" s="76"/>
      <c r="L110" s="85">
        <f>ROUND((2195/1936.27)*1000,0)</f>
        <v>1134</v>
      </c>
      <c r="M110" s="77"/>
      <c r="N110" s="75">
        <v>1134</v>
      </c>
      <c r="O110" s="82"/>
      <c r="P110" s="75">
        <v>1053</v>
      </c>
      <c r="Q110" s="82"/>
      <c r="R110" s="75">
        <v>1144</v>
      </c>
      <c r="S110" s="82"/>
      <c r="T110" s="75">
        <v>1341</v>
      </c>
      <c r="U110" s="82"/>
      <c r="V110" s="75">
        <v>1310</v>
      </c>
      <c r="W110" s="82">
        <v>160</v>
      </c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</row>
    <row r="111" spans="1:44" s="2" customFormat="1" ht="12.75">
      <c r="A111" s="46"/>
      <c r="B111" s="52"/>
      <c r="C111" s="40" t="s">
        <v>24</v>
      </c>
      <c r="D111" s="19"/>
      <c r="F111" s="75">
        <v>139</v>
      </c>
      <c r="G111" s="76">
        <v>63</v>
      </c>
      <c r="H111" s="82">
        <f>ROUND(276000/1936.27,0)</f>
        <v>143</v>
      </c>
      <c r="I111" s="76">
        <v>59</v>
      </c>
      <c r="J111" s="75">
        <v>174</v>
      </c>
      <c r="K111" s="76">
        <v>77</v>
      </c>
      <c r="L111" s="85">
        <f>ROUND((412/1936.27)*1000,0)</f>
        <v>213</v>
      </c>
      <c r="M111" s="77">
        <f>ROUND(195300/1936.27,0)</f>
        <v>101</v>
      </c>
      <c r="N111" s="75">
        <v>191</v>
      </c>
      <c r="O111" s="82">
        <f>ROUND((110000/1936.27),0)</f>
        <v>57</v>
      </c>
      <c r="P111" s="75">
        <v>215</v>
      </c>
      <c r="Q111" s="82">
        <v>65</v>
      </c>
      <c r="R111" s="75">
        <v>209</v>
      </c>
      <c r="S111" s="82">
        <v>58</v>
      </c>
      <c r="T111" s="75">
        <v>217</v>
      </c>
      <c r="U111" s="82">
        <v>76</v>
      </c>
      <c r="V111" s="75">
        <v>275</v>
      </c>
      <c r="W111" s="82">
        <v>115</v>
      </c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</row>
    <row r="112" spans="1:44" s="2" customFormat="1" ht="12.75">
      <c r="A112" s="46"/>
      <c r="B112" s="52"/>
      <c r="C112" s="40" t="s">
        <v>25</v>
      </c>
      <c r="D112" s="19"/>
      <c r="F112" s="75">
        <v>134</v>
      </c>
      <c r="G112" s="76"/>
      <c r="H112" s="82">
        <f>ROUND(309000/1936.27,0)</f>
        <v>160</v>
      </c>
      <c r="I112" s="76"/>
      <c r="J112" s="75">
        <v>142</v>
      </c>
      <c r="K112" s="76"/>
      <c r="L112" s="85">
        <f>ROUND((411/1936.27)*1000,0)</f>
        <v>212</v>
      </c>
      <c r="M112" s="77"/>
      <c r="N112" s="75">
        <v>167</v>
      </c>
      <c r="O112" s="82"/>
      <c r="P112" s="75">
        <v>177</v>
      </c>
      <c r="Q112" s="82"/>
      <c r="R112" s="75">
        <v>191</v>
      </c>
      <c r="S112" s="82"/>
      <c r="T112" s="75">
        <v>303</v>
      </c>
      <c r="U112" s="82"/>
      <c r="V112" s="75">
        <v>321</v>
      </c>
      <c r="W112" s="82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</row>
    <row r="113" spans="1:44" s="2" customFormat="1" ht="12.75">
      <c r="A113" s="46"/>
      <c r="B113" s="52"/>
      <c r="C113" s="40" t="s">
        <v>88</v>
      </c>
      <c r="D113" s="19"/>
      <c r="F113" s="75"/>
      <c r="G113" s="76"/>
      <c r="H113" s="82"/>
      <c r="I113" s="76"/>
      <c r="J113" s="75"/>
      <c r="K113" s="76"/>
      <c r="L113" s="85"/>
      <c r="M113" s="77"/>
      <c r="N113" s="75">
        <v>79</v>
      </c>
      <c r="O113" s="82"/>
      <c r="P113" s="75">
        <v>212</v>
      </c>
      <c r="Q113" s="82">
        <v>48</v>
      </c>
      <c r="R113" s="75">
        <v>242</v>
      </c>
      <c r="S113" s="82">
        <v>58</v>
      </c>
      <c r="T113" s="75">
        <v>470</v>
      </c>
      <c r="U113" s="82">
        <v>218</v>
      </c>
      <c r="V113" s="75">
        <v>418</v>
      </c>
      <c r="W113" s="82">
        <v>65</v>
      </c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</row>
    <row r="114" spans="1:44" s="2" customFormat="1" ht="12.75">
      <c r="A114" s="46"/>
      <c r="B114" s="52"/>
      <c r="C114" s="40" t="s">
        <v>89</v>
      </c>
      <c r="D114" s="19"/>
      <c r="F114" s="75">
        <v>217</v>
      </c>
      <c r="G114" s="76"/>
      <c r="H114" s="82">
        <f>ROUND(339000/1936.27,0)</f>
        <v>175</v>
      </c>
      <c r="I114" s="76"/>
      <c r="J114" s="75">
        <v>192</v>
      </c>
      <c r="K114" s="76"/>
      <c r="L114" s="85">
        <f>ROUND((405/1936.27)*1000,0)</f>
        <v>209</v>
      </c>
      <c r="M114" s="82"/>
      <c r="N114" s="77">
        <v>174</v>
      </c>
      <c r="O114" s="77"/>
      <c r="P114" s="82">
        <v>122</v>
      </c>
      <c r="Q114" s="77"/>
      <c r="R114" s="77">
        <v>99</v>
      </c>
      <c r="S114" s="77"/>
      <c r="T114" s="77">
        <v>74</v>
      </c>
      <c r="U114" s="77">
        <v>20</v>
      </c>
      <c r="V114" s="77">
        <v>102</v>
      </c>
      <c r="W114" s="77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</row>
    <row r="115" spans="1:44" s="2" customFormat="1" ht="12.75">
      <c r="A115" s="46"/>
      <c r="B115" s="176" t="s">
        <v>146</v>
      </c>
      <c r="C115" s="177"/>
      <c r="D115" s="178"/>
      <c r="F115" s="111">
        <f aca="true" t="shared" si="23" ref="F115:S115">SUM(F116:F120)</f>
        <v>1621</v>
      </c>
      <c r="G115" s="111">
        <f t="shared" si="23"/>
        <v>1078</v>
      </c>
      <c r="H115" s="111">
        <f t="shared" si="23"/>
        <v>1695</v>
      </c>
      <c r="I115" s="111">
        <f t="shared" si="23"/>
        <v>1057</v>
      </c>
      <c r="J115" s="111">
        <f t="shared" si="23"/>
        <v>3335</v>
      </c>
      <c r="K115" s="111">
        <f t="shared" si="23"/>
        <v>2561</v>
      </c>
      <c r="L115" s="111">
        <f t="shared" si="23"/>
        <v>2664</v>
      </c>
      <c r="M115" s="111">
        <f t="shared" si="23"/>
        <v>1425</v>
      </c>
      <c r="N115" s="111">
        <f t="shared" si="23"/>
        <v>4160</v>
      </c>
      <c r="O115" s="111">
        <f t="shared" si="23"/>
        <v>2909</v>
      </c>
      <c r="P115" s="111">
        <f t="shared" si="23"/>
        <v>4114</v>
      </c>
      <c r="Q115" s="111">
        <f t="shared" si="23"/>
        <v>2482</v>
      </c>
      <c r="R115" s="111">
        <f t="shared" si="23"/>
        <v>4856</v>
      </c>
      <c r="S115" s="111">
        <f t="shared" si="23"/>
        <v>2883</v>
      </c>
      <c r="T115" s="111">
        <f>SUM(T116:T120)</f>
        <v>2469</v>
      </c>
      <c r="U115" s="111">
        <f>SUM(U116:U120)</f>
        <v>521</v>
      </c>
      <c r="V115" s="111">
        <f>SUM(V116:V120)</f>
        <v>4819</v>
      </c>
      <c r="W115" s="111">
        <f>SUM(W116:W120)</f>
        <v>2997</v>
      </c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</row>
    <row r="116" spans="1:44" s="2" customFormat="1" ht="12.75">
      <c r="A116" s="46"/>
      <c r="B116" s="52"/>
      <c r="C116" s="14" t="s">
        <v>9</v>
      </c>
      <c r="D116" s="19"/>
      <c r="F116" s="85">
        <v>0</v>
      </c>
      <c r="G116" s="83"/>
      <c r="H116" s="85">
        <v>206</v>
      </c>
      <c r="I116" s="83"/>
      <c r="J116" s="103">
        <v>427</v>
      </c>
      <c r="K116" s="125">
        <v>15</v>
      </c>
      <c r="L116" s="85">
        <f>ROUND((1066/1936.27)*1000,0)</f>
        <v>551</v>
      </c>
      <c r="M116" s="83">
        <f>ROUND(94145/1936.27,0)</f>
        <v>49</v>
      </c>
      <c r="N116" s="85">
        <v>491</v>
      </c>
      <c r="O116" s="85">
        <f>ROUND((77157/1936.27),0)</f>
        <v>40</v>
      </c>
      <c r="P116" s="85">
        <v>391</v>
      </c>
      <c r="Q116" s="85"/>
      <c r="R116" s="85">
        <v>171</v>
      </c>
      <c r="S116" s="85"/>
      <c r="T116" s="85">
        <v>192</v>
      </c>
      <c r="U116" s="85"/>
      <c r="V116" s="85">
        <v>119</v>
      </c>
      <c r="W116" s="85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</row>
    <row r="117" spans="1:44" s="2" customFormat="1" ht="12.75">
      <c r="A117" s="46"/>
      <c r="B117" s="52"/>
      <c r="C117" s="40" t="s">
        <v>173</v>
      </c>
      <c r="D117" s="19"/>
      <c r="F117" s="82">
        <v>1378</v>
      </c>
      <c r="G117" s="77">
        <v>1064</v>
      </c>
      <c r="H117" s="82">
        <v>1454</v>
      </c>
      <c r="I117" s="77">
        <v>1040</v>
      </c>
      <c r="J117" s="75">
        <v>2878</v>
      </c>
      <c r="K117" s="76">
        <v>2516</v>
      </c>
      <c r="L117" s="85">
        <f>ROUND((3709/1936.27)*1000,0)</f>
        <v>1916</v>
      </c>
      <c r="M117" s="77">
        <f>ROUND(2282348/1936.27,0)</f>
        <v>1179</v>
      </c>
      <c r="N117" s="82">
        <v>2896</v>
      </c>
      <c r="O117" s="82">
        <f>ROUND((5225459/1936.27),0)</f>
        <v>2699</v>
      </c>
      <c r="P117" s="82">
        <v>2155</v>
      </c>
      <c r="Q117" s="82">
        <v>2087</v>
      </c>
      <c r="R117" s="82">
        <v>2516</v>
      </c>
      <c r="S117" s="82">
        <v>2460</v>
      </c>
      <c r="T117" s="82">
        <v>297</v>
      </c>
      <c r="U117" s="82">
        <v>86</v>
      </c>
      <c r="V117" s="82">
        <v>2541</v>
      </c>
      <c r="W117" s="82">
        <v>2391</v>
      </c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</row>
    <row r="118" spans="1:44" s="2" customFormat="1" ht="12.75">
      <c r="A118" s="46"/>
      <c r="B118" s="52"/>
      <c r="C118" s="40" t="s">
        <v>174</v>
      </c>
      <c r="D118" s="19"/>
      <c r="F118" s="82">
        <v>243</v>
      </c>
      <c r="G118" s="77">
        <v>14</v>
      </c>
      <c r="H118" s="82">
        <v>35</v>
      </c>
      <c r="I118" s="77">
        <v>17</v>
      </c>
      <c r="J118" s="75">
        <v>30</v>
      </c>
      <c r="K118" s="76">
        <v>30</v>
      </c>
      <c r="L118" s="85">
        <f>ROUND((382/1936.27)*1000,0)</f>
        <v>197</v>
      </c>
      <c r="M118" s="77">
        <f>ROUND(381584/1936.27,0)</f>
        <v>197</v>
      </c>
      <c r="N118" s="82">
        <v>15</v>
      </c>
      <c r="O118" s="82">
        <v>15</v>
      </c>
      <c r="P118" s="82">
        <v>260</v>
      </c>
      <c r="Q118" s="82"/>
      <c r="R118" s="82">
        <v>319</v>
      </c>
      <c r="S118" s="82"/>
      <c r="T118" s="82">
        <v>337</v>
      </c>
      <c r="U118" s="82"/>
      <c r="V118" s="82">
        <v>280</v>
      </c>
      <c r="W118" s="82">
        <v>10</v>
      </c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</row>
    <row r="119" spans="1:44" s="2" customFormat="1" ht="12.75">
      <c r="A119" s="46"/>
      <c r="B119" s="52"/>
      <c r="C119" s="40" t="s">
        <v>175</v>
      </c>
      <c r="D119" s="19"/>
      <c r="F119" s="82"/>
      <c r="G119" s="77"/>
      <c r="H119" s="82"/>
      <c r="I119" s="77"/>
      <c r="J119" s="75"/>
      <c r="K119" s="76"/>
      <c r="L119" s="85"/>
      <c r="M119" s="77"/>
      <c r="N119" s="82"/>
      <c r="O119" s="82"/>
      <c r="P119" s="82">
        <v>276</v>
      </c>
      <c r="Q119" s="82"/>
      <c r="R119" s="82">
        <v>215</v>
      </c>
      <c r="S119" s="82"/>
      <c r="T119" s="82">
        <v>143</v>
      </c>
      <c r="U119" s="82"/>
      <c r="V119" s="82">
        <v>329</v>
      </c>
      <c r="W119" s="82">
        <v>140</v>
      </c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</row>
    <row r="120" spans="1:44" s="2" customFormat="1" ht="12.75">
      <c r="A120" s="46"/>
      <c r="B120" s="52"/>
      <c r="C120" s="40" t="s">
        <v>176</v>
      </c>
      <c r="D120" s="19"/>
      <c r="F120" s="82"/>
      <c r="G120" s="77"/>
      <c r="H120" s="82"/>
      <c r="I120" s="77"/>
      <c r="J120" s="75"/>
      <c r="K120" s="76"/>
      <c r="L120" s="85"/>
      <c r="M120" s="77"/>
      <c r="N120" s="82">
        <v>758</v>
      </c>
      <c r="O120" s="82">
        <v>155</v>
      </c>
      <c r="P120" s="82">
        <v>1032</v>
      </c>
      <c r="Q120" s="82">
        <v>395</v>
      </c>
      <c r="R120" s="82">
        <v>1635</v>
      </c>
      <c r="S120" s="82">
        <v>423</v>
      </c>
      <c r="T120" s="82">
        <v>1500</v>
      </c>
      <c r="U120" s="82">
        <v>435</v>
      </c>
      <c r="V120" s="82">
        <v>1550</v>
      </c>
      <c r="W120" s="82">
        <v>456</v>
      </c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</row>
    <row r="121" spans="1:44" s="2" customFormat="1" ht="12.75">
      <c r="A121" s="46"/>
      <c r="B121" s="176" t="s">
        <v>75</v>
      </c>
      <c r="C121" s="170"/>
      <c r="D121" s="171"/>
      <c r="F121" s="108">
        <f aca="true" t="shared" si="24" ref="F121:W121">SUM(F122:F127)</f>
        <v>4121</v>
      </c>
      <c r="G121" s="108">
        <f t="shared" si="24"/>
        <v>6</v>
      </c>
      <c r="H121" s="108">
        <f t="shared" si="24"/>
        <v>4159</v>
      </c>
      <c r="I121" s="108">
        <f t="shared" si="24"/>
        <v>13</v>
      </c>
      <c r="J121" s="108">
        <f t="shared" si="24"/>
        <v>4327</v>
      </c>
      <c r="K121" s="108">
        <f t="shared" si="24"/>
        <v>3</v>
      </c>
      <c r="L121" s="108">
        <f t="shared" si="24"/>
        <v>4088</v>
      </c>
      <c r="M121" s="108">
        <f t="shared" si="24"/>
        <v>5</v>
      </c>
      <c r="N121" s="108">
        <f t="shared" si="24"/>
        <v>4127</v>
      </c>
      <c r="O121" s="108">
        <f t="shared" si="24"/>
        <v>13</v>
      </c>
      <c r="P121" s="108">
        <f t="shared" si="24"/>
        <v>4394</v>
      </c>
      <c r="Q121" s="108">
        <f t="shared" si="24"/>
        <v>101</v>
      </c>
      <c r="R121" s="108">
        <f t="shared" si="24"/>
        <v>3940</v>
      </c>
      <c r="S121" s="108">
        <f t="shared" si="24"/>
        <v>86</v>
      </c>
      <c r="T121" s="108">
        <f t="shared" si="24"/>
        <v>3858</v>
      </c>
      <c r="U121" s="108">
        <f t="shared" si="24"/>
        <v>56</v>
      </c>
      <c r="V121" s="108">
        <f t="shared" si="24"/>
        <v>3766</v>
      </c>
      <c r="W121" s="108">
        <f t="shared" si="24"/>
        <v>64</v>
      </c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</row>
    <row r="122" spans="1:44" s="2" customFormat="1" ht="12.75">
      <c r="A122" s="46"/>
      <c r="B122" s="40"/>
      <c r="C122" s="14" t="s">
        <v>9</v>
      </c>
      <c r="D122" s="47"/>
      <c r="F122" s="82"/>
      <c r="G122" s="77"/>
      <c r="H122" s="82"/>
      <c r="I122" s="77"/>
      <c r="J122" s="76"/>
      <c r="K122" s="76"/>
      <c r="L122" s="83"/>
      <c r="M122" s="77"/>
      <c r="N122" s="76"/>
      <c r="O122" s="77"/>
      <c r="P122" s="75">
        <v>98</v>
      </c>
      <c r="Q122" s="77"/>
      <c r="R122" s="76">
        <v>112</v>
      </c>
      <c r="S122" s="77"/>
      <c r="T122" s="76">
        <v>67</v>
      </c>
      <c r="U122" s="77"/>
      <c r="V122" s="76">
        <v>83</v>
      </c>
      <c r="W122" s="77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</row>
    <row r="123" spans="1:44" s="2" customFormat="1" ht="12.75">
      <c r="A123" s="46"/>
      <c r="B123" s="40"/>
      <c r="C123" s="14" t="s">
        <v>102</v>
      </c>
      <c r="D123" s="47"/>
      <c r="F123" s="82"/>
      <c r="G123" s="77"/>
      <c r="H123" s="82"/>
      <c r="I123" s="77"/>
      <c r="J123" s="76"/>
      <c r="K123" s="76"/>
      <c r="L123" s="83"/>
      <c r="M123" s="77"/>
      <c r="N123" s="76"/>
      <c r="O123" s="77"/>
      <c r="P123" s="75">
        <v>694</v>
      </c>
      <c r="Q123" s="77"/>
      <c r="R123" s="76">
        <v>576</v>
      </c>
      <c r="S123" s="77"/>
      <c r="T123" s="76">
        <v>495</v>
      </c>
      <c r="U123" s="77"/>
      <c r="V123" s="76">
        <v>445</v>
      </c>
      <c r="W123" s="77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</row>
    <row r="124" spans="1:44" s="2" customFormat="1" ht="12.75">
      <c r="A124" s="46"/>
      <c r="B124" s="40"/>
      <c r="C124" s="14" t="s">
        <v>103</v>
      </c>
      <c r="D124" s="47"/>
      <c r="F124" s="82"/>
      <c r="G124" s="77"/>
      <c r="H124" s="82"/>
      <c r="I124" s="77"/>
      <c r="J124" s="76"/>
      <c r="K124" s="76"/>
      <c r="L124" s="83"/>
      <c r="M124" s="77"/>
      <c r="N124" s="76"/>
      <c r="O124" s="77"/>
      <c r="P124" s="75">
        <v>484</v>
      </c>
      <c r="Q124" s="77"/>
      <c r="R124" s="76">
        <v>337</v>
      </c>
      <c r="S124" s="77"/>
      <c r="T124" s="76">
        <v>500</v>
      </c>
      <c r="U124" s="77"/>
      <c r="V124" s="76">
        <v>539</v>
      </c>
      <c r="W124" s="77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</row>
    <row r="125" spans="1:44" s="54" customFormat="1" ht="12.75">
      <c r="A125" s="167"/>
      <c r="B125" s="41"/>
      <c r="C125" s="41" t="s">
        <v>92</v>
      </c>
      <c r="D125" s="53"/>
      <c r="F125" s="135">
        <v>939</v>
      </c>
      <c r="G125" s="136"/>
      <c r="H125" s="135">
        <v>945</v>
      </c>
      <c r="I125" s="136"/>
      <c r="J125" s="135">
        <v>924</v>
      </c>
      <c r="K125" s="136"/>
      <c r="L125" s="141">
        <f>ROUND((1728/1936.27)*1000,0)</f>
        <v>892</v>
      </c>
      <c r="M125" s="99"/>
      <c r="N125" s="99">
        <v>988</v>
      </c>
      <c r="O125" s="99"/>
      <c r="P125" s="99"/>
      <c r="Q125" s="99"/>
      <c r="R125" s="99"/>
      <c r="S125" s="99"/>
      <c r="T125" s="99"/>
      <c r="U125" s="99"/>
      <c r="V125" s="99"/>
      <c r="W125" s="99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</row>
    <row r="126" spans="1:44" s="2" customFormat="1" ht="12.75">
      <c r="A126" s="46"/>
      <c r="B126" s="40"/>
      <c r="C126" s="39" t="s">
        <v>26</v>
      </c>
      <c r="D126" s="47"/>
      <c r="F126" s="75">
        <v>3107</v>
      </c>
      <c r="G126" s="76">
        <v>6</v>
      </c>
      <c r="H126" s="75">
        <v>2984</v>
      </c>
      <c r="I126" s="76">
        <v>13</v>
      </c>
      <c r="J126" s="75">
        <v>3107</v>
      </c>
      <c r="K126" s="76">
        <v>3</v>
      </c>
      <c r="L126" s="85">
        <f>ROUND((5811/1936.27)*1000,0)</f>
        <v>3001</v>
      </c>
      <c r="M126" s="82">
        <f>ROUND(10000/1936.27,0)</f>
        <v>5</v>
      </c>
      <c r="N126" s="82">
        <v>2884</v>
      </c>
      <c r="O126" s="82">
        <f>ROUND((25000/1936.27),0)</f>
        <v>13</v>
      </c>
      <c r="P126" s="82">
        <v>2800</v>
      </c>
      <c r="Q126" s="82">
        <v>63</v>
      </c>
      <c r="R126" s="82">
        <v>2611</v>
      </c>
      <c r="S126" s="82">
        <v>68</v>
      </c>
      <c r="T126" s="82">
        <v>2480</v>
      </c>
      <c r="U126" s="82">
        <v>26</v>
      </c>
      <c r="V126" s="82">
        <v>2400</v>
      </c>
      <c r="W126" s="82">
        <v>21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</row>
    <row r="127" spans="1:44" s="2" customFormat="1" ht="12.75">
      <c r="A127" s="57"/>
      <c r="B127" s="58"/>
      <c r="C127" s="228" t="s">
        <v>104</v>
      </c>
      <c r="D127" s="59"/>
      <c r="E127" s="62"/>
      <c r="F127" s="106">
        <f>78-ROUND(6451/1936.27,0)</f>
        <v>75</v>
      </c>
      <c r="G127" s="142"/>
      <c r="H127" s="106">
        <v>230</v>
      </c>
      <c r="I127" s="142"/>
      <c r="J127" s="106">
        <f>296</f>
        <v>296</v>
      </c>
      <c r="K127" s="142"/>
      <c r="L127" s="100">
        <f>ROUND((378/1936.27)*1000,0)</f>
        <v>195</v>
      </c>
      <c r="M127" s="112"/>
      <c r="N127" s="112">
        <v>255</v>
      </c>
      <c r="O127" s="112"/>
      <c r="P127" s="112">
        <v>318</v>
      </c>
      <c r="Q127" s="112">
        <v>38</v>
      </c>
      <c r="R127" s="112">
        <v>304</v>
      </c>
      <c r="S127" s="112">
        <v>18</v>
      </c>
      <c r="T127" s="112">
        <v>316</v>
      </c>
      <c r="U127" s="112">
        <v>30</v>
      </c>
      <c r="V127" s="112">
        <v>299</v>
      </c>
      <c r="W127" s="112">
        <v>43</v>
      </c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</row>
    <row r="128" spans="1:44" s="86" customFormat="1" ht="12.75">
      <c r="A128" s="188" t="s">
        <v>147</v>
      </c>
      <c r="B128" s="186"/>
      <c r="C128" s="186"/>
      <c r="D128" s="187"/>
      <c r="F128" s="107">
        <f aca="true" t="shared" si="25" ref="F128:W128">+F129+F133+F138+F151+F150</f>
        <v>8290</v>
      </c>
      <c r="G128" s="107">
        <f t="shared" si="25"/>
        <v>88</v>
      </c>
      <c r="H128" s="107">
        <f t="shared" si="25"/>
        <v>9888</v>
      </c>
      <c r="I128" s="107">
        <f t="shared" si="25"/>
        <v>296</v>
      </c>
      <c r="J128" s="107">
        <f t="shared" si="25"/>
        <v>9901</v>
      </c>
      <c r="K128" s="107">
        <f t="shared" si="25"/>
        <v>444</v>
      </c>
      <c r="L128" s="107">
        <f t="shared" si="25"/>
        <v>17806.5</v>
      </c>
      <c r="M128" s="107">
        <f t="shared" si="25"/>
        <v>7812</v>
      </c>
      <c r="N128" s="107">
        <f t="shared" si="25"/>
        <v>13201</v>
      </c>
      <c r="O128" s="107">
        <f t="shared" si="25"/>
        <v>4316</v>
      </c>
      <c r="P128" s="107">
        <f t="shared" si="25"/>
        <v>17941</v>
      </c>
      <c r="Q128" s="107">
        <f t="shared" si="25"/>
        <v>6498</v>
      </c>
      <c r="R128" s="107">
        <f t="shared" si="25"/>
        <v>15077</v>
      </c>
      <c r="S128" s="107">
        <f t="shared" si="25"/>
        <v>6375</v>
      </c>
      <c r="T128" s="107">
        <f t="shared" si="25"/>
        <v>16642</v>
      </c>
      <c r="U128" s="107">
        <f t="shared" si="25"/>
        <v>8424</v>
      </c>
      <c r="V128" s="107">
        <f t="shared" si="25"/>
        <v>17829</v>
      </c>
      <c r="W128" s="107">
        <f t="shared" si="25"/>
        <v>7514</v>
      </c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</row>
    <row r="129" spans="1:46" s="2" customFormat="1" ht="12.75">
      <c r="A129" s="46"/>
      <c r="B129" s="172" t="s">
        <v>148</v>
      </c>
      <c r="D129" s="178"/>
      <c r="F129" s="108">
        <f>SUM(F130:F132)</f>
        <v>251</v>
      </c>
      <c r="G129" s="108">
        <f aca="true" t="shared" si="26" ref="G129:W129">SUM(G130:G132)</f>
        <v>0</v>
      </c>
      <c r="H129" s="108">
        <f t="shared" si="26"/>
        <v>235</v>
      </c>
      <c r="I129" s="108">
        <f t="shared" si="26"/>
        <v>0</v>
      </c>
      <c r="J129" s="108">
        <f t="shared" si="26"/>
        <v>306</v>
      </c>
      <c r="K129" s="108">
        <f t="shared" si="26"/>
        <v>0</v>
      </c>
      <c r="L129" s="108">
        <f t="shared" si="26"/>
        <v>380</v>
      </c>
      <c r="M129" s="108">
        <f t="shared" si="26"/>
        <v>0</v>
      </c>
      <c r="N129" s="108">
        <f t="shared" si="26"/>
        <v>331</v>
      </c>
      <c r="O129" s="108">
        <f t="shared" si="26"/>
        <v>0</v>
      </c>
      <c r="P129" s="108">
        <f t="shared" si="26"/>
        <v>841</v>
      </c>
      <c r="Q129" s="108">
        <f t="shared" si="26"/>
        <v>0</v>
      </c>
      <c r="R129" s="108">
        <f t="shared" si="26"/>
        <v>665</v>
      </c>
      <c r="S129" s="108">
        <f t="shared" si="26"/>
        <v>0</v>
      </c>
      <c r="T129" s="108">
        <f t="shared" si="26"/>
        <v>520</v>
      </c>
      <c r="U129" s="108">
        <f t="shared" si="26"/>
        <v>220</v>
      </c>
      <c r="V129" s="108">
        <f t="shared" si="26"/>
        <v>1250</v>
      </c>
      <c r="W129" s="108">
        <f t="shared" si="26"/>
        <v>500</v>
      </c>
      <c r="X129" s="155"/>
      <c r="Y129" s="155"/>
      <c r="Z129" s="155"/>
      <c r="AA129" s="155"/>
      <c r="AB129" s="155"/>
      <c r="AC129" s="155"/>
      <c r="AD129" s="155"/>
      <c r="AE129" s="155"/>
      <c r="AF129" s="154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63"/>
      <c r="AT129" s="63"/>
    </row>
    <row r="130" spans="1:44" s="2" customFormat="1" ht="12.75">
      <c r="A130" s="46"/>
      <c r="B130" s="40"/>
      <c r="C130" s="40" t="s">
        <v>28</v>
      </c>
      <c r="D130" s="47"/>
      <c r="F130" s="82"/>
      <c r="G130" s="77"/>
      <c r="H130" s="82"/>
      <c r="I130" s="77"/>
      <c r="J130" s="76"/>
      <c r="K130" s="76"/>
      <c r="L130" s="83"/>
      <c r="M130" s="77"/>
      <c r="N130" s="76"/>
      <c r="O130" s="77"/>
      <c r="P130" s="75"/>
      <c r="Q130" s="77"/>
      <c r="R130" s="76"/>
      <c r="S130" s="77"/>
      <c r="T130" s="76"/>
      <c r="U130" s="77"/>
      <c r="V130" s="76">
        <v>245</v>
      </c>
      <c r="W130" s="77">
        <v>50</v>
      </c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</row>
    <row r="131" spans="1:44" s="2" customFormat="1" ht="12.75">
      <c r="A131" s="46"/>
      <c r="B131" s="40"/>
      <c r="C131" s="40" t="s">
        <v>177</v>
      </c>
      <c r="D131" s="47"/>
      <c r="F131" s="82"/>
      <c r="G131" s="77"/>
      <c r="H131" s="82"/>
      <c r="I131" s="77"/>
      <c r="J131" s="76"/>
      <c r="K131" s="76"/>
      <c r="L131" s="83"/>
      <c r="M131" s="77"/>
      <c r="N131" s="76"/>
      <c r="O131" s="77"/>
      <c r="P131" s="75">
        <v>506</v>
      </c>
      <c r="Q131" s="77"/>
      <c r="R131" s="76">
        <v>348</v>
      </c>
      <c r="S131" s="77"/>
      <c r="T131" s="76">
        <v>273</v>
      </c>
      <c r="U131" s="77">
        <v>220</v>
      </c>
      <c r="V131" s="76">
        <v>901</v>
      </c>
      <c r="W131" s="77">
        <v>450</v>
      </c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</row>
    <row r="132" spans="1:44" s="2" customFormat="1" ht="12.75">
      <c r="A132" s="46"/>
      <c r="B132" s="18"/>
      <c r="C132" s="40" t="s">
        <v>32</v>
      </c>
      <c r="D132" s="47"/>
      <c r="F132" s="75">
        <v>251</v>
      </c>
      <c r="G132" s="76"/>
      <c r="H132" s="75">
        <v>235</v>
      </c>
      <c r="I132" s="76"/>
      <c r="J132" s="75">
        <v>306</v>
      </c>
      <c r="K132" s="76"/>
      <c r="L132" s="85">
        <f>ROUND((735/1936.27)*1000,0)</f>
        <v>380</v>
      </c>
      <c r="M132" s="77"/>
      <c r="N132" s="75">
        <v>331</v>
      </c>
      <c r="O132" s="77"/>
      <c r="P132" s="75">
        <v>335</v>
      </c>
      <c r="Q132" s="77"/>
      <c r="R132" s="75">
        <v>317</v>
      </c>
      <c r="S132" s="77"/>
      <c r="T132" s="75">
        <v>247</v>
      </c>
      <c r="U132" s="77"/>
      <c r="V132" s="75">
        <v>104</v>
      </c>
      <c r="W132" s="77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</row>
    <row r="133" spans="1:46" s="2" customFormat="1" ht="12.75">
      <c r="A133" s="46"/>
      <c r="B133" s="172" t="s">
        <v>149</v>
      </c>
      <c r="C133" s="172"/>
      <c r="D133" s="178"/>
      <c r="F133" s="108">
        <f aca="true" t="shared" si="27" ref="F133:W133">SUM(F134:F137)</f>
        <v>2265</v>
      </c>
      <c r="G133" s="108">
        <f t="shared" si="27"/>
        <v>0</v>
      </c>
      <c r="H133" s="108">
        <f t="shared" si="27"/>
        <v>2044</v>
      </c>
      <c r="I133" s="108">
        <f t="shared" si="27"/>
        <v>0</v>
      </c>
      <c r="J133" s="108">
        <f t="shared" si="27"/>
        <v>1740</v>
      </c>
      <c r="K133" s="108">
        <f t="shared" si="27"/>
        <v>0</v>
      </c>
      <c r="L133" s="108">
        <f t="shared" si="27"/>
        <v>1320</v>
      </c>
      <c r="M133" s="108">
        <f t="shared" si="27"/>
        <v>52</v>
      </c>
      <c r="N133" s="108">
        <f t="shared" si="27"/>
        <v>1018</v>
      </c>
      <c r="O133" s="108">
        <f t="shared" si="27"/>
        <v>0</v>
      </c>
      <c r="P133" s="108">
        <f t="shared" si="27"/>
        <v>946</v>
      </c>
      <c r="Q133" s="108">
        <f t="shared" si="27"/>
        <v>0</v>
      </c>
      <c r="R133" s="108">
        <f t="shared" si="27"/>
        <v>725</v>
      </c>
      <c r="S133" s="108">
        <f t="shared" si="27"/>
        <v>136</v>
      </c>
      <c r="T133" s="108">
        <f t="shared" si="27"/>
        <v>712</v>
      </c>
      <c r="U133" s="108">
        <f t="shared" si="27"/>
        <v>173</v>
      </c>
      <c r="V133" s="108">
        <f t="shared" si="27"/>
        <v>529</v>
      </c>
      <c r="W133" s="108">
        <f t="shared" si="27"/>
        <v>0</v>
      </c>
      <c r="X133" s="155"/>
      <c r="Y133" s="155"/>
      <c r="Z133" s="155"/>
      <c r="AA133" s="155"/>
      <c r="AB133" s="155"/>
      <c r="AC133" s="155"/>
      <c r="AD133" s="155"/>
      <c r="AE133" s="155"/>
      <c r="AF133" s="154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63"/>
      <c r="AT133" s="63"/>
    </row>
    <row r="134" spans="1:44" s="2" customFormat="1" ht="12.75">
      <c r="A134" s="46"/>
      <c r="B134" s="18"/>
      <c r="C134" s="40" t="s">
        <v>28</v>
      </c>
      <c r="D134" s="47"/>
      <c r="F134" s="75">
        <v>59</v>
      </c>
      <c r="G134" s="76"/>
      <c r="H134" s="75">
        <v>67</v>
      </c>
      <c r="I134" s="76"/>
      <c r="J134" s="75">
        <v>171</v>
      </c>
      <c r="K134" s="76"/>
      <c r="L134" s="85">
        <f>ROUND((140/1936.27)*1000,0)</f>
        <v>72</v>
      </c>
      <c r="M134" s="77"/>
      <c r="N134" s="75">
        <v>103</v>
      </c>
      <c r="O134" s="77"/>
      <c r="P134" s="75">
        <v>120</v>
      </c>
      <c r="Q134" s="77"/>
      <c r="R134" s="75">
        <v>99</v>
      </c>
      <c r="S134" s="77"/>
      <c r="T134" s="75">
        <v>192</v>
      </c>
      <c r="U134" s="77"/>
      <c r="V134" s="75">
        <v>180</v>
      </c>
      <c r="W134" s="77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</row>
    <row r="135" spans="1:44" s="50" customFormat="1" ht="12.75">
      <c r="A135" s="199"/>
      <c r="B135" s="18"/>
      <c r="C135" s="39" t="s">
        <v>60</v>
      </c>
      <c r="D135" s="229"/>
      <c r="F135" s="75">
        <v>16</v>
      </c>
      <c r="G135" s="76"/>
      <c r="H135" s="75">
        <v>33</v>
      </c>
      <c r="I135" s="76"/>
      <c r="J135" s="75">
        <v>25</v>
      </c>
      <c r="K135" s="76"/>
      <c r="L135" s="85">
        <v>0</v>
      </c>
      <c r="M135" s="77"/>
      <c r="N135" s="75">
        <v>0</v>
      </c>
      <c r="O135" s="77"/>
      <c r="P135" s="75"/>
      <c r="Q135" s="77"/>
      <c r="R135" s="75"/>
      <c r="S135" s="77"/>
      <c r="T135" s="75"/>
      <c r="U135" s="77"/>
      <c r="V135" s="75"/>
      <c r="W135" s="77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</row>
    <row r="136" spans="1:44" s="2" customFormat="1" ht="12.75">
      <c r="A136" s="46"/>
      <c r="B136" s="18"/>
      <c r="C136" s="40" t="s">
        <v>106</v>
      </c>
      <c r="D136" s="47"/>
      <c r="F136" s="75">
        <v>176</v>
      </c>
      <c r="G136" s="76"/>
      <c r="H136" s="75">
        <v>131</v>
      </c>
      <c r="I136" s="76"/>
      <c r="J136" s="75">
        <v>350</v>
      </c>
      <c r="K136" s="76"/>
      <c r="L136" s="85">
        <f>ROUND((2004/1936.27)*1000,0)</f>
        <v>1035</v>
      </c>
      <c r="M136" s="77">
        <f>ROUND(100000/1936.27,0)</f>
        <v>52</v>
      </c>
      <c r="N136" s="75">
        <v>744</v>
      </c>
      <c r="O136" s="77"/>
      <c r="P136" s="75">
        <v>655</v>
      </c>
      <c r="Q136" s="77"/>
      <c r="R136" s="75">
        <v>432</v>
      </c>
      <c r="S136" s="77">
        <v>136</v>
      </c>
      <c r="T136" s="75">
        <v>183</v>
      </c>
      <c r="U136" s="77">
        <v>103</v>
      </c>
      <c r="V136" s="75">
        <v>11</v>
      </c>
      <c r="W136" s="77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</row>
    <row r="137" spans="1:44" s="2" customFormat="1" ht="12.75">
      <c r="A137" s="46"/>
      <c r="B137" s="18"/>
      <c r="C137" s="40" t="s">
        <v>61</v>
      </c>
      <c r="D137" s="47"/>
      <c r="F137" s="75">
        <v>2014</v>
      </c>
      <c r="G137" s="76"/>
      <c r="H137" s="75">
        <v>1813</v>
      </c>
      <c r="I137" s="76"/>
      <c r="J137" s="75">
        <v>1194</v>
      </c>
      <c r="K137" s="76"/>
      <c r="L137" s="85">
        <f>ROUND((413/1936.27)*1000,0)</f>
        <v>213</v>
      </c>
      <c r="M137" s="77"/>
      <c r="N137" s="75">
        <v>171</v>
      </c>
      <c r="O137" s="77"/>
      <c r="P137" s="75">
        <v>171</v>
      </c>
      <c r="Q137" s="77"/>
      <c r="R137" s="75">
        <v>194</v>
      </c>
      <c r="S137" s="77"/>
      <c r="T137" s="75">
        <v>337</v>
      </c>
      <c r="U137" s="77">
        <v>70</v>
      </c>
      <c r="V137" s="75">
        <v>338</v>
      </c>
      <c r="W137" s="77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</row>
    <row r="138" spans="1:44" s="2" customFormat="1" ht="12.75">
      <c r="A138" s="46"/>
      <c r="B138" s="177" t="s">
        <v>129</v>
      </c>
      <c r="C138" s="170"/>
      <c r="D138" s="171"/>
      <c r="F138" s="108">
        <f aca="true" t="shared" si="28" ref="F138:S138">SUM(F139:F149)</f>
        <v>1197</v>
      </c>
      <c r="G138" s="108">
        <f t="shared" si="28"/>
        <v>0</v>
      </c>
      <c r="H138" s="108">
        <f t="shared" si="28"/>
        <v>1155</v>
      </c>
      <c r="I138" s="108">
        <f t="shared" si="28"/>
        <v>0</v>
      </c>
      <c r="J138" s="108">
        <f t="shared" si="28"/>
        <v>1559</v>
      </c>
      <c r="K138" s="108">
        <f t="shared" si="28"/>
        <v>0</v>
      </c>
      <c r="L138" s="108">
        <f t="shared" si="28"/>
        <v>3300.5</v>
      </c>
      <c r="M138" s="108">
        <f t="shared" si="28"/>
        <v>580</v>
      </c>
      <c r="N138" s="108">
        <f t="shared" si="28"/>
        <v>2095</v>
      </c>
      <c r="O138" s="108">
        <f t="shared" si="28"/>
        <v>0</v>
      </c>
      <c r="P138" s="108">
        <f t="shared" si="28"/>
        <v>3766</v>
      </c>
      <c r="Q138" s="108">
        <f t="shared" si="28"/>
        <v>137</v>
      </c>
      <c r="R138" s="108">
        <f t="shared" si="28"/>
        <v>3516</v>
      </c>
      <c r="S138" s="108">
        <f t="shared" si="28"/>
        <v>1285</v>
      </c>
      <c r="T138" s="108">
        <f>SUM(T139:T149)</f>
        <v>2696</v>
      </c>
      <c r="U138" s="108">
        <f>SUM(U139:U149)</f>
        <v>951</v>
      </c>
      <c r="V138" s="108">
        <f>SUM(V139:V149)</f>
        <v>2845</v>
      </c>
      <c r="W138" s="108">
        <f>SUM(W139:W149)</f>
        <v>40</v>
      </c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</row>
    <row r="139" spans="1:44" s="2" customFormat="1" ht="12.75">
      <c r="A139" s="46"/>
      <c r="B139" s="18"/>
      <c r="C139" s="14" t="s">
        <v>130</v>
      </c>
      <c r="D139" s="47"/>
      <c r="F139" s="103">
        <v>127</v>
      </c>
      <c r="G139" s="156"/>
      <c r="H139" s="85">
        <v>106</v>
      </c>
      <c r="I139" s="132"/>
      <c r="J139" s="103">
        <v>144</v>
      </c>
      <c r="K139" s="156"/>
      <c r="L139" s="85">
        <f>ROUND((860/1936.27)*1000,0)</f>
        <v>444</v>
      </c>
      <c r="M139" s="85"/>
      <c r="N139" s="85">
        <v>428</v>
      </c>
      <c r="O139" s="82">
        <f>ROUND((72882176/1936.27),0)-37640-1</f>
        <v>0</v>
      </c>
      <c r="P139" s="85">
        <v>207</v>
      </c>
      <c r="Q139" s="82"/>
      <c r="R139" s="85">
        <v>221</v>
      </c>
      <c r="S139" s="82"/>
      <c r="T139" s="85">
        <v>135</v>
      </c>
      <c r="U139" s="82">
        <v>43</v>
      </c>
      <c r="V139" s="85">
        <v>109</v>
      </c>
      <c r="W139" s="82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</row>
    <row r="140" spans="1:44" s="2" customFormat="1" ht="12.75">
      <c r="A140" s="46"/>
      <c r="B140" s="18"/>
      <c r="C140" s="14" t="s">
        <v>110</v>
      </c>
      <c r="D140" s="47"/>
      <c r="F140" s="103"/>
      <c r="G140" s="156"/>
      <c r="H140" s="85"/>
      <c r="I140" s="132"/>
      <c r="J140" s="103"/>
      <c r="K140" s="156"/>
      <c r="L140" s="85"/>
      <c r="M140" s="85"/>
      <c r="N140" s="85"/>
      <c r="O140" s="82"/>
      <c r="P140" s="85">
        <v>63</v>
      </c>
      <c r="Q140" s="82"/>
      <c r="R140" s="85">
        <v>34</v>
      </c>
      <c r="S140" s="82"/>
      <c r="T140" s="85"/>
      <c r="U140" s="82"/>
      <c r="V140" s="85"/>
      <c r="W140" s="82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</row>
    <row r="141" spans="1:44" s="2" customFormat="1" ht="12.75">
      <c r="A141" s="46"/>
      <c r="B141" s="18"/>
      <c r="C141" s="40" t="s">
        <v>107</v>
      </c>
      <c r="D141" s="47"/>
      <c r="F141" s="75">
        <v>141</v>
      </c>
      <c r="G141" s="144"/>
      <c r="H141" s="75">
        <v>39</v>
      </c>
      <c r="I141" s="144"/>
      <c r="J141" s="75">
        <v>15</v>
      </c>
      <c r="K141" s="144"/>
      <c r="L141" s="85">
        <f>ROUND((94/1936.27)*1000,0)</f>
        <v>49</v>
      </c>
      <c r="M141" s="82"/>
      <c r="N141" s="82">
        <v>17</v>
      </c>
      <c r="O141" s="82"/>
      <c r="P141" s="82">
        <v>1</v>
      </c>
      <c r="Q141" s="82"/>
      <c r="R141" s="82">
        <v>12</v>
      </c>
      <c r="S141" s="82"/>
      <c r="T141" s="82">
        <v>21</v>
      </c>
      <c r="U141" s="82"/>
      <c r="V141" s="82">
        <v>163</v>
      </c>
      <c r="W141" s="82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</row>
    <row r="142" spans="1:44" s="2" customFormat="1" ht="12.75">
      <c r="A142" s="46"/>
      <c r="B142" s="18"/>
      <c r="C142" s="40" t="s">
        <v>109</v>
      </c>
      <c r="D142" s="47"/>
      <c r="F142" s="158"/>
      <c r="G142" s="144"/>
      <c r="H142" s="158"/>
      <c r="I142" s="144"/>
      <c r="J142" s="158"/>
      <c r="K142" s="144"/>
      <c r="L142" s="85">
        <f>ROUND((254/1936.27)*1000,0)</f>
        <v>131</v>
      </c>
      <c r="M142" s="82"/>
      <c r="N142" s="82">
        <v>81</v>
      </c>
      <c r="O142" s="82"/>
      <c r="P142" s="82">
        <v>468</v>
      </c>
      <c r="Q142" s="82">
        <v>137</v>
      </c>
      <c r="R142" s="82">
        <v>333</v>
      </c>
      <c r="S142" s="82">
        <v>88</v>
      </c>
      <c r="T142" s="82">
        <v>229</v>
      </c>
      <c r="U142" s="82">
        <v>65</v>
      </c>
      <c r="V142" s="82">
        <v>210</v>
      </c>
      <c r="W142" s="82">
        <v>40</v>
      </c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</row>
    <row r="143" spans="1:44" s="2" customFormat="1" ht="12.75">
      <c r="A143" s="46"/>
      <c r="B143" s="18"/>
      <c r="C143" s="40" t="s">
        <v>111</v>
      </c>
      <c r="D143" s="47"/>
      <c r="F143" s="158"/>
      <c r="G143" s="144"/>
      <c r="H143" s="158"/>
      <c r="I143" s="144"/>
      <c r="J143" s="158"/>
      <c r="K143" s="144"/>
      <c r="L143" s="85"/>
      <c r="M143" s="82"/>
      <c r="N143" s="82"/>
      <c r="O143" s="82"/>
      <c r="P143" s="82">
        <v>27</v>
      </c>
      <c r="Q143" s="82"/>
      <c r="R143" s="82">
        <v>368</v>
      </c>
      <c r="S143" s="82">
        <v>324</v>
      </c>
      <c r="T143" s="82">
        <v>203</v>
      </c>
      <c r="U143" s="82">
        <v>172</v>
      </c>
      <c r="V143" s="82"/>
      <c r="W143" s="82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</row>
    <row r="144" spans="1:44" s="2" customFormat="1" ht="12.75">
      <c r="A144" s="46"/>
      <c r="B144" s="18"/>
      <c r="C144" s="40" t="s">
        <v>112</v>
      </c>
      <c r="D144" s="47"/>
      <c r="F144" s="158"/>
      <c r="G144" s="144"/>
      <c r="H144" s="158"/>
      <c r="I144" s="144"/>
      <c r="J144" s="158"/>
      <c r="K144" s="144"/>
      <c r="L144" s="85"/>
      <c r="M144" s="82"/>
      <c r="N144" s="82"/>
      <c r="O144" s="82"/>
      <c r="P144" s="82">
        <v>1820</v>
      </c>
      <c r="Q144" s="82"/>
      <c r="R144" s="82">
        <v>1187</v>
      </c>
      <c r="S144" s="82"/>
      <c r="T144" s="82">
        <v>1209</v>
      </c>
      <c r="U144" s="82"/>
      <c r="V144" s="82">
        <v>2174</v>
      </c>
      <c r="W144" s="82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</row>
    <row r="145" spans="1:44" s="2" customFormat="1" ht="12.75">
      <c r="A145" s="46"/>
      <c r="B145" s="18"/>
      <c r="C145" s="39" t="s">
        <v>108</v>
      </c>
      <c r="D145" s="47"/>
      <c r="F145" s="158"/>
      <c r="G145" s="159"/>
      <c r="H145" s="158"/>
      <c r="I145" s="159"/>
      <c r="J145" s="158"/>
      <c r="K145" s="159"/>
      <c r="L145" s="85"/>
      <c r="M145" s="82"/>
      <c r="N145" s="82">
        <v>178</v>
      </c>
      <c r="O145" s="82"/>
      <c r="P145" s="82">
        <v>147</v>
      </c>
      <c r="Q145" s="82"/>
      <c r="R145" s="82">
        <v>293</v>
      </c>
      <c r="S145" s="82"/>
      <c r="T145" s="82">
        <v>215</v>
      </c>
      <c r="U145" s="82">
        <v>71</v>
      </c>
      <c r="V145" s="82">
        <v>61</v>
      </c>
      <c r="W145" s="82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</row>
    <row r="146" spans="1:44" s="2" customFormat="1" ht="12.75">
      <c r="A146" s="46"/>
      <c r="B146" s="18"/>
      <c r="C146" s="40" t="s">
        <v>96</v>
      </c>
      <c r="D146" s="60"/>
      <c r="E146" s="47"/>
      <c r="F146" s="82">
        <f>ROUND(150/1936.27*1000,0)</f>
        <v>77</v>
      </c>
      <c r="G146" s="143"/>
      <c r="H146" s="82">
        <v>147</v>
      </c>
      <c r="I146" s="143"/>
      <c r="J146" s="82">
        <v>124</v>
      </c>
      <c r="K146" s="144"/>
      <c r="L146" s="85">
        <f>ROUND((913/1936.27)*1000,0)</f>
        <v>472</v>
      </c>
      <c r="M146" s="82"/>
      <c r="N146" s="109">
        <v>587</v>
      </c>
      <c r="O146" s="82"/>
      <c r="P146" s="109">
        <v>1033</v>
      </c>
      <c r="Q146" s="82"/>
      <c r="R146" s="109">
        <v>1068</v>
      </c>
      <c r="S146" s="82">
        <v>873</v>
      </c>
      <c r="T146" s="109">
        <v>684</v>
      </c>
      <c r="U146" s="82">
        <v>600</v>
      </c>
      <c r="V146" s="109">
        <v>128</v>
      </c>
      <c r="W146" s="82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</row>
    <row r="147" spans="1:44" s="54" customFormat="1" ht="12.75">
      <c r="A147" s="167"/>
      <c r="B147" s="169"/>
      <c r="C147" s="41" t="s">
        <v>63</v>
      </c>
      <c r="D147" s="53"/>
      <c r="F147" s="135">
        <v>168</v>
      </c>
      <c r="G147" s="157"/>
      <c r="H147" s="135">
        <v>155</v>
      </c>
      <c r="I147" s="157"/>
      <c r="J147" s="135">
        <v>284</v>
      </c>
      <c r="K147" s="157"/>
      <c r="L147" s="141">
        <f>ROUND((507/1936.27)*1000,0)</f>
        <v>262</v>
      </c>
      <c r="M147" s="99"/>
      <c r="N147" s="99">
        <v>48</v>
      </c>
      <c r="O147" s="99"/>
      <c r="P147" s="99"/>
      <c r="Q147" s="99"/>
      <c r="R147" s="99"/>
      <c r="S147" s="99"/>
      <c r="T147" s="99"/>
      <c r="U147" s="99"/>
      <c r="V147" s="99"/>
      <c r="W147" s="99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</row>
    <row r="148" spans="1:44" s="54" customFormat="1" ht="12.75">
      <c r="A148" s="167"/>
      <c r="B148" s="169"/>
      <c r="C148" s="41" t="s">
        <v>27</v>
      </c>
      <c r="D148" s="53"/>
      <c r="F148" s="135">
        <v>663</v>
      </c>
      <c r="G148" s="157"/>
      <c r="H148" s="135">
        <v>708</v>
      </c>
      <c r="I148" s="157"/>
      <c r="J148" s="135">
        <v>727</v>
      </c>
      <c r="K148" s="157"/>
      <c r="L148" s="141">
        <f>ROUND((3762/1936.27)*1000,0)-0.5</f>
        <v>1942.5</v>
      </c>
      <c r="M148" s="99">
        <f>ROUND(1122500/1936.27,0)</f>
        <v>580</v>
      </c>
      <c r="N148" s="99">
        <v>756</v>
      </c>
      <c r="O148" s="99"/>
      <c r="P148" s="99"/>
      <c r="Q148" s="99"/>
      <c r="R148" s="99"/>
      <c r="S148" s="99"/>
      <c r="T148" s="99"/>
      <c r="U148" s="99"/>
      <c r="V148" s="99"/>
      <c r="W148" s="99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</row>
    <row r="149" spans="1:44" s="54" customFormat="1" ht="12.75">
      <c r="A149" s="91"/>
      <c r="B149" s="92"/>
      <c r="C149" s="41" t="s">
        <v>55</v>
      </c>
      <c r="D149" s="53"/>
      <c r="F149" s="135">
        <v>21</v>
      </c>
      <c r="G149" s="157"/>
      <c r="H149" s="135"/>
      <c r="I149" s="157"/>
      <c r="J149" s="135">
        <v>265</v>
      </c>
      <c r="K149" s="135"/>
      <c r="L149" s="150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</row>
    <row r="150" spans="1:44" s="2" customFormat="1" ht="12.75">
      <c r="A150" s="46"/>
      <c r="B150" s="170" t="s">
        <v>163</v>
      </c>
      <c r="C150" s="170"/>
      <c r="D150" s="171"/>
      <c r="F150" s="113">
        <v>47</v>
      </c>
      <c r="G150" s="113"/>
      <c r="H150" s="113">
        <v>568</v>
      </c>
      <c r="I150" s="113"/>
      <c r="J150" s="113">
        <v>553</v>
      </c>
      <c r="K150" s="113"/>
      <c r="L150" s="113">
        <f>ROUND((12065/1936.27)*1000,0)</f>
        <v>6231</v>
      </c>
      <c r="M150" s="113">
        <f>ROUND(10200000/1936.27,0)</f>
        <v>5268</v>
      </c>
      <c r="N150" s="113">
        <v>4989</v>
      </c>
      <c r="O150" s="113">
        <f>ROUND((7773708/1936.27),0)</f>
        <v>4015</v>
      </c>
      <c r="P150" s="113">
        <v>6274</v>
      </c>
      <c r="Q150" s="113">
        <v>6210</v>
      </c>
      <c r="R150" s="113">
        <v>4508</v>
      </c>
      <c r="S150" s="113">
        <v>4474</v>
      </c>
      <c r="T150" s="113">
        <v>6940</v>
      </c>
      <c r="U150" s="113">
        <v>6772</v>
      </c>
      <c r="V150" s="113">
        <v>6441</v>
      </c>
      <c r="W150" s="113">
        <v>6342</v>
      </c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</row>
    <row r="151" spans="1:44" s="2" customFormat="1" ht="12.75">
      <c r="A151" s="46"/>
      <c r="B151" s="170" t="s">
        <v>150</v>
      </c>
      <c r="C151" s="170"/>
      <c r="D151" s="171"/>
      <c r="F151" s="113">
        <f aca="true" t="shared" si="29" ref="F151:S151">SUM(F152:F153)</f>
        <v>4530</v>
      </c>
      <c r="G151" s="113">
        <f t="shared" si="29"/>
        <v>88</v>
      </c>
      <c r="H151" s="113">
        <f t="shared" si="29"/>
        <v>5886</v>
      </c>
      <c r="I151" s="113">
        <f t="shared" si="29"/>
        <v>296</v>
      </c>
      <c r="J151" s="113">
        <f t="shared" si="29"/>
        <v>5743</v>
      </c>
      <c r="K151" s="113">
        <f t="shared" si="29"/>
        <v>444</v>
      </c>
      <c r="L151" s="113">
        <f t="shared" si="29"/>
        <v>6575</v>
      </c>
      <c r="M151" s="113">
        <f t="shared" si="29"/>
        <v>1912</v>
      </c>
      <c r="N151" s="113">
        <f t="shared" si="29"/>
        <v>4768</v>
      </c>
      <c r="O151" s="113">
        <f t="shared" si="29"/>
        <v>301</v>
      </c>
      <c r="P151" s="113">
        <f t="shared" si="29"/>
        <v>6114</v>
      </c>
      <c r="Q151" s="113">
        <f t="shared" si="29"/>
        <v>151</v>
      </c>
      <c r="R151" s="113">
        <f t="shared" si="29"/>
        <v>5663</v>
      </c>
      <c r="S151" s="113">
        <f t="shared" si="29"/>
        <v>480</v>
      </c>
      <c r="T151" s="113">
        <f>SUM(T152:T153)</f>
        <v>5774</v>
      </c>
      <c r="U151" s="113">
        <f>SUM(U152:U153)</f>
        <v>308</v>
      </c>
      <c r="V151" s="113">
        <f>SUM(V152:V153)</f>
        <v>6764</v>
      </c>
      <c r="W151" s="113">
        <f>SUM(W152:W153)</f>
        <v>632</v>
      </c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</row>
    <row r="152" spans="1:44" s="2" customFormat="1" ht="12.75">
      <c r="A152" s="46"/>
      <c r="B152" s="40"/>
      <c r="C152" s="40" t="s">
        <v>105</v>
      </c>
      <c r="D152" s="47"/>
      <c r="F152" s="75">
        <v>907</v>
      </c>
      <c r="G152" s="76">
        <v>88</v>
      </c>
      <c r="H152" s="75">
        <v>1244</v>
      </c>
      <c r="I152" s="76">
        <v>296</v>
      </c>
      <c r="J152" s="75">
        <v>1384</v>
      </c>
      <c r="K152" s="76">
        <v>444</v>
      </c>
      <c r="L152" s="85">
        <f>ROUND((5570/1936.27)*1000,0)</f>
        <v>2877</v>
      </c>
      <c r="M152" s="77">
        <f>ROUND(3701590/1936.27,0)</f>
        <v>1912</v>
      </c>
      <c r="N152" s="75">
        <v>799</v>
      </c>
      <c r="O152" s="82">
        <f>ROUND((583121/1936.27),0)</f>
        <v>301</v>
      </c>
      <c r="P152" s="75">
        <v>1113</v>
      </c>
      <c r="Q152" s="82">
        <v>151</v>
      </c>
      <c r="R152" s="75">
        <v>1453</v>
      </c>
      <c r="S152" s="82">
        <v>480</v>
      </c>
      <c r="T152" s="75">
        <v>1445</v>
      </c>
      <c r="U152" s="82">
        <v>308</v>
      </c>
      <c r="V152" s="75">
        <v>1451</v>
      </c>
      <c r="W152" s="82">
        <v>626</v>
      </c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</row>
    <row r="153" spans="1:44" s="2" customFormat="1" ht="12.75">
      <c r="A153" s="57"/>
      <c r="B153" s="58"/>
      <c r="C153" s="28" t="s">
        <v>13</v>
      </c>
      <c r="D153" s="59"/>
      <c r="E153" s="62"/>
      <c r="F153" s="100">
        <v>3623</v>
      </c>
      <c r="G153" s="122"/>
      <c r="H153" s="100">
        <v>4642</v>
      </c>
      <c r="I153" s="122"/>
      <c r="J153" s="100">
        <v>4359</v>
      </c>
      <c r="K153" s="122"/>
      <c r="L153" s="100">
        <f>ROUND((7160/1936.27)*1000,0)</f>
        <v>3698</v>
      </c>
      <c r="M153" s="122"/>
      <c r="N153" s="100">
        <v>3969</v>
      </c>
      <c r="O153" s="122"/>
      <c r="P153" s="100">
        <v>5001</v>
      </c>
      <c r="Q153" s="122"/>
      <c r="R153" s="100">
        <v>4210</v>
      </c>
      <c r="S153" s="122"/>
      <c r="T153" s="100">
        <v>4329</v>
      </c>
      <c r="U153" s="122"/>
      <c r="V153" s="100">
        <v>5313</v>
      </c>
      <c r="W153" s="122">
        <v>6</v>
      </c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</row>
    <row r="154" spans="1:44" s="86" customFormat="1" ht="12.75">
      <c r="A154" s="188" t="s">
        <v>76</v>
      </c>
      <c r="B154" s="186"/>
      <c r="C154" s="186"/>
      <c r="D154" s="187"/>
      <c r="F154" s="107">
        <f aca="true" t="shared" si="30" ref="F154:S154">+F155+F159+F162</f>
        <v>1350</v>
      </c>
      <c r="G154" s="107">
        <f t="shared" si="30"/>
        <v>0</v>
      </c>
      <c r="H154" s="107">
        <f t="shared" si="30"/>
        <v>1589</v>
      </c>
      <c r="I154" s="107">
        <f t="shared" si="30"/>
        <v>44</v>
      </c>
      <c r="J154" s="107">
        <f t="shared" si="30"/>
        <v>1741</v>
      </c>
      <c r="K154" s="107">
        <f t="shared" si="30"/>
        <v>49</v>
      </c>
      <c r="L154" s="107">
        <f t="shared" si="30"/>
        <v>1638</v>
      </c>
      <c r="M154" s="107">
        <f t="shared" si="30"/>
        <v>81</v>
      </c>
      <c r="N154" s="107">
        <f t="shared" si="30"/>
        <v>1987</v>
      </c>
      <c r="O154" s="107">
        <f t="shared" si="30"/>
        <v>220.2303965872528</v>
      </c>
      <c r="P154" s="107">
        <f t="shared" si="30"/>
        <v>1751</v>
      </c>
      <c r="Q154" s="107">
        <f t="shared" si="30"/>
        <v>22</v>
      </c>
      <c r="R154" s="107">
        <f t="shared" si="30"/>
        <v>1487</v>
      </c>
      <c r="S154" s="107">
        <f t="shared" si="30"/>
        <v>21</v>
      </c>
      <c r="T154" s="107">
        <f>+T155+T159+T162</f>
        <v>1238</v>
      </c>
      <c r="U154" s="107">
        <f>+U155+U159+U162</f>
        <v>24</v>
      </c>
      <c r="V154" s="107">
        <f>+V155+V159+V162</f>
        <v>1160</v>
      </c>
      <c r="W154" s="107">
        <f>+W155+W159+W162</f>
        <v>52</v>
      </c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</row>
    <row r="155" spans="1:44" s="2" customFormat="1" ht="12.75">
      <c r="A155" s="46"/>
      <c r="B155" s="170" t="s">
        <v>151</v>
      </c>
      <c r="C155" s="170"/>
      <c r="D155" s="171"/>
      <c r="F155" s="113">
        <f>SUM(F156:F158)</f>
        <v>999</v>
      </c>
      <c r="G155" s="113">
        <f aca="true" t="shared" si="31" ref="G155:W155">SUM(G156:G158)</f>
        <v>0</v>
      </c>
      <c r="H155" s="113">
        <f t="shared" si="31"/>
        <v>1374</v>
      </c>
      <c r="I155" s="113">
        <f t="shared" si="31"/>
        <v>44</v>
      </c>
      <c r="J155" s="113">
        <f t="shared" si="31"/>
        <v>1466</v>
      </c>
      <c r="K155" s="113">
        <f t="shared" si="31"/>
        <v>49</v>
      </c>
      <c r="L155" s="113">
        <f t="shared" si="31"/>
        <v>1353</v>
      </c>
      <c r="M155" s="113">
        <f t="shared" si="31"/>
        <v>81</v>
      </c>
      <c r="N155" s="113">
        <f t="shared" si="31"/>
        <v>1771</v>
      </c>
      <c r="O155" s="113">
        <f t="shared" si="31"/>
        <v>202.2303965872528</v>
      </c>
      <c r="P155" s="113">
        <f t="shared" si="31"/>
        <v>1081</v>
      </c>
      <c r="Q155" s="113">
        <f t="shared" si="31"/>
        <v>21</v>
      </c>
      <c r="R155" s="113">
        <f t="shared" si="31"/>
        <v>883</v>
      </c>
      <c r="S155" s="113">
        <f t="shared" si="31"/>
        <v>20</v>
      </c>
      <c r="T155" s="113">
        <f t="shared" si="31"/>
        <v>747</v>
      </c>
      <c r="U155" s="113">
        <f t="shared" si="31"/>
        <v>23</v>
      </c>
      <c r="V155" s="113">
        <f t="shared" si="31"/>
        <v>780</v>
      </c>
      <c r="W155" s="113">
        <f t="shared" si="31"/>
        <v>52</v>
      </c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</row>
    <row r="156" spans="1:44" s="2" customFormat="1" ht="12.75">
      <c r="A156" s="13"/>
      <c r="B156" s="14"/>
      <c r="C156" s="14" t="s">
        <v>9</v>
      </c>
      <c r="D156" s="30"/>
      <c r="E156"/>
      <c r="F156" s="103">
        <v>790</v>
      </c>
      <c r="G156" s="160">
        <v>0</v>
      </c>
      <c r="H156" s="85">
        <v>935</v>
      </c>
      <c r="I156" s="83">
        <v>44</v>
      </c>
      <c r="J156" s="103">
        <v>1152</v>
      </c>
      <c r="K156" s="125">
        <v>25</v>
      </c>
      <c r="L156" s="85">
        <v>604</v>
      </c>
      <c r="M156" s="83">
        <v>0</v>
      </c>
      <c r="N156" s="103">
        <v>559</v>
      </c>
      <c r="O156" s="83">
        <v>0</v>
      </c>
      <c r="P156" s="103">
        <v>33</v>
      </c>
      <c r="Q156" s="83">
        <v>0</v>
      </c>
      <c r="R156" s="103">
        <v>5</v>
      </c>
      <c r="S156" s="83"/>
      <c r="T156" s="103">
        <v>36</v>
      </c>
      <c r="U156" s="83"/>
      <c r="V156" s="103">
        <v>86</v>
      </c>
      <c r="W156" s="83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</row>
    <row r="157" spans="1:44" s="2" customFormat="1" ht="12.75">
      <c r="A157" s="13"/>
      <c r="B157" s="14"/>
      <c r="C157" s="14" t="s">
        <v>116</v>
      </c>
      <c r="D157" s="30"/>
      <c r="E157"/>
      <c r="F157" s="103">
        <v>0</v>
      </c>
      <c r="G157" s="160">
        <v>0</v>
      </c>
      <c r="H157" s="85">
        <v>0</v>
      </c>
      <c r="I157" s="83">
        <v>0</v>
      </c>
      <c r="J157" s="103">
        <v>24</v>
      </c>
      <c r="K157" s="125">
        <v>24</v>
      </c>
      <c r="L157" s="85">
        <v>572</v>
      </c>
      <c r="M157" s="83">
        <v>81</v>
      </c>
      <c r="N157" s="103">
        <v>897</v>
      </c>
      <c r="O157" s="83">
        <v>202.2303965872528</v>
      </c>
      <c r="P157" s="103">
        <v>730</v>
      </c>
      <c r="Q157" s="83">
        <v>21</v>
      </c>
      <c r="R157" s="103">
        <v>607</v>
      </c>
      <c r="S157" s="83">
        <v>20</v>
      </c>
      <c r="T157" s="103">
        <v>462</v>
      </c>
      <c r="U157" s="83">
        <v>23</v>
      </c>
      <c r="V157" s="103">
        <v>604</v>
      </c>
      <c r="W157" s="83">
        <v>52</v>
      </c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</row>
    <row r="158" spans="1:44" s="2" customFormat="1" ht="12.75">
      <c r="A158" s="48"/>
      <c r="C158" s="40" t="s">
        <v>2</v>
      </c>
      <c r="D158" s="47"/>
      <c r="F158" s="75">
        <v>209</v>
      </c>
      <c r="G158" s="76"/>
      <c r="H158" s="75">
        <v>439</v>
      </c>
      <c r="I158" s="76"/>
      <c r="J158" s="75">
        <v>290</v>
      </c>
      <c r="K158" s="76"/>
      <c r="L158" s="85">
        <f>ROUND((342/1936.27)*1000,0)</f>
        <v>177</v>
      </c>
      <c r="M158" s="77"/>
      <c r="N158" s="82">
        <v>315</v>
      </c>
      <c r="O158" s="77"/>
      <c r="P158" s="82">
        <v>318</v>
      </c>
      <c r="Q158" s="77"/>
      <c r="R158" s="82">
        <v>271</v>
      </c>
      <c r="S158" s="77"/>
      <c r="T158" s="82">
        <v>249</v>
      </c>
      <c r="U158" s="77"/>
      <c r="V158" s="82">
        <v>90</v>
      </c>
      <c r="W158" s="77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</row>
    <row r="159" spans="1:44" s="2" customFormat="1" ht="12.75">
      <c r="A159" s="13"/>
      <c r="B159" s="177" t="s">
        <v>153</v>
      </c>
      <c r="C159" s="177"/>
      <c r="D159" s="178"/>
      <c r="E159"/>
      <c r="F159" s="115"/>
      <c r="G159" s="161"/>
      <c r="H159" s="115"/>
      <c r="I159" s="161"/>
      <c r="J159" s="115"/>
      <c r="K159" s="161"/>
      <c r="L159" s="115"/>
      <c r="M159" s="127"/>
      <c r="N159" s="115">
        <v>18</v>
      </c>
      <c r="O159" s="127">
        <v>18</v>
      </c>
      <c r="P159" s="115">
        <f aca="true" t="shared" si="32" ref="P159:U159">SUM(P160:P161)</f>
        <v>213</v>
      </c>
      <c r="Q159" s="127">
        <f t="shared" si="32"/>
        <v>1</v>
      </c>
      <c r="R159" s="115">
        <f t="shared" si="32"/>
        <v>86</v>
      </c>
      <c r="S159" s="127">
        <f t="shared" si="32"/>
        <v>1</v>
      </c>
      <c r="T159" s="115">
        <f t="shared" si="32"/>
        <v>44</v>
      </c>
      <c r="U159" s="127">
        <f t="shared" si="32"/>
        <v>1</v>
      </c>
      <c r="V159" s="115">
        <f>SUM(V160:V161)</f>
        <v>52</v>
      </c>
      <c r="W159" s="127">
        <f>SUM(W160:W161)</f>
        <v>0</v>
      </c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</row>
    <row r="160" spans="1:44" s="2" customFormat="1" ht="12.75">
      <c r="A160" s="13"/>
      <c r="B160" s="8"/>
      <c r="C160" s="40" t="s">
        <v>9</v>
      </c>
      <c r="D160" s="30"/>
      <c r="E160"/>
      <c r="F160" s="82"/>
      <c r="G160" s="77"/>
      <c r="H160" s="82"/>
      <c r="I160" s="77"/>
      <c r="J160" s="75"/>
      <c r="K160" s="76"/>
      <c r="L160" s="85"/>
      <c r="M160" s="77"/>
      <c r="N160" s="82"/>
      <c r="O160" s="77"/>
      <c r="P160" s="82">
        <v>190</v>
      </c>
      <c r="Q160" s="77"/>
      <c r="R160" s="82">
        <v>80</v>
      </c>
      <c r="S160" s="77"/>
      <c r="T160" s="82">
        <v>41</v>
      </c>
      <c r="U160" s="77"/>
      <c r="V160" s="82">
        <v>52</v>
      </c>
      <c r="W160" s="77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</row>
    <row r="161" spans="1:44" s="2" customFormat="1" ht="12.75">
      <c r="A161" s="13"/>
      <c r="B161" s="8"/>
      <c r="C161" s="40" t="s">
        <v>118</v>
      </c>
      <c r="D161" s="30"/>
      <c r="E161"/>
      <c r="F161" s="82"/>
      <c r="G161" s="77"/>
      <c r="H161" s="82"/>
      <c r="I161" s="77"/>
      <c r="J161" s="75"/>
      <c r="K161" s="76"/>
      <c r="L161" s="85"/>
      <c r="M161" s="77"/>
      <c r="N161" s="82"/>
      <c r="O161" s="77"/>
      <c r="P161" s="82">
        <v>23</v>
      </c>
      <c r="Q161" s="77">
        <v>1</v>
      </c>
      <c r="R161" s="82">
        <v>6</v>
      </c>
      <c r="S161" s="77">
        <v>1</v>
      </c>
      <c r="T161" s="82">
        <v>3</v>
      </c>
      <c r="U161" s="77">
        <v>1</v>
      </c>
      <c r="V161" s="82"/>
      <c r="W161" s="77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</row>
    <row r="162" spans="1:44" s="2" customFormat="1" ht="12.75">
      <c r="A162" s="13"/>
      <c r="B162" s="177" t="s">
        <v>152</v>
      </c>
      <c r="C162"/>
      <c r="D162" s="204"/>
      <c r="E162"/>
      <c r="F162" s="115">
        <f>SUM(F163:F166)</f>
        <v>351</v>
      </c>
      <c r="G162" s="115">
        <f aca="true" t="shared" si="33" ref="G162:S162">SUM(G163:G166)</f>
        <v>0</v>
      </c>
      <c r="H162" s="115">
        <f t="shared" si="33"/>
        <v>215</v>
      </c>
      <c r="I162" s="115">
        <f t="shared" si="33"/>
        <v>0</v>
      </c>
      <c r="J162" s="115">
        <f t="shared" si="33"/>
        <v>275</v>
      </c>
      <c r="K162" s="115">
        <f t="shared" si="33"/>
        <v>0</v>
      </c>
      <c r="L162" s="115">
        <f t="shared" si="33"/>
        <v>285</v>
      </c>
      <c r="M162" s="115">
        <f t="shared" si="33"/>
        <v>0</v>
      </c>
      <c r="N162" s="115">
        <f t="shared" si="33"/>
        <v>198</v>
      </c>
      <c r="O162" s="115">
        <f t="shared" si="33"/>
        <v>0</v>
      </c>
      <c r="P162" s="115">
        <f t="shared" si="33"/>
        <v>457</v>
      </c>
      <c r="Q162" s="115">
        <f t="shared" si="33"/>
        <v>0</v>
      </c>
      <c r="R162" s="115">
        <f t="shared" si="33"/>
        <v>518</v>
      </c>
      <c r="S162" s="115">
        <f t="shared" si="33"/>
        <v>0</v>
      </c>
      <c r="T162" s="115">
        <f>SUM(T163:T166)</f>
        <v>447</v>
      </c>
      <c r="U162" s="115">
        <f>SUM(U163:U166)</f>
        <v>0</v>
      </c>
      <c r="V162" s="115">
        <f>SUM(V163:V166)</f>
        <v>328</v>
      </c>
      <c r="W162" s="115">
        <f>SUM(W163:W166)</f>
        <v>0</v>
      </c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</row>
    <row r="163" spans="1:44" s="2" customFormat="1" ht="12.75">
      <c r="A163" s="13"/>
      <c r="B163" s="8"/>
      <c r="C163" s="40" t="s">
        <v>9</v>
      </c>
      <c r="D163" s="30"/>
      <c r="E163"/>
      <c r="F163" s="82"/>
      <c r="G163" s="77"/>
      <c r="H163" s="82"/>
      <c r="I163" s="77"/>
      <c r="J163" s="75"/>
      <c r="K163" s="76"/>
      <c r="L163" s="85"/>
      <c r="M163" s="77"/>
      <c r="N163" s="82"/>
      <c r="O163" s="77"/>
      <c r="P163" s="82">
        <v>115</v>
      </c>
      <c r="Q163" s="77"/>
      <c r="R163" s="82">
        <v>158</v>
      </c>
      <c r="S163" s="77"/>
      <c r="T163" s="82">
        <v>163</v>
      </c>
      <c r="U163" s="77"/>
      <c r="V163" s="82">
        <v>139</v>
      </c>
      <c r="W163" s="77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</row>
    <row r="164" spans="1:44" s="2" customFormat="1" ht="12.75">
      <c r="A164" s="13"/>
      <c r="B164" s="8"/>
      <c r="C164" s="40" t="s">
        <v>33</v>
      </c>
      <c r="D164" s="30"/>
      <c r="E164"/>
      <c r="F164" s="82">
        <f>178+15</f>
        <v>193</v>
      </c>
      <c r="G164" s="77"/>
      <c r="H164" s="82">
        <v>187</v>
      </c>
      <c r="I164" s="77"/>
      <c r="J164" s="75">
        <v>262</v>
      </c>
      <c r="K164" s="76"/>
      <c r="L164" s="85">
        <f>ROUND((532/1936.27)*1000,0)</f>
        <v>275</v>
      </c>
      <c r="M164" s="77"/>
      <c r="N164" s="82">
        <v>187</v>
      </c>
      <c r="O164" s="77"/>
      <c r="P164" s="82">
        <v>233</v>
      </c>
      <c r="Q164" s="77"/>
      <c r="R164" s="82">
        <v>185</v>
      </c>
      <c r="S164" s="77"/>
      <c r="T164" s="82">
        <v>145</v>
      </c>
      <c r="U164" s="77"/>
      <c r="V164" s="82">
        <v>19</v>
      </c>
      <c r="W164" s="77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</row>
    <row r="165" spans="1:44" s="2" customFormat="1" ht="12.75">
      <c r="A165" s="13"/>
      <c r="B165" s="8"/>
      <c r="C165" s="40" t="s">
        <v>34</v>
      </c>
      <c r="D165" s="30"/>
      <c r="E165"/>
      <c r="F165" s="82">
        <v>10</v>
      </c>
      <c r="G165" s="77"/>
      <c r="H165" s="82">
        <v>11</v>
      </c>
      <c r="I165" s="77"/>
      <c r="J165" s="75">
        <v>13</v>
      </c>
      <c r="K165" s="76"/>
      <c r="L165" s="85">
        <f>ROUND((19/1936.27)*1000,0)</f>
        <v>10</v>
      </c>
      <c r="M165" s="77"/>
      <c r="N165" s="82">
        <v>11</v>
      </c>
      <c r="O165" s="77"/>
      <c r="P165" s="82">
        <v>7</v>
      </c>
      <c r="Q165" s="77"/>
      <c r="R165" s="82">
        <v>7</v>
      </c>
      <c r="S165" s="77"/>
      <c r="T165" s="82">
        <v>8</v>
      </c>
      <c r="U165" s="77"/>
      <c r="V165" s="82">
        <v>11</v>
      </c>
      <c r="W165" s="77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</row>
    <row r="166" spans="1:44" s="2" customFormat="1" ht="12.75">
      <c r="A166" s="13"/>
      <c r="B166" s="8"/>
      <c r="C166" s="40" t="s">
        <v>117</v>
      </c>
      <c r="D166" s="30"/>
      <c r="E166"/>
      <c r="F166" s="82">
        <v>148</v>
      </c>
      <c r="G166" s="77">
        <v>0</v>
      </c>
      <c r="H166" s="82">
        <v>17</v>
      </c>
      <c r="I166" s="77">
        <v>0</v>
      </c>
      <c r="J166" s="75">
        <v>0</v>
      </c>
      <c r="K166" s="76">
        <v>0</v>
      </c>
      <c r="L166" s="85">
        <v>0</v>
      </c>
      <c r="M166" s="77">
        <v>0</v>
      </c>
      <c r="N166" s="82">
        <v>0</v>
      </c>
      <c r="O166" s="77">
        <v>0</v>
      </c>
      <c r="P166" s="82">
        <v>102</v>
      </c>
      <c r="Q166" s="77"/>
      <c r="R166" s="82">
        <v>168</v>
      </c>
      <c r="S166" s="77"/>
      <c r="T166" s="82">
        <v>131</v>
      </c>
      <c r="U166" s="77"/>
      <c r="V166" s="82">
        <v>159</v>
      </c>
      <c r="W166" s="77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</row>
    <row r="167" spans="1:44" s="2" customFormat="1" ht="12.75">
      <c r="A167" s="173" t="s">
        <v>139</v>
      </c>
      <c r="B167" s="174"/>
      <c r="C167" s="174"/>
      <c r="D167" s="175"/>
      <c r="E167" s="38"/>
      <c r="F167" s="98">
        <f>SUM(F168:F172)</f>
        <v>1903</v>
      </c>
      <c r="G167" s="98">
        <f>SUM(G168:G172)</f>
        <v>48</v>
      </c>
      <c r="H167" s="98">
        <f>SUM(H168:H172)</f>
        <v>2346</v>
      </c>
      <c r="I167" s="98">
        <f>SUM(I168:I172)</f>
        <v>40</v>
      </c>
      <c r="J167" s="98">
        <f>SUM(J168:J172)-1</f>
        <v>2557</v>
      </c>
      <c r="K167" s="98">
        <f aca="true" t="shared" si="34" ref="K167:Q167">SUM(K168:K172)</f>
        <v>22</v>
      </c>
      <c r="L167" s="98">
        <f t="shared" si="34"/>
        <v>3350</v>
      </c>
      <c r="M167" s="98">
        <f t="shared" si="34"/>
        <v>5</v>
      </c>
      <c r="N167" s="98">
        <f t="shared" si="34"/>
        <v>3101</v>
      </c>
      <c r="O167" s="98">
        <f t="shared" si="34"/>
        <v>0</v>
      </c>
      <c r="P167" s="98">
        <f t="shared" si="34"/>
        <v>3006</v>
      </c>
      <c r="Q167" s="98">
        <f t="shared" si="34"/>
        <v>0</v>
      </c>
      <c r="R167" s="98">
        <f aca="true" t="shared" si="35" ref="R167:W167">SUM(R168:R172)</f>
        <v>4389</v>
      </c>
      <c r="S167" s="98">
        <f t="shared" si="35"/>
        <v>5</v>
      </c>
      <c r="T167" s="98">
        <f t="shared" si="35"/>
        <v>6669</v>
      </c>
      <c r="U167" s="98">
        <f t="shared" si="35"/>
        <v>1</v>
      </c>
      <c r="V167" s="98">
        <f t="shared" si="35"/>
        <v>6530</v>
      </c>
      <c r="W167" s="98">
        <f t="shared" si="35"/>
        <v>7</v>
      </c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</row>
    <row r="168" spans="1:44" s="2" customFormat="1" ht="12.75">
      <c r="A168" s="68"/>
      <c r="B168" s="14" t="s">
        <v>28</v>
      </c>
      <c r="C168" s="15"/>
      <c r="D168" s="16"/>
      <c r="E168"/>
      <c r="F168" s="85">
        <v>529</v>
      </c>
      <c r="G168" s="83"/>
      <c r="H168" s="85">
        <v>969</v>
      </c>
      <c r="I168" s="83"/>
      <c r="J168" s="103">
        <v>754</v>
      </c>
      <c r="K168" s="125"/>
      <c r="L168" s="85">
        <f>ROUND((1377/1936.27)*1000,0)</f>
        <v>711</v>
      </c>
      <c r="M168" s="83"/>
      <c r="N168" s="85">
        <v>1413</v>
      </c>
      <c r="O168" s="83"/>
      <c r="P168" s="85">
        <v>1010</v>
      </c>
      <c r="Q168" s="83"/>
      <c r="R168" s="85">
        <v>1281</v>
      </c>
      <c r="S168" s="83"/>
      <c r="T168" s="85">
        <v>1251</v>
      </c>
      <c r="U168" s="83"/>
      <c r="V168" s="85">
        <v>1313</v>
      </c>
      <c r="W168" s="83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</row>
    <row r="169" spans="1:44" s="2" customFormat="1" ht="12.75">
      <c r="A169" s="68"/>
      <c r="B169" s="14" t="s">
        <v>5</v>
      </c>
      <c r="C169" s="15"/>
      <c r="D169" s="16"/>
      <c r="E169"/>
      <c r="F169" s="85">
        <v>146</v>
      </c>
      <c r="G169" s="83">
        <v>48</v>
      </c>
      <c r="H169" s="85">
        <v>138</v>
      </c>
      <c r="I169" s="83">
        <v>40</v>
      </c>
      <c r="J169" s="103">
        <v>182</v>
      </c>
      <c r="K169" s="125">
        <v>22</v>
      </c>
      <c r="L169" s="85">
        <f>ROUND((249/1936.27)*1000,0)</f>
        <v>129</v>
      </c>
      <c r="M169" s="83">
        <f>ROUND((10155/1936.27),0)</f>
        <v>5</v>
      </c>
      <c r="N169" s="85">
        <v>115</v>
      </c>
      <c r="O169" s="83">
        <v>0</v>
      </c>
      <c r="P169" s="85">
        <v>92</v>
      </c>
      <c r="Q169" s="83"/>
      <c r="R169" s="85">
        <v>92</v>
      </c>
      <c r="S169" s="83">
        <v>5</v>
      </c>
      <c r="T169" s="85">
        <v>91</v>
      </c>
      <c r="U169" s="83">
        <v>1</v>
      </c>
      <c r="V169" s="85">
        <v>96</v>
      </c>
      <c r="W169" s="83">
        <v>7</v>
      </c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</row>
    <row r="170" spans="1:44" s="2" customFormat="1" ht="12.75">
      <c r="A170" s="23"/>
      <c r="B170" s="14" t="s">
        <v>123</v>
      </c>
      <c r="C170" s="15"/>
      <c r="D170" s="16"/>
      <c r="E170"/>
      <c r="F170" s="85"/>
      <c r="G170" s="83"/>
      <c r="H170" s="85"/>
      <c r="I170" s="83"/>
      <c r="J170" s="103"/>
      <c r="K170" s="125"/>
      <c r="L170" s="85"/>
      <c r="M170" s="83"/>
      <c r="N170" s="85"/>
      <c r="O170" s="83"/>
      <c r="P170" s="85">
        <v>142</v>
      </c>
      <c r="Q170" s="83"/>
      <c r="R170" s="85">
        <v>77</v>
      </c>
      <c r="S170" s="83"/>
      <c r="T170" s="85">
        <v>120</v>
      </c>
      <c r="U170" s="83"/>
      <c r="V170" s="85">
        <v>130</v>
      </c>
      <c r="W170" s="83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</row>
    <row r="171" spans="1:44" s="2" customFormat="1" ht="12.75">
      <c r="A171" s="43"/>
      <c r="B171" s="40" t="s">
        <v>124</v>
      </c>
      <c r="C171" s="44"/>
      <c r="D171" s="45"/>
      <c r="F171" s="82"/>
      <c r="G171" s="77"/>
      <c r="H171" s="82">
        <v>723</v>
      </c>
      <c r="I171" s="77"/>
      <c r="J171" s="75">
        <v>1163</v>
      </c>
      <c r="K171" s="76"/>
      <c r="L171" s="85">
        <f>ROUND((3800/1936.27)*1000,0)</f>
        <v>1963</v>
      </c>
      <c r="M171" s="77"/>
      <c r="N171" s="82">
        <v>659</v>
      </c>
      <c r="O171" s="77"/>
      <c r="P171" s="82">
        <v>1085</v>
      </c>
      <c r="Q171" s="77"/>
      <c r="R171" s="82">
        <v>2072</v>
      </c>
      <c r="S171" s="77"/>
      <c r="T171" s="82">
        <v>4200</v>
      </c>
      <c r="U171" s="77"/>
      <c r="V171" s="82">
        <v>3789</v>
      </c>
      <c r="W171" s="77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</row>
    <row r="172" spans="1:44" s="2" customFormat="1" ht="12.75">
      <c r="A172" s="93"/>
      <c r="B172" s="58" t="s">
        <v>125</v>
      </c>
      <c r="C172" s="55"/>
      <c r="D172" s="56"/>
      <c r="F172" s="112">
        <v>1228</v>
      </c>
      <c r="G172" s="84"/>
      <c r="H172" s="112">
        <v>516</v>
      </c>
      <c r="I172" s="84"/>
      <c r="J172" s="106">
        <v>459</v>
      </c>
      <c r="K172" s="142"/>
      <c r="L172" s="100">
        <f>ROUND((1059/1936.27)*1000,0)</f>
        <v>547</v>
      </c>
      <c r="M172" s="84"/>
      <c r="N172" s="112">
        <v>914</v>
      </c>
      <c r="O172" s="84"/>
      <c r="P172" s="112">
        <v>677</v>
      </c>
      <c r="Q172" s="84"/>
      <c r="R172" s="112">
        <v>867</v>
      </c>
      <c r="S172" s="84"/>
      <c r="T172" s="112">
        <v>1007</v>
      </c>
      <c r="U172" s="84"/>
      <c r="V172" s="112">
        <v>1202</v>
      </c>
      <c r="W172" s="8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</row>
    <row r="173" spans="1:44" s="2" customFormat="1" ht="12.75">
      <c r="A173" s="173" t="s">
        <v>77</v>
      </c>
      <c r="B173" s="35"/>
      <c r="C173" s="35"/>
      <c r="D173" s="36"/>
      <c r="E173" s="38"/>
      <c r="F173" s="98">
        <f aca="true" t="shared" si="36" ref="F173:U173">+F174+F181+F188+F195+F202+F209+F216+F223+F230</f>
        <v>20865</v>
      </c>
      <c r="G173" s="98">
        <f t="shared" si="36"/>
        <v>0</v>
      </c>
      <c r="H173" s="98">
        <f t="shared" si="36"/>
        <v>23377</v>
      </c>
      <c r="I173" s="98">
        <f t="shared" si="36"/>
        <v>0</v>
      </c>
      <c r="J173" s="98">
        <f t="shared" si="36"/>
        <v>25280</v>
      </c>
      <c r="K173" s="98">
        <f t="shared" si="36"/>
        <v>21</v>
      </c>
      <c r="L173" s="98">
        <f t="shared" si="36"/>
        <v>27477.5</v>
      </c>
      <c r="M173" s="98">
        <f t="shared" si="36"/>
        <v>605</v>
      </c>
      <c r="N173" s="98">
        <f t="shared" si="36"/>
        <v>28627</v>
      </c>
      <c r="O173" s="98">
        <f t="shared" si="36"/>
        <v>19.108905266311</v>
      </c>
      <c r="P173" s="98">
        <f t="shared" si="36"/>
        <v>30113</v>
      </c>
      <c r="Q173" s="98">
        <f t="shared" si="36"/>
        <v>31</v>
      </c>
      <c r="R173" s="98">
        <f t="shared" si="36"/>
        <v>31748</v>
      </c>
      <c r="S173" s="98">
        <f t="shared" si="36"/>
        <v>18</v>
      </c>
      <c r="T173" s="98">
        <f t="shared" si="36"/>
        <v>31988</v>
      </c>
      <c r="U173" s="98">
        <f t="shared" si="36"/>
        <v>22</v>
      </c>
      <c r="V173" s="98">
        <f>+V174+V181+V188+V195+V202+V209+V216+V223+V230</f>
        <v>33320</v>
      </c>
      <c r="W173" s="98">
        <f>+W174+W181+W188+W195+W202+W209+W216+W223+W230</f>
        <v>98</v>
      </c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</row>
    <row r="174" spans="1:44" s="2" customFormat="1" ht="12.75">
      <c r="A174" s="22"/>
      <c r="B174" s="17" t="s">
        <v>35</v>
      </c>
      <c r="C174" s="14"/>
      <c r="D174" s="21"/>
      <c r="E174"/>
      <c r="F174" s="117">
        <f aca="true" t="shared" si="37" ref="F174:M174">SUM(F175:F180)</f>
        <v>1315</v>
      </c>
      <c r="G174" s="117">
        <f t="shared" si="37"/>
        <v>0</v>
      </c>
      <c r="H174" s="117">
        <f t="shared" si="37"/>
        <v>1477</v>
      </c>
      <c r="I174" s="117">
        <f t="shared" si="37"/>
        <v>0</v>
      </c>
      <c r="J174" s="117">
        <f t="shared" si="37"/>
        <v>1496</v>
      </c>
      <c r="K174" s="117">
        <f t="shared" si="37"/>
        <v>0</v>
      </c>
      <c r="L174" s="117">
        <f t="shared" si="37"/>
        <v>1577</v>
      </c>
      <c r="M174" s="117">
        <f t="shared" si="37"/>
        <v>0</v>
      </c>
      <c r="N174" s="117">
        <f>SUM(N175:N180)+1</f>
        <v>1657</v>
      </c>
      <c r="O174" s="117">
        <f aca="true" t="shared" si="38" ref="O174:U174">SUM(O175:O180)</f>
        <v>0</v>
      </c>
      <c r="P174" s="117">
        <f t="shared" si="38"/>
        <v>1762</v>
      </c>
      <c r="Q174" s="117">
        <f t="shared" si="38"/>
        <v>0</v>
      </c>
      <c r="R174" s="117">
        <f t="shared" si="38"/>
        <v>1864</v>
      </c>
      <c r="S174" s="117">
        <f t="shared" si="38"/>
        <v>0</v>
      </c>
      <c r="T174" s="117">
        <f t="shared" si="38"/>
        <v>1893</v>
      </c>
      <c r="U174" s="117">
        <f t="shared" si="38"/>
        <v>0</v>
      </c>
      <c r="V174" s="117">
        <f>SUM(V175:V180)</f>
        <v>2163</v>
      </c>
      <c r="W174" s="117">
        <f>SUM(W175:W180)</f>
        <v>0</v>
      </c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</row>
    <row r="175" spans="1:44" s="2" customFormat="1" ht="12.75">
      <c r="A175" s="22"/>
      <c r="B175" s="14"/>
      <c r="C175" s="14" t="s">
        <v>36</v>
      </c>
      <c r="D175" s="21"/>
      <c r="E175"/>
      <c r="F175" s="118">
        <f>ROUND(96*1000/1936.27,0)</f>
        <v>50</v>
      </c>
      <c r="G175" s="162"/>
      <c r="H175" s="118">
        <f>ROUND(283*1000/1936.27,0)</f>
        <v>146</v>
      </c>
      <c r="I175" s="162"/>
      <c r="J175" s="118">
        <f>ROUND(303*1000/1936.27,0)</f>
        <v>156</v>
      </c>
      <c r="K175" s="162"/>
      <c r="L175" s="118">
        <f>ROUND(474*1000/1936.27,0)</f>
        <v>245</v>
      </c>
      <c r="M175" s="85"/>
      <c r="N175" s="118">
        <f>ROUND((508000/1936.27),0)</f>
        <v>262</v>
      </c>
      <c r="O175" s="83"/>
      <c r="P175" s="118">
        <v>281</v>
      </c>
      <c r="Q175" s="83"/>
      <c r="R175" s="118">
        <v>229</v>
      </c>
      <c r="S175" s="83"/>
      <c r="T175" s="118">
        <v>259</v>
      </c>
      <c r="U175" s="83"/>
      <c r="V175" s="118">
        <v>306</v>
      </c>
      <c r="W175" s="83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</row>
    <row r="176" spans="1:44" s="2" customFormat="1" ht="12.75">
      <c r="A176" s="22"/>
      <c r="B176" s="14"/>
      <c r="C176" s="14" t="s">
        <v>37</v>
      </c>
      <c r="D176" s="21"/>
      <c r="E176"/>
      <c r="F176" s="118">
        <f>ROUND(1842*1000/1936.27,0)</f>
        <v>951</v>
      </c>
      <c r="G176" s="163"/>
      <c r="H176" s="118">
        <f>ROUND(1882*1000/1936.27,0)</f>
        <v>972</v>
      </c>
      <c r="I176" s="163"/>
      <c r="J176" s="118">
        <f>ROUND(1868*1000/1936.27,0)</f>
        <v>965</v>
      </c>
      <c r="K176" s="163"/>
      <c r="L176" s="118">
        <f>ROUND(1825*1000/1936.27,0)</f>
        <v>943</v>
      </c>
      <c r="M176" s="83"/>
      <c r="N176" s="118">
        <f>ROUND((1833000/1936.27),0)</f>
        <v>947</v>
      </c>
      <c r="O176" s="83"/>
      <c r="P176" s="118">
        <v>959</v>
      </c>
      <c r="Q176" s="83"/>
      <c r="R176" s="118">
        <v>1093</v>
      </c>
      <c r="S176" s="83"/>
      <c r="T176" s="118">
        <v>1088</v>
      </c>
      <c r="U176" s="83"/>
      <c r="V176" s="118">
        <v>1286</v>
      </c>
      <c r="W176" s="83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</row>
    <row r="177" spans="1:44" s="2" customFormat="1" ht="12.75">
      <c r="A177" s="22"/>
      <c r="B177" s="14"/>
      <c r="C177" s="14" t="s">
        <v>38</v>
      </c>
      <c r="D177" s="21"/>
      <c r="E177"/>
      <c r="F177" s="118">
        <f>ROUND(0*1000/1936.27,0)</f>
        <v>0</v>
      </c>
      <c r="G177" s="163"/>
      <c r="H177" s="118">
        <f>ROUND(0*1000/1936.27,0)</f>
        <v>0</v>
      </c>
      <c r="I177" s="163"/>
      <c r="J177" s="118">
        <f>ROUND(0*1000/1936.27,0)</f>
        <v>0</v>
      </c>
      <c r="K177" s="163"/>
      <c r="L177" s="118">
        <v>0</v>
      </c>
      <c r="M177" s="83"/>
      <c r="N177" s="118">
        <v>0</v>
      </c>
      <c r="O177" s="83"/>
      <c r="P177" s="118">
        <v>7</v>
      </c>
      <c r="Q177" s="83"/>
      <c r="R177" s="118">
        <v>7</v>
      </c>
      <c r="S177" s="83"/>
      <c r="T177" s="118">
        <v>1</v>
      </c>
      <c r="U177" s="83"/>
      <c r="V177" s="118">
        <v>7</v>
      </c>
      <c r="W177" s="83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</row>
    <row r="178" spans="1:44" s="2" customFormat="1" ht="13.5" customHeight="1">
      <c r="A178" s="22"/>
      <c r="B178" s="14"/>
      <c r="C178" s="14" t="s">
        <v>39</v>
      </c>
      <c r="D178" s="21"/>
      <c r="E178"/>
      <c r="F178" s="118">
        <f>ROUND(25*1000/1936.27,0)</f>
        <v>13</v>
      </c>
      <c r="G178" s="163"/>
      <c r="H178" s="118">
        <f>ROUND(6*1000/1936.27,0)</f>
        <v>3</v>
      </c>
      <c r="I178" s="163"/>
      <c r="J178" s="118">
        <f>ROUND(34*1000/1936.27,0)</f>
        <v>18</v>
      </c>
      <c r="K178" s="163"/>
      <c r="L178" s="118">
        <f>ROUND(28*1000/1936.27,0)</f>
        <v>14</v>
      </c>
      <c r="M178" s="83"/>
      <c r="N178" s="118">
        <f>ROUND((30000/1936.27),0)</f>
        <v>15</v>
      </c>
      <c r="O178" s="83"/>
      <c r="P178" s="118">
        <v>15</v>
      </c>
      <c r="Q178" s="83"/>
      <c r="R178" s="118">
        <v>63</v>
      </c>
      <c r="S178" s="83"/>
      <c r="T178" s="118">
        <v>66</v>
      </c>
      <c r="U178" s="83"/>
      <c r="V178" s="118">
        <v>63</v>
      </c>
      <c r="W178" s="83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</row>
    <row r="179" spans="1:44" s="2" customFormat="1" ht="12.75">
      <c r="A179" s="22"/>
      <c r="B179" s="14"/>
      <c r="C179" s="14" t="s">
        <v>154</v>
      </c>
      <c r="D179" s="21"/>
      <c r="E179"/>
      <c r="F179" s="118">
        <f>ROUND((514-25)*1000/1936.27,0)</f>
        <v>253</v>
      </c>
      <c r="G179" s="163"/>
      <c r="H179" s="118">
        <f>ROUND((552-6)*1000/1936.27,0)</f>
        <v>282</v>
      </c>
      <c r="I179" s="163"/>
      <c r="J179" s="118">
        <f>ROUND((595-34)*1000/1936.27,0)</f>
        <v>290</v>
      </c>
      <c r="K179" s="163"/>
      <c r="L179" s="118">
        <f>ROUND((603-28)*1000/1936.27,0)</f>
        <v>297</v>
      </c>
      <c r="M179" s="83"/>
      <c r="N179" s="118">
        <f>ROUND((664000/1936.27),0)</f>
        <v>343</v>
      </c>
      <c r="O179" s="83"/>
      <c r="P179" s="118">
        <v>262</v>
      </c>
      <c r="Q179" s="83"/>
      <c r="R179" s="118">
        <v>256</v>
      </c>
      <c r="S179" s="83"/>
      <c r="T179" s="118">
        <v>311</v>
      </c>
      <c r="U179" s="83"/>
      <c r="V179" s="118">
        <v>330</v>
      </c>
      <c r="W179" s="83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</row>
    <row r="180" spans="1:44" s="2" customFormat="1" ht="12.75">
      <c r="A180" s="22"/>
      <c r="B180" s="14"/>
      <c r="C180" s="14" t="s">
        <v>155</v>
      </c>
      <c r="D180" s="21"/>
      <c r="E180"/>
      <c r="F180" s="118">
        <v>48</v>
      </c>
      <c r="G180" s="118">
        <v>0</v>
      </c>
      <c r="H180" s="118">
        <v>74</v>
      </c>
      <c r="I180" s="118">
        <v>0</v>
      </c>
      <c r="J180" s="118">
        <v>67</v>
      </c>
      <c r="K180" s="118">
        <v>0</v>
      </c>
      <c r="L180" s="118">
        <v>78</v>
      </c>
      <c r="M180" s="118">
        <v>0</v>
      </c>
      <c r="N180" s="118">
        <v>89</v>
      </c>
      <c r="O180" s="118">
        <v>0</v>
      </c>
      <c r="P180" s="118">
        <v>238</v>
      </c>
      <c r="Q180" s="118">
        <v>0</v>
      </c>
      <c r="R180" s="118">
        <v>216</v>
      </c>
      <c r="S180" s="118">
        <v>0</v>
      </c>
      <c r="T180" s="118">
        <v>168</v>
      </c>
      <c r="U180" s="118">
        <v>0</v>
      </c>
      <c r="V180" s="118">
        <v>171</v>
      </c>
      <c r="W180" s="118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</row>
    <row r="181" spans="1:23" ht="12.75">
      <c r="A181" s="71"/>
      <c r="B181" s="72" t="s">
        <v>40</v>
      </c>
      <c r="C181" s="73"/>
      <c r="D181" s="74"/>
      <c r="E181" s="34"/>
      <c r="F181" s="119">
        <f aca="true" t="shared" si="39" ref="F181:U181">SUM(F182:F187)</f>
        <v>3348</v>
      </c>
      <c r="G181" s="119">
        <f t="shared" si="39"/>
        <v>0</v>
      </c>
      <c r="H181" s="119">
        <f t="shared" si="39"/>
        <v>3704</v>
      </c>
      <c r="I181" s="119">
        <f t="shared" si="39"/>
        <v>0</v>
      </c>
      <c r="J181" s="119">
        <f t="shared" si="39"/>
        <v>4133</v>
      </c>
      <c r="K181" s="119">
        <f t="shared" si="39"/>
        <v>0</v>
      </c>
      <c r="L181" s="119">
        <f t="shared" si="39"/>
        <v>4448</v>
      </c>
      <c r="M181" s="119">
        <f t="shared" si="39"/>
        <v>53</v>
      </c>
      <c r="N181" s="119">
        <f t="shared" si="39"/>
        <v>4778</v>
      </c>
      <c r="O181" s="119">
        <f t="shared" si="39"/>
        <v>3.6151982936264053</v>
      </c>
      <c r="P181" s="119">
        <f t="shared" si="39"/>
        <v>5164</v>
      </c>
      <c r="Q181" s="119">
        <f t="shared" si="39"/>
        <v>0</v>
      </c>
      <c r="R181" s="119">
        <f t="shared" si="39"/>
        <v>5400</v>
      </c>
      <c r="S181" s="119">
        <f t="shared" si="39"/>
        <v>4</v>
      </c>
      <c r="T181" s="119">
        <f t="shared" si="39"/>
        <v>5354</v>
      </c>
      <c r="U181" s="119">
        <f t="shared" si="39"/>
        <v>2</v>
      </c>
      <c r="V181" s="119">
        <f>SUM(V182:V187)</f>
        <v>5564</v>
      </c>
      <c r="W181" s="119">
        <f>SUM(W182:W187)</f>
        <v>4</v>
      </c>
    </row>
    <row r="182" spans="1:23" ht="12.75">
      <c r="A182" s="22"/>
      <c r="B182" s="14"/>
      <c r="C182" s="14" t="s">
        <v>36</v>
      </c>
      <c r="D182" s="21"/>
      <c r="F182" s="118">
        <f>ROUND(187*1000/1936.27,0)</f>
        <v>97</v>
      </c>
      <c r="G182" s="162"/>
      <c r="H182" s="118">
        <f>ROUND(346*1000/1936.27,0)-1</f>
        <v>178</v>
      </c>
      <c r="I182" s="162"/>
      <c r="J182" s="118">
        <f>ROUND(451*1000/1936.27,0)</f>
        <v>233</v>
      </c>
      <c r="K182" s="162"/>
      <c r="L182" s="118">
        <f>ROUND(376*1000/1936.27,0)</f>
        <v>194</v>
      </c>
      <c r="M182" s="83"/>
      <c r="N182" s="118">
        <f>ROUND((518000/1936.27),0)</f>
        <v>268</v>
      </c>
      <c r="O182" s="83">
        <f>7/1.93627</f>
        <v>3.6151982936264053</v>
      </c>
      <c r="P182" s="118">
        <v>205</v>
      </c>
      <c r="Q182" s="83"/>
      <c r="R182" s="118">
        <v>155</v>
      </c>
      <c r="S182" s="83"/>
      <c r="T182" s="118">
        <v>165</v>
      </c>
      <c r="U182" s="83"/>
      <c r="V182" s="118">
        <v>163</v>
      </c>
      <c r="W182" s="83"/>
    </row>
    <row r="183" spans="1:23" ht="12.75">
      <c r="A183" s="22"/>
      <c r="B183" s="14"/>
      <c r="C183" s="14" t="s">
        <v>37</v>
      </c>
      <c r="D183" s="21"/>
      <c r="F183" s="118">
        <f>ROUND(4841*1000/1936.27,0)</f>
        <v>2500</v>
      </c>
      <c r="G183" s="163"/>
      <c r="H183" s="118">
        <f>ROUND(5272*1000/1936.27,0)</f>
        <v>2723</v>
      </c>
      <c r="I183" s="163"/>
      <c r="J183" s="118">
        <f>ROUND(5493*1000/1936.27,0)</f>
        <v>2837</v>
      </c>
      <c r="K183" s="163"/>
      <c r="L183" s="118">
        <f>ROUND(6247*1000/1936.27,0)</f>
        <v>3226</v>
      </c>
      <c r="M183" s="83">
        <f>ROUND(103000/1936.27,0)</f>
        <v>53</v>
      </c>
      <c r="N183" s="118">
        <f>ROUND((6390000/1936.27),0)</f>
        <v>3300</v>
      </c>
      <c r="O183" s="83"/>
      <c r="P183" s="118">
        <v>3244</v>
      </c>
      <c r="Q183" s="83"/>
      <c r="R183" s="118">
        <v>3393</v>
      </c>
      <c r="S183" s="83"/>
      <c r="T183" s="118">
        <v>3171</v>
      </c>
      <c r="U183" s="83"/>
      <c r="V183" s="118">
        <v>3290</v>
      </c>
      <c r="W183" s="83"/>
    </row>
    <row r="184" spans="1:23" ht="12.75">
      <c r="A184" s="22"/>
      <c r="B184" s="14"/>
      <c r="C184" s="14" t="s">
        <v>38</v>
      </c>
      <c r="D184" s="21"/>
      <c r="F184" s="118">
        <f>ROUND(0*1000/1936.27,0)</f>
        <v>0</v>
      </c>
      <c r="G184" s="163"/>
      <c r="H184" s="118">
        <f>ROUND(0*1000/1936.27,0)</f>
        <v>0</v>
      </c>
      <c r="I184" s="163"/>
      <c r="J184" s="118">
        <f>ROUND(0*1000/1936.27,0)</f>
        <v>0</v>
      </c>
      <c r="K184" s="163"/>
      <c r="L184" s="118">
        <v>0</v>
      </c>
      <c r="M184" s="83"/>
      <c r="N184" s="118">
        <v>0</v>
      </c>
      <c r="O184" s="83"/>
      <c r="P184" s="118">
        <v>22</v>
      </c>
      <c r="Q184" s="83"/>
      <c r="R184" s="118">
        <v>26</v>
      </c>
      <c r="S184" s="83"/>
      <c r="T184" s="118">
        <v>36</v>
      </c>
      <c r="U184" s="83"/>
      <c r="V184" s="118">
        <v>43</v>
      </c>
      <c r="W184" s="83"/>
    </row>
    <row r="185" spans="1:23" ht="12.75">
      <c r="A185" s="22"/>
      <c r="B185" s="14"/>
      <c r="C185" s="14" t="s">
        <v>39</v>
      </c>
      <c r="D185" s="21"/>
      <c r="F185" s="118">
        <f>ROUND(89*1000/1936.27,0)</f>
        <v>46</v>
      </c>
      <c r="G185" s="163"/>
      <c r="H185" s="118">
        <f>ROUND(22*1000/1936.27,0)</f>
        <v>11</v>
      </c>
      <c r="I185" s="163"/>
      <c r="J185" s="118">
        <f>ROUND(118*1000/1936.27,0)</f>
        <v>61</v>
      </c>
      <c r="K185" s="163"/>
      <c r="L185" s="118">
        <f>ROUND(98*1000/1936.27,0)</f>
        <v>51</v>
      </c>
      <c r="M185" s="83"/>
      <c r="N185" s="118">
        <f>ROUND((98000/1936.27),0)</f>
        <v>51</v>
      </c>
      <c r="O185" s="83"/>
      <c r="P185" s="118">
        <v>97</v>
      </c>
      <c r="Q185" s="83"/>
      <c r="R185" s="118">
        <v>66</v>
      </c>
      <c r="S185" s="83"/>
      <c r="T185" s="118">
        <v>76</v>
      </c>
      <c r="U185" s="83"/>
      <c r="V185" s="118">
        <v>85</v>
      </c>
      <c r="W185" s="83"/>
    </row>
    <row r="186" spans="1:23" ht="12.75">
      <c r="A186" s="22"/>
      <c r="B186" s="14"/>
      <c r="C186" s="14" t="s">
        <v>154</v>
      </c>
      <c r="D186" s="21"/>
      <c r="F186" s="118">
        <f>ROUND((1379-89)*1000/1936.27,0)</f>
        <v>666</v>
      </c>
      <c r="G186" s="163"/>
      <c r="H186" s="118">
        <f>ROUND((1437-22)*1000/1936.27,0)</f>
        <v>731</v>
      </c>
      <c r="I186" s="163"/>
      <c r="J186" s="118">
        <f>ROUND((1773-118)*1000/1936.27,0)</f>
        <v>855</v>
      </c>
      <c r="K186" s="163"/>
      <c r="L186" s="118">
        <f>ROUND((1644-98)*1000/1936.27,0)</f>
        <v>798</v>
      </c>
      <c r="M186" s="83"/>
      <c r="N186" s="118">
        <f>ROUND(((1934000-98000)/1936.27),0)</f>
        <v>948</v>
      </c>
      <c r="O186" s="83"/>
      <c r="P186" s="118">
        <v>1085</v>
      </c>
      <c r="Q186" s="83"/>
      <c r="R186" s="118">
        <v>1128</v>
      </c>
      <c r="S186" s="83"/>
      <c r="T186" s="118">
        <v>1324</v>
      </c>
      <c r="U186" s="83"/>
      <c r="V186" s="118">
        <v>1397</v>
      </c>
      <c r="W186" s="83"/>
    </row>
    <row r="187" spans="1:23" ht="12.75">
      <c r="A187" s="22"/>
      <c r="B187" s="14"/>
      <c r="C187" s="14" t="s">
        <v>155</v>
      </c>
      <c r="D187" s="21"/>
      <c r="F187" s="118">
        <v>39</v>
      </c>
      <c r="G187" s="118">
        <v>0</v>
      </c>
      <c r="H187" s="118">
        <v>61</v>
      </c>
      <c r="I187" s="118">
        <v>0</v>
      </c>
      <c r="J187" s="118">
        <v>147</v>
      </c>
      <c r="K187" s="118">
        <v>0</v>
      </c>
      <c r="L187" s="118">
        <v>179</v>
      </c>
      <c r="M187" s="118">
        <v>0</v>
      </c>
      <c r="N187" s="118">
        <v>211</v>
      </c>
      <c r="O187" s="118">
        <v>0</v>
      </c>
      <c r="P187" s="118">
        <v>511</v>
      </c>
      <c r="Q187" s="118">
        <v>0</v>
      </c>
      <c r="R187" s="118">
        <v>632</v>
      </c>
      <c r="S187" s="118">
        <v>4</v>
      </c>
      <c r="T187" s="118">
        <v>582</v>
      </c>
      <c r="U187" s="118">
        <v>2</v>
      </c>
      <c r="V187" s="118">
        <v>586</v>
      </c>
      <c r="W187" s="118">
        <v>4</v>
      </c>
    </row>
    <row r="188" spans="1:23" ht="12.75">
      <c r="A188" s="71"/>
      <c r="B188" s="72" t="s">
        <v>41</v>
      </c>
      <c r="C188" s="73"/>
      <c r="D188" s="74"/>
      <c r="F188" s="119">
        <f aca="true" t="shared" si="40" ref="F188:U188">SUM(F189:F194)</f>
        <v>2080</v>
      </c>
      <c r="G188" s="119">
        <f t="shared" si="40"/>
        <v>0</v>
      </c>
      <c r="H188" s="119">
        <f t="shared" si="40"/>
        <v>2417</v>
      </c>
      <c r="I188" s="119">
        <f t="shared" si="40"/>
        <v>0</v>
      </c>
      <c r="J188" s="119">
        <f t="shared" si="40"/>
        <v>2523</v>
      </c>
      <c r="K188" s="119">
        <f t="shared" si="40"/>
        <v>0</v>
      </c>
      <c r="L188" s="119">
        <f t="shared" si="40"/>
        <v>2656</v>
      </c>
      <c r="M188" s="119">
        <f t="shared" si="40"/>
        <v>0</v>
      </c>
      <c r="N188" s="119">
        <f t="shared" si="40"/>
        <v>2762</v>
      </c>
      <c r="O188" s="119">
        <f t="shared" si="40"/>
        <v>0</v>
      </c>
      <c r="P188" s="119">
        <f t="shared" si="40"/>
        <v>2844</v>
      </c>
      <c r="Q188" s="119">
        <f t="shared" si="40"/>
        <v>0</v>
      </c>
      <c r="R188" s="119">
        <f t="shared" si="40"/>
        <v>2847</v>
      </c>
      <c r="S188" s="119">
        <f t="shared" si="40"/>
        <v>0</v>
      </c>
      <c r="T188" s="119">
        <f t="shared" si="40"/>
        <v>2921</v>
      </c>
      <c r="U188" s="119">
        <f t="shared" si="40"/>
        <v>0</v>
      </c>
      <c r="V188" s="119">
        <f>SUM(V189:V194)</f>
        <v>2943</v>
      </c>
      <c r="W188" s="119">
        <f>SUM(W189:W194)</f>
        <v>0</v>
      </c>
    </row>
    <row r="189" spans="1:23" ht="12.75">
      <c r="A189" s="22"/>
      <c r="B189" s="14"/>
      <c r="C189" s="14" t="s">
        <v>36</v>
      </c>
      <c r="D189" s="21"/>
      <c r="F189" s="118">
        <f>ROUND(85*1000/1936.27,0)</f>
        <v>44</v>
      </c>
      <c r="G189" s="162"/>
      <c r="H189" s="118">
        <f>ROUND(206*1000/1936.27,0)+1</f>
        <v>107</v>
      </c>
      <c r="I189" s="162"/>
      <c r="J189" s="118">
        <f>ROUND(297*1000/1936.27,0)</f>
        <v>153</v>
      </c>
      <c r="K189" s="162"/>
      <c r="L189" s="118">
        <f>ROUND(472*1000/1936.27,0)</f>
        <v>244</v>
      </c>
      <c r="M189" s="83"/>
      <c r="N189" s="118">
        <f>ROUND((472000/1936.27),0)</f>
        <v>244</v>
      </c>
      <c r="O189" s="83"/>
      <c r="P189" s="118">
        <v>170</v>
      </c>
      <c r="Q189" s="83"/>
      <c r="R189" s="118">
        <v>178</v>
      </c>
      <c r="S189" s="83"/>
      <c r="T189" s="118">
        <v>156</v>
      </c>
      <c r="U189" s="83"/>
      <c r="V189" s="118">
        <v>112</v>
      </c>
      <c r="W189" s="83"/>
    </row>
    <row r="190" spans="1:23" ht="12.75">
      <c r="A190" s="22"/>
      <c r="B190" s="14"/>
      <c r="C190" s="14" t="s">
        <v>37</v>
      </c>
      <c r="D190" s="21"/>
      <c r="F190" s="118">
        <f>ROUND(3412*1000/1936.27,0)</f>
        <v>1762</v>
      </c>
      <c r="G190" s="163"/>
      <c r="H190" s="118">
        <f>ROUND(3733*1000/1936.27,0)</f>
        <v>1928</v>
      </c>
      <c r="I190" s="163"/>
      <c r="J190" s="118">
        <f>ROUND(3732*1000/1936.27,0)</f>
        <v>1927</v>
      </c>
      <c r="K190" s="163"/>
      <c r="L190" s="118">
        <f>ROUND(3781*1000/1936.27,0)+1</f>
        <v>1954</v>
      </c>
      <c r="M190" s="83"/>
      <c r="N190" s="118">
        <f>ROUND((3882000/1936.27),0)</f>
        <v>2005</v>
      </c>
      <c r="O190" s="83"/>
      <c r="P190" s="118">
        <v>2041</v>
      </c>
      <c r="Q190" s="83"/>
      <c r="R190" s="118">
        <v>1975</v>
      </c>
      <c r="S190" s="83"/>
      <c r="T190" s="118">
        <v>2090</v>
      </c>
      <c r="U190" s="83"/>
      <c r="V190" s="118">
        <v>2118</v>
      </c>
      <c r="W190" s="83"/>
    </row>
    <row r="191" spans="1:23" ht="12.75">
      <c r="A191" s="22"/>
      <c r="B191" s="14"/>
      <c r="C191" s="14" t="s">
        <v>38</v>
      </c>
      <c r="D191" s="21"/>
      <c r="F191" s="118">
        <f>ROUND(0*1000/1936.27,0)</f>
        <v>0</v>
      </c>
      <c r="G191" s="163"/>
      <c r="H191" s="118">
        <f>ROUND(0*1000/1936.27,0)</f>
        <v>0</v>
      </c>
      <c r="I191" s="163"/>
      <c r="J191" s="118">
        <f>ROUND(0*1000/1936.27,0)</f>
        <v>0</v>
      </c>
      <c r="K191" s="163"/>
      <c r="L191" s="118">
        <v>0</v>
      </c>
      <c r="M191" s="83"/>
      <c r="N191" s="118">
        <v>0</v>
      </c>
      <c r="O191" s="83"/>
      <c r="P191" s="118">
        <v>26</v>
      </c>
      <c r="Q191" s="83"/>
      <c r="R191" s="118">
        <v>26</v>
      </c>
      <c r="S191" s="83"/>
      <c r="T191" s="118">
        <v>27</v>
      </c>
      <c r="U191" s="83"/>
      <c r="V191" s="118">
        <v>2</v>
      </c>
      <c r="W191" s="83"/>
    </row>
    <row r="192" spans="1:23" ht="12.75">
      <c r="A192" s="22"/>
      <c r="B192" s="14"/>
      <c r="C192" s="14" t="s">
        <v>39</v>
      </c>
      <c r="D192" s="21"/>
      <c r="F192" s="118">
        <f>ROUND(85*1000/1936.27,0)</f>
        <v>44</v>
      </c>
      <c r="G192" s="163"/>
      <c r="H192" s="118">
        <f>ROUND(19*1000/1936.27,0)</f>
        <v>10</v>
      </c>
      <c r="I192" s="163"/>
      <c r="J192" s="118">
        <f>ROUND(100*1000/1936.27,0)</f>
        <v>52</v>
      </c>
      <c r="K192" s="163"/>
      <c r="L192" s="118">
        <f>ROUND(82*1000/1936.27,0)</f>
        <v>42</v>
      </c>
      <c r="M192" s="83"/>
      <c r="N192" s="118">
        <f>ROUND((98000/1936.27),0)</f>
        <v>51</v>
      </c>
      <c r="O192" s="83"/>
      <c r="P192" s="118">
        <v>50</v>
      </c>
      <c r="Q192" s="83"/>
      <c r="R192" s="118">
        <v>60</v>
      </c>
      <c r="S192" s="83"/>
      <c r="T192" s="118">
        <v>76</v>
      </c>
      <c r="U192" s="83"/>
      <c r="V192" s="118">
        <v>85</v>
      </c>
      <c r="W192" s="83"/>
    </row>
    <row r="193" spans="1:23" ht="12.75">
      <c r="A193" s="22"/>
      <c r="B193" s="14"/>
      <c r="C193" s="14" t="s">
        <v>154</v>
      </c>
      <c r="D193" s="21"/>
      <c r="F193" s="118">
        <f>ROUND((455-85)*1000/1936.27,0)</f>
        <v>191</v>
      </c>
      <c r="G193" s="163"/>
      <c r="H193" s="118">
        <f>ROUND((504-19)*1000/1936.27,0)</f>
        <v>250</v>
      </c>
      <c r="I193" s="163"/>
      <c r="J193" s="118">
        <f>ROUND((521)*1000/1936.27,0)</f>
        <v>269</v>
      </c>
      <c r="K193" s="163"/>
      <c r="L193" s="118">
        <f>ROUND((605-82)*1000/1936.27,0)</f>
        <v>270</v>
      </c>
      <c r="M193" s="83"/>
      <c r="N193" s="118">
        <f>ROUND(((752000-98000)/1936.27),0)</f>
        <v>338</v>
      </c>
      <c r="O193" s="83"/>
      <c r="P193" s="118">
        <v>387</v>
      </c>
      <c r="Q193" s="83"/>
      <c r="R193" s="118">
        <v>417</v>
      </c>
      <c r="S193" s="83"/>
      <c r="T193" s="118">
        <v>437</v>
      </c>
      <c r="U193" s="83"/>
      <c r="V193" s="118">
        <v>446</v>
      </c>
      <c r="W193" s="83"/>
    </row>
    <row r="194" spans="1:23" ht="12.75">
      <c r="A194" s="22"/>
      <c r="B194" s="14"/>
      <c r="C194" s="14" t="s">
        <v>155</v>
      </c>
      <c r="D194" s="21"/>
      <c r="F194" s="118">
        <v>39</v>
      </c>
      <c r="G194" s="118">
        <v>0</v>
      </c>
      <c r="H194" s="118">
        <v>122</v>
      </c>
      <c r="I194" s="118">
        <v>0</v>
      </c>
      <c r="J194" s="118">
        <v>122</v>
      </c>
      <c r="K194" s="118">
        <v>0</v>
      </c>
      <c r="L194" s="118">
        <v>146</v>
      </c>
      <c r="M194" s="118">
        <v>0</v>
      </c>
      <c r="N194" s="118">
        <v>124</v>
      </c>
      <c r="O194" s="118">
        <v>0</v>
      </c>
      <c r="P194" s="118">
        <v>170</v>
      </c>
      <c r="Q194" s="118"/>
      <c r="R194" s="118">
        <v>191</v>
      </c>
      <c r="S194" s="118">
        <v>0</v>
      </c>
      <c r="T194" s="118">
        <v>135</v>
      </c>
      <c r="U194" s="118">
        <v>0</v>
      </c>
      <c r="V194" s="118">
        <v>180</v>
      </c>
      <c r="W194" s="118"/>
    </row>
    <row r="195" spans="1:23" ht="12.75">
      <c r="A195" s="71"/>
      <c r="B195" s="72" t="s">
        <v>42</v>
      </c>
      <c r="C195" s="73"/>
      <c r="D195" s="74"/>
      <c r="F195" s="119">
        <f aca="true" t="shared" si="41" ref="F195:M195">SUM(F196:F201)</f>
        <v>1334</v>
      </c>
      <c r="G195" s="119">
        <f t="shared" si="41"/>
        <v>0</v>
      </c>
      <c r="H195" s="119">
        <f t="shared" si="41"/>
        <v>1937</v>
      </c>
      <c r="I195" s="119">
        <f t="shared" si="41"/>
        <v>0</v>
      </c>
      <c r="J195" s="119">
        <f t="shared" si="41"/>
        <v>2061</v>
      </c>
      <c r="K195" s="119">
        <f t="shared" si="41"/>
        <v>0</v>
      </c>
      <c r="L195" s="119">
        <f t="shared" si="41"/>
        <v>2190</v>
      </c>
      <c r="M195" s="119">
        <f t="shared" si="41"/>
        <v>15</v>
      </c>
      <c r="N195" s="119">
        <f>SUM(N196:N201)-1</f>
        <v>2364</v>
      </c>
      <c r="O195" s="119">
        <f aca="true" t="shared" si="42" ref="O195:U195">SUM(O196:O201)</f>
        <v>0</v>
      </c>
      <c r="P195" s="119">
        <f t="shared" si="42"/>
        <v>2568</v>
      </c>
      <c r="Q195" s="119">
        <f t="shared" si="42"/>
        <v>26</v>
      </c>
      <c r="R195" s="119">
        <f t="shared" si="42"/>
        <v>2831</v>
      </c>
      <c r="S195" s="119">
        <f t="shared" si="42"/>
        <v>10</v>
      </c>
      <c r="T195" s="119">
        <f t="shared" si="42"/>
        <v>2964</v>
      </c>
      <c r="U195" s="119">
        <f t="shared" si="42"/>
        <v>0</v>
      </c>
      <c r="V195" s="119">
        <f>SUM(V196:V201)</f>
        <v>3210</v>
      </c>
      <c r="W195" s="119">
        <f>SUM(W196:W201)</f>
        <v>90</v>
      </c>
    </row>
    <row r="196" spans="1:23" ht="12.75">
      <c r="A196" s="22"/>
      <c r="B196" s="14"/>
      <c r="C196" s="14" t="s">
        <v>36</v>
      </c>
      <c r="D196" s="21"/>
      <c r="F196" s="118">
        <f>ROUND(109*1000/1936.27,0)</f>
        <v>56</v>
      </c>
      <c r="G196" s="118"/>
      <c r="H196" s="118">
        <f>ROUND(240*1000/1936.27,0)-1</f>
        <v>123</v>
      </c>
      <c r="I196" s="118"/>
      <c r="J196" s="118">
        <f>ROUND(155*1000/1936.27,0)</f>
        <v>80</v>
      </c>
      <c r="K196" s="118"/>
      <c r="L196" s="118">
        <f>ROUND(206*1000/1936.27,0)-2</f>
        <v>104</v>
      </c>
      <c r="M196" s="118"/>
      <c r="N196" s="118">
        <f>ROUND((197000/1936.27),0)</f>
        <v>102</v>
      </c>
      <c r="O196" s="118"/>
      <c r="P196" s="118">
        <v>159</v>
      </c>
      <c r="Q196" s="118"/>
      <c r="R196" s="118">
        <v>115</v>
      </c>
      <c r="S196" s="118"/>
      <c r="T196" s="118">
        <v>144</v>
      </c>
      <c r="U196" s="118"/>
      <c r="V196" s="118">
        <v>126</v>
      </c>
      <c r="W196" s="118"/>
    </row>
    <row r="197" spans="1:23" ht="12.75">
      <c r="A197" s="22"/>
      <c r="B197" s="14"/>
      <c r="C197" s="14" t="s">
        <v>37</v>
      </c>
      <c r="D197" s="21"/>
      <c r="F197" s="118">
        <f>ROUND(1903*1000/1936.27,0)</f>
        <v>983</v>
      </c>
      <c r="G197" s="163"/>
      <c r="H197" s="118">
        <f>ROUND(2313*1000/1936.27,0)</f>
        <v>1195</v>
      </c>
      <c r="I197" s="163"/>
      <c r="J197" s="118">
        <f>ROUND(2530*1000/1936.27,0)</f>
        <v>1307</v>
      </c>
      <c r="K197" s="163"/>
      <c r="L197" s="118">
        <f>ROUND(2741*1000/1936.27,0)+1</f>
        <v>1417</v>
      </c>
      <c r="M197" s="83">
        <f>ROUND(30000/1936.27,0)</f>
        <v>15</v>
      </c>
      <c r="N197" s="118">
        <f>ROUND((2955000/1936.27),0)</f>
        <v>1526</v>
      </c>
      <c r="O197" s="83"/>
      <c r="P197" s="118">
        <v>1542</v>
      </c>
      <c r="Q197" s="83">
        <v>26</v>
      </c>
      <c r="R197" s="118">
        <v>1718</v>
      </c>
      <c r="S197" s="83">
        <v>10</v>
      </c>
      <c r="T197" s="118">
        <v>1805</v>
      </c>
      <c r="U197" s="83"/>
      <c r="V197" s="118">
        <v>2019</v>
      </c>
      <c r="W197" s="83">
        <v>90</v>
      </c>
    </row>
    <row r="198" spans="1:23" ht="12.75">
      <c r="A198" s="22"/>
      <c r="B198" s="14"/>
      <c r="C198" s="14" t="s">
        <v>38</v>
      </c>
      <c r="D198" s="21"/>
      <c r="F198" s="118">
        <f>ROUND(0*1000/1936.27,0)</f>
        <v>0</v>
      </c>
      <c r="G198" s="163"/>
      <c r="H198" s="118">
        <f>ROUND(0*1000/1936.27,0)</f>
        <v>0</v>
      </c>
      <c r="I198" s="163"/>
      <c r="J198" s="118">
        <f>ROUND(0*1000/1936.27,0)</f>
        <v>0</v>
      </c>
      <c r="K198" s="163"/>
      <c r="L198" s="118">
        <v>0</v>
      </c>
      <c r="M198" s="83"/>
      <c r="N198" s="118">
        <v>0</v>
      </c>
      <c r="O198" s="83"/>
      <c r="P198" s="118">
        <v>26</v>
      </c>
      <c r="Q198" s="83"/>
      <c r="R198" s="118">
        <v>30</v>
      </c>
      <c r="S198" s="83"/>
      <c r="T198" s="118">
        <v>40</v>
      </c>
      <c r="U198" s="83"/>
      <c r="V198" s="118">
        <v>29</v>
      </c>
      <c r="W198" s="83"/>
    </row>
    <row r="199" spans="1:23" ht="12.75">
      <c r="A199" s="22"/>
      <c r="B199" s="14"/>
      <c r="C199" s="14" t="s">
        <v>39</v>
      </c>
      <c r="D199" s="21"/>
      <c r="F199" s="118">
        <f>ROUND(37*1000/1936.27,0)</f>
        <v>19</v>
      </c>
      <c r="G199" s="163"/>
      <c r="H199" s="118">
        <f>ROUND(12*1000/1936.27,0)</f>
        <v>6</v>
      </c>
      <c r="I199" s="163"/>
      <c r="J199" s="118">
        <f>ROUND(68*1000/1936.27,0)</f>
        <v>35</v>
      </c>
      <c r="K199" s="163"/>
      <c r="L199" s="118">
        <f>ROUND(56*1000/1936.27,0)</f>
        <v>29</v>
      </c>
      <c r="M199" s="83"/>
      <c r="N199" s="118">
        <f>ROUND((56000/1936.27),0)</f>
        <v>29</v>
      </c>
      <c r="O199" s="83"/>
      <c r="P199" s="118">
        <v>29</v>
      </c>
      <c r="Q199" s="83"/>
      <c r="R199" s="118">
        <v>35</v>
      </c>
      <c r="S199" s="83"/>
      <c r="T199" s="118">
        <v>44</v>
      </c>
      <c r="U199" s="83"/>
      <c r="V199" s="118">
        <v>49</v>
      </c>
      <c r="W199" s="83"/>
    </row>
    <row r="200" spans="1:23" ht="12.75">
      <c r="A200" s="22"/>
      <c r="B200" s="14"/>
      <c r="C200" s="14" t="s">
        <v>154</v>
      </c>
      <c r="D200" s="21"/>
      <c r="F200" s="118">
        <f>ROUND((510-37)*1000/1936.27,0)</f>
        <v>244</v>
      </c>
      <c r="G200" s="163"/>
      <c r="H200" s="118">
        <f>ROUND((686-12)*1000/1936.27,0)</f>
        <v>348</v>
      </c>
      <c r="I200" s="163"/>
      <c r="J200" s="118">
        <f>ROUND((697-68)*1000/1936.27,0)</f>
        <v>325</v>
      </c>
      <c r="K200" s="163"/>
      <c r="L200" s="118">
        <f>ROUND((693-56)*1000/1936.27,0)</f>
        <v>329</v>
      </c>
      <c r="M200" s="83"/>
      <c r="N200" s="118">
        <f>ROUND((760000/1936.27),0)</f>
        <v>393</v>
      </c>
      <c r="O200" s="83"/>
      <c r="P200" s="118">
        <v>441</v>
      </c>
      <c r="Q200" s="83"/>
      <c r="R200" s="118">
        <v>474</v>
      </c>
      <c r="S200" s="83"/>
      <c r="T200" s="118">
        <v>506</v>
      </c>
      <c r="U200" s="83"/>
      <c r="V200" s="118">
        <v>566</v>
      </c>
      <c r="W200" s="83"/>
    </row>
    <row r="201" spans="1:23" ht="12.75">
      <c r="A201" s="22"/>
      <c r="B201" s="14"/>
      <c r="C201" s="14" t="s">
        <v>155</v>
      </c>
      <c r="D201" s="21"/>
      <c r="F201" s="118">
        <v>32</v>
      </c>
      <c r="G201" s="118">
        <v>0</v>
      </c>
      <c r="H201" s="118">
        <v>265</v>
      </c>
      <c r="I201" s="118">
        <v>0</v>
      </c>
      <c r="J201" s="118">
        <v>314</v>
      </c>
      <c r="K201" s="118">
        <v>0</v>
      </c>
      <c r="L201" s="118">
        <v>311</v>
      </c>
      <c r="M201" s="118">
        <v>0</v>
      </c>
      <c r="N201" s="118">
        <v>315</v>
      </c>
      <c r="O201" s="118">
        <v>0</v>
      </c>
      <c r="P201" s="118">
        <v>371</v>
      </c>
      <c r="Q201" s="118">
        <v>0</v>
      </c>
      <c r="R201" s="118">
        <v>459</v>
      </c>
      <c r="S201" s="118">
        <v>0</v>
      </c>
      <c r="T201" s="118">
        <v>425</v>
      </c>
      <c r="U201" s="118">
        <v>0</v>
      </c>
      <c r="V201" s="118">
        <v>421</v>
      </c>
      <c r="W201" s="118"/>
    </row>
    <row r="202" spans="1:23" ht="12.75">
      <c r="A202" s="71"/>
      <c r="B202" s="72" t="s">
        <v>43</v>
      </c>
      <c r="C202" s="73"/>
      <c r="D202" s="74"/>
      <c r="F202" s="119">
        <f aca="true" t="shared" si="43" ref="F202:U202">SUM(F203:F208)</f>
        <v>1722</v>
      </c>
      <c r="G202" s="119">
        <f t="shared" si="43"/>
        <v>0</v>
      </c>
      <c r="H202" s="119">
        <f t="shared" si="43"/>
        <v>1924</v>
      </c>
      <c r="I202" s="119">
        <f t="shared" si="43"/>
        <v>0</v>
      </c>
      <c r="J202" s="119">
        <f t="shared" si="43"/>
        <v>2164</v>
      </c>
      <c r="K202" s="119">
        <f t="shared" si="43"/>
        <v>21</v>
      </c>
      <c r="L202" s="119">
        <f t="shared" si="43"/>
        <v>2768</v>
      </c>
      <c r="M202" s="119">
        <f t="shared" si="43"/>
        <v>480</v>
      </c>
      <c r="N202" s="119">
        <f t="shared" si="43"/>
        <v>2609</v>
      </c>
      <c r="O202" s="119">
        <f t="shared" si="43"/>
        <v>0</v>
      </c>
      <c r="P202" s="119">
        <f t="shared" si="43"/>
        <v>2694</v>
      </c>
      <c r="Q202" s="119">
        <f t="shared" si="43"/>
        <v>0</v>
      </c>
      <c r="R202" s="119">
        <f t="shared" si="43"/>
        <v>2999</v>
      </c>
      <c r="S202" s="119">
        <f t="shared" si="43"/>
        <v>4</v>
      </c>
      <c r="T202" s="119">
        <f t="shared" si="43"/>
        <v>3001</v>
      </c>
      <c r="U202" s="119">
        <f t="shared" si="43"/>
        <v>5</v>
      </c>
      <c r="V202" s="119">
        <f>SUM(V203:V208)</f>
        <v>3190</v>
      </c>
      <c r="W202" s="119">
        <f>SUM(W203:W208)</f>
        <v>2</v>
      </c>
    </row>
    <row r="203" spans="1:23" ht="12.75">
      <c r="A203" s="22"/>
      <c r="B203" s="14"/>
      <c r="C203" s="14" t="s">
        <v>36</v>
      </c>
      <c r="D203" s="21"/>
      <c r="F203" s="118">
        <f>ROUND(103*1000/1936.27,0)-1</f>
        <v>52</v>
      </c>
      <c r="G203" s="118"/>
      <c r="H203" s="118">
        <f>ROUND(189*1000/1936.27,0)+1</f>
        <v>99</v>
      </c>
      <c r="I203" s="118"/>
      <c r="J203" s="118">
        <f>ROUND(221*1000/1936.27,0)+1</f>
        <v>115</v>
      </c>
      <c r="K203" s="118">
        <v>21</v>
      </c>
      <c r="L203" s="118">
        <f>ROUND(289*1000/1936.27,0)</f>
        <v>149</v>
      </c>
      <c r="M203" s="118"/>
      <c r="N203" s="118">
        <f>ROUND((281000/1936.27),0)</f>
        <v>145</v>
      </c>
      <c r="O203" s="118"/>
      <c r="P203" s="118">
        <v>89</v>
      </c>
      <c r="Q203" s="118"/>
      <c r="R203" s="118">
        <v>70</v>
      </c>
      <c r="S203" s="118"/>
      <c r="T203" s="118">
        <v>138</v>
      </c>
      <c r="U203" s="118"/>
      <c r="V203" s="118">
        <v>155</v>
      </c>
      <c r="W203" s="118"/>
    </row>
    <row r="204" spans="1:23" ht="12.75">
      <c r="A204" s="22"/>
      <c r="B204" s="14"/>
      <c r="C204" s="14" t="s">
        <v>37</v>
      </c>
      <c r="D204" s="21"/>
      <c r="F204" s="118">
        <f>ROUND(2529*1000/1936.27,0)</f>
        <v>1306</v>
      </c>
      <c r="G204" s="163"/>
      <c r="H204" s="118">
        <f>ROUND(2727*1000/1936.27,0)</f>
        <v>1408</v>
      </c>
      <c r="I204" s="163"/>
      <c r="J204" s="118">
        <f>ROUND(3031*1000/1936.27,0)</f>
        <v>1565</v>
      </c>
      <c r="K204" s="163"/>
      <c r="L204" s="118">
        <f>ROUND(3239*1000/1936.27,0)</f>
        <v>1673</v>
      </c>
      <c r="M204" s="83">
        <f>ROUND(87000/1936.27,0)</f>
        <v>45</v>
      </c>
      <c r="N204" s="118">
        <f>ROUND((3597000/1936.27),0)</f>
        <v>1858</v>
      </c>
      <c r="O204" s="83"/>
      <c r="P204" s="118">
        <v>1753</v>
      </c>
      <c r="Q204" s="83"/>
      <c r="R204" s="118">
        <v>2070</v>
      </c>
      <c r="S204" s="83"/>
      <c r="T204" s="118">
        <v>1922</v>
      </c>
      <c r="U204" s="83"/>
      <c r="V204" s="118">
        <v>2060</v>
      </c>
      <c r="W204" s="83"/>
    </row>
    <row r="205" spans="1:23" ht="12.75">
      <c r="A205" s="22"/>
      <c r="B205" s="14"/>
      <c r="C205" s="14" t="s">
        <v>38</v>
      </c>
      <c r="D205" s="21"/>
      <c r="F205" s="118">
        <f>ROUND(0*1000/1936.27,0)</f>
        <v>0</v>
      </c>
      <c r="G205" s="163"/>
      <c r="H205" s="118">
        <f>ROUND(0*1000/1936.27,0)</f>
        <v>0</v>
      </c>
      <c r="I205" s="163"/>
      <c r="J205" s="118">
        <f>ROUND(0*1000/1936.27,0)</f>
        <v>0</v>
      </c>
      <c r="K205" s="163"/>
      <c r="L205" s="118">
        <v>0</v>
      </c>
      <c r="M205" s="83"/>
      <c r="N205" s="118">
        <v>0</v>
      </c>
      <c r="O205" s="83"/>
      <c r="P205" s="118">
        <v>24</v>
      </c>
      <c r="Q205" s="83"/>
      <c r="R205" s="118">
        <v>39</v>
      </c>
      <c r="S205" s="83"/>
      <c r="T205" s="118">
        <v>41</v>
      </c>
      <c r="U205" s="83"/>
      <c r="V205" s="118">
        <v>32</v>
      </c>
      <c r="W205" s="83"/>
    </row>
    <row r="206" spans="1:23" ht="12.75">
      <c r="A206" s="22"/>
      <c r="B206" s="14"/>
      <c r="C206" s="14" t="s">
        <v>39</v>
      </c>
      <c r="D206" s="21"/>
      <c r="F206" s="118">
        <f>ROUND(0*1000/1936.27,0)</f>
        <v>0</v>
      </c>
      <c r="G206" s="163"/>
      <c r="H206" s="118">
        <f>ROUND(0*1000/1936.27,0)</f>
        <v>0</v>
      </c>
      <c r="I206" s="163"/>
      <c r="J206" s="118">
        <v>0</v>
      </c>
      <c r="K206" s="163"/>
      <c r="L206" s="118">
        <f>ROUND(0*1000/1936.27,0)</f>
        <v>0</v>
      </c>
      <c r="M206" s="83"/>
      <c r="N206" s="118">
        <v>0</v>
      </c>
      <c r="O206" s="83"/>
      <c r="P206" s="118"/>
      <c r="Q206" s="83"/>
      <c r="R206" s="118"/>
      <c r="S206" s="83"/>
      <c r="T206" s="118"/>
      <c r="U206" s="83"/>
      <c r="V206" s="118"/>
      <c r="W206" s="83"/>
    </row>
    <row r="207" spans="1:23" ht="14.25" customHeight="1">
      <c r="A207" s="22"/>
      <c r="B207" s="14"/>
      <c r="C207" s="14" t="s">
        <v>154</v>
      </c>
      <c r="D207" s="21"/>
      <c r="F207" s="118">
        <f>ROUND(669*1000/1936.27,0)</f>
        <v>346</v>
      </c>
      <c r="G207" s="163"/>
      <c r="H207" s="118">
        <f>ROUND(756*1000/1936.27,0)</f>
        <v>390</v>
      </c>
      <c r="I207" s="163"/>
      <c r="J207" s="118">
        <f>ROUND(885*1000/1936.27,0)</f>
        <v>457</v>
      </c>
      <c r="K207" s="163"/>
      <c r="L207" s="118">
        <f>ROUND(926*1000/1936.27,0)</f>
        <v>478</v>
      </c>
      <c r="M207" s="83"/>
      <c r="N207" s="118">
        <f>ROUND((1139000/1936.27),0)</f>
        <v>588</v>
      </c>
      <c r="O207" s="83"/>
      <c r="P207" s="118">
        <v>634</v>
      </c>
      <c r="Q207" s="83"/>
      <c r="R207" s="118">
        <v>622</v>
      </c>
      <c r="S207" s="83"/>
      <c r="T207" s="118">
        <v>741</v>
      </c>
      <c r="U207" s="83"/>
      <c r="V207" s="118">
        <v>828</v>
      </c>
      <c r="W207" s="83"/>
    </row>
    <row r="208" spans="1:41" ht="12.75">
      <c r="A208" s="22"/>
      <c r="B208" s="14"/>
      <c r="C208" s="14" t="s">
        <v>155</v>
      </c>
      <c r="D208" s="21"/>
      <c r="F208" s="118">
        <v>18</v>
      </c>
      <c r="G208" s="118">
        <v>0</v>
      </c>
      <c r="H208" s="118">
        <v>27</v>
      </c>
      <c r="I208" s="118">
        <v>0</v>
      </c>
      <c r="J208" s="118">
        <v>27</v>
      </c>
      <c r="K208" s="118">
        <v>0</v>
      </c>
      <c r="L208" s="118">
        <v>468</v>
      </c>
      <c r="M208" s="118">
        <v>435</v>
      </c>
      <c r="N208" s="118">
        <v>18</v>
      </c>
      <c r="O208" s="118">
        <v>0</v>
      </c>
      <c r="P208" s="118">
        <v>194</v>
      </c>
      <c r="Q208" s="118">
        <v>0</v>
      </c>
      <c r="R208" s="118">
        <v>198</v>
      </c>
      <c r="S208" s="118">
        <v>4</v>
      </c>
      <c r="T208" s="118">
        <v>159</v>
      </c>
      <c r="U208" s="118">
        <v>5</v>
      </c>
      <c r="V208" s="118">
        <v>115</v>
      </c>
      <c r="W208" s="118">
        <v>2</v>
      </c>
      <c r="X208" s="118">
        <v>0</v>
      </c>
      <c r="Y208" s="118">
        <v>0</v>
      </c>
      <c r="Z208" s="118">
        <v>0</v>
      </c>
      <c r="AA208" s="118">
        <v>0</v>
      </c>
      <c r="AB208" s="118">
        <v>0</v>
      </c>
      <c r="AC208" s="118">
        <v>0</v>
      </c>
      <c r="AD208" s="118">
        <v>0</v>
      </c>
      <c r="AE208" s="118">
        <v>0</v>
      </c>
      <c r="AF208" s="118">
        <v>0</v>
      </c>
      <c r="AG208" s="118">
        <v>0</v>
      </c>
      <c r="AH208" s="118">
        <v>0</v>
      </c>
      <c r="AI208" s="118">
        <v>0</v>
      </c>
      <c r="AJ208" s="118">
        <v>0</v>
      </c>
      <c r="AK208" s="118">
        <v>0</v>
      </c>
      <c r="AL208" s="118">
        <v>0</v>
      </c>
      <c r="AM208" s="118">
        <v>0</v>
      </c>
      <c r="AN208" s="118">
        <v>0</v>
      </c>
      <c r="AO208" s="118">
        <v>0</v>
      </c>
    </row>
    <row r="209" spans="1:23" ht="12.75">
      <c r="A209" s="71"/>
      <c r="B209" s="72" t="s">
        <v>44</v>
      </c>
      <c r="C209" s="73"/>
      <c r="D209" s="74"/>
      <c r="F209" s="119">
        <f aca="true" t="shared" si="44" ref="F209:U209">SUM(F210:F215)</f>
        <v>2670</v>
      </c>
      <c r="G209" s="119">
        <f t="shared" si="44"/>
        <v>0</v>
      </c>
      <c r="H209" s="119">
        <f t="shared" si="44"/>
        <v>2819</v>
      </c>
      <c r="I209" s="119">
        <f t="shared" si="44"/>
        <v>0</v>
      </c>
      <c r="J209" s="119">
        <f t="shared" si="44"/>
        <v>3149</v>
      </c>
      <c r="K209" s="119">
        <f t="shared" si="44"/>
        <v>0</v>
      </c>
      <c r="L209" s="119">
        <f t="shared" si="44"/>
        <v>3287</v>
      </c>
      <c r="M209" s="119">
        <f t="shared" si="44"/>
        <v>0</v>
      </c>
      <c r="N209" s="119">
        <f t="shared" si="44"/>
        <v>3312</v>
      </c>
      <c r="O209" s="119">
        <f t="shared" si="44"/>
        <v>0</v>
      </c>
      <c r="P209" s="119">
        <f t="shared" si="44"/>
        <v>3424</v>
      </c>
      <c r="Q209" s="119">
        <f t="shared" si="44"/>
        <v>0</v>
      </c>
      <c r="R209" s="119">
        <f t="shared" si="44"/>
        <v>3530</v>
      </c>
      <c r="S209" s="119">
        <f t="shared" si="44"/>
        <v>0</v>
      </c>
      <c r="T209" s="119">
        <f t="shared" si="44"/>
        <v>3386</v>
      </c>
      <c r="U209" s="119">
        <f t="shared" si="44"/>
        <v>0</v>
      </c>
      <c r="V209" s="119">
        <f>SUM(V210:V215)</f>
        <v>3492</v>
      </c>
      <c r="W209" s="119">
        <f>SUM(W210:W215)</f>
        <v>0</v>
      </c>
    </row>
    <row r="210" spans="1:23" ht="12.75">
      <c r="A210" s="22"/>
      <c r="B210" s="14"/>
      <c r="C210" s="14" t="s">
        <v>36</v>
      </c>
      <c r="D210" s="21"/>
      <c r="F210" s="118">
        <f>ROUND(152*1000/1936.27,0)-2</f>
        <v>77</v>
      </c>
      <c r="G210" s="118"/>
      <c r="H210" s="118">
        <f>ROUND(355*1000/1936.27,0)</f>
        <v>183</v>
      </c>
      <c r="I210" s="118"/>
      <c r="J210" s="118">
        <f>ROUND(348*1000/1936.27,0)</f>
        <v>180</v>
      </c>
      <c r="K210" s="118"/>
      <c r="L210" s="118">
        <f>ROUND(407*1000/1936.27,0)+2</f>
        <v>212</v>
      </c>
      <c r="M210" s="118"/>
      <c r="N210" s="118">
        <f>ROUND((502000/1936.27),0)</f>
        <v>259</v>
      </c>
      <c r="O210" s="118"/>
      <c r="P210" s="118">
        <v>206</v>
      </c>
      <c r="Q210" s="118"/>
      <c r="R210" s="118">
        <v>158</v>
      </c>
      <c r="S210" s="118"/>
      <c r="T210" s="118">
        <v>156</v>
      </c>
      <c r="U210" s="118"/>
      <c r="V210" s="118">
        <v>184</v>
      </c>
      <c r="W210" s="118"/>
    </row>
    <row r="211" spans="1:23" ht="12.75">
      <c r="A211" s="22"/>
      <c r="B211" s="14"/>
      <c r="C211" s="14" t="s">
        <v>37</v>
      </c>
      <c r="D211" s="21"/>
      <c r="F211" s="118">
        <f>ROUND(3947*1000/1936.27,0)</f>
        <v>2038</v>
      </c>
      <c r="G211" s="163"/>
      <c r="H211" s="118">
        <f>ROUND(4193*1000/1936.27,0)</f>
        <v>2166</v>
      </c>
      <c r="I211" s="163"/>
      <c r="J211" s="118">
        <f>ROUND(4384*1000/1936.27,0)</f>
        <v>2264</v>
      </c>
      <c r="K211" s="163"/>
      <c r="L211" s="118">
        <f>ROUND(4506*1000/1936.27,0)+1</f>
        <v>2328</v>
      </c>
      <c r="M211" s="83"/>
      <c r="N211" s="118">
        <f>ROUND((4314000/1936.27),0)</f>
        <v>2228</v>
      </c>
      <c r="O211" s="83"/>
      <c r="P211" s="118">
        <v>2309</v>
      </c>
      <c r="Q211" s="83"/>
      <c r="R211" s="118">
        <v>2417</v>
      </c>
      <c r="S211" s="83"/>
      <c r="T211" s="118">
        <v>2305</v>
      </c>
      <c r="U211" s="83"/>
      <c r="V211" s="118">
        <v>2281</v>
      </c>
      <c r="W211" s="83"/>
    </row>
    <row r="212" spans="1:23" ht="12.75">
      <c r="A212" s="22"/>
      <c r="B212" s="14"/>
      <c r="C212" s="14" t="s">
        <v>38</v>
      </c>
      <c r="D212" s="21"/>
      <c r="F212" s="118">
        <f>ROUND(0*1000/1936.27,0)</f>
        <v>0</v>
      </c>
      <c r="G212" s="163"/>
      <c r="H212" s="118">
        <f>ROUND(0*1000/1936.27,0)</f>
        <v>0</v>
      </c>
      <c r="I212" s="163"/>
      <c r="J212" s="118">
        <f>ROUND(0*1000/1936.27,0)</f>
        <v>0</v>
      </c>
      <c r="K212" s="163"/>
      <c r="L212" s="118">
        <v>0</v>
      </c>
      <c r="M212" s="83"/>
      <c r="N212" s="118">
        <v>0</v>
      </c>
      <c r="O212" s="83"/>
      <c r="P212" s="118">
        <v>46</v>
      </c>
      <c r="Q212" s="83"/>
      <c r="R212" s="118">
        <v>56</v>
      </c>
      <c r="S212" s="83"/>
      <c r="T212" s="118">
        <v>47</v>
      </c>
      <c r="U212" s="83"/>
      <c r="V212" s="118">
        <v>50</v>
      </c>
      <c r="W212" s="83"/>
    </row>
    <row r="213" spans="1:23" ht="12.75">
      <c r="A213" s="22"/>
      <c r="B213" s="14"/>
      <c r="C213" s="14" t="s">
        <v>39</v>
      </c>
      <c r="D213" s="21"/>
      <c r="F213" s="118">
        <f>ROUND(139*1000/1936.27,0)</f>
        <v>72</v>
      </c>
      <c r="G213" s="163"/>
      <c r="H213" s="118">
        <f>ROUND(0*1000/1936.27,0)</f>
        <v>0</v>
      </c>
      <c r="I213" s="163"/>
      <c r="J213" s="118">
        <f>ROUND(351*1000/1936.27,0)</f>
        <v>181</v>
      </c>
      <c r="K213" s="163"/>
      <c r="L213" s="118">
        <f>ROUND(262*1000/1936.27,0)</f>
        <v>135</v>
      </c>
      <c r="M213" s="83"/>
      <c r="N213" s="118">
        <f>ROUND((262000/1936.27),0)</f>
        <v>135</v>
      </c>
      <c r="O213" s="83"/>
      <c r="P213" s="118">
        <v>135</v>
      </c>
      <c r="Q213" s="83"/>
      <c r="R213" s="118">
        <v>169</v>
      </c>
      <c r="S213" s="83"/>
      <c r="T213" s="118">
        <v>214</v>
      </c>
      <c r="U213" s="83"/>
      <c r="V213" s="118">
        <v>238</v>
      </c>
      <c r="W213" s="83"/>
    </row>
    <row r="214" spans="1:23" ht="12.75">
      <c r="A214" s="22"/>
      <c r="B214" s="14"/>
      <c r="C214" s="14" t="s">
        <v>154</v>
      </c>
      <c r="D214" s="21"/>
      <c r="F214" s="118">
        <f>ROUND((1062-139)*1000/1936.27,0)</f>
        <v>477</v>
      </c>
      <c r="G214" s="163"/>
      <c r="H214" s="118">
        <f>ROUND(876*1000/1936.27,0)</f>
        <v>452</v>
      </c>
      <c r="I214" s="163"/>
      <c r="J214" s="118">
        <f>ROUND((1331-351)*1000/1936.27,0)</f>
        <v>506</v>
      </c>
      <c r="K214" s="163"/>
      <c r="L214" s="118">
        <f>ROUND((1405-262)*1000/1936.27,0)</f>
        <v>590</v>
      </c>
      <c r="M214" s="83"/>
      <c r="N214" s="118">
        <f>ROUND((1295000/1936.27),0)</f>
        <v>669</v>
      </c>
      <c r="O214" s="83"/>
      <c r="P214" s="118">
        <v>656</v>
      </c>
      <c r="Q214" s="83"/>
      <c r="R214" s="118">
        <v>650</v>
      </c>
      <c r="S214" s="83"/>
      <c r="T214" s="118">
        <v>584</v>
      </c>
      <c r="U214" s="83"/>
      <c r="V214" s="118">
        <v>662</v>
      </c>
      <c r="W214" s="83"/>
    </row>
    <row r="215" spans="1:23" ht="12.75">
      <c r="A215" s="22"/>
      <c r="B215" s="14"/>
      <c r="C215" s="14" t="s">
        <v>155</v>
      </c>
      <c r="D215" s="21"/>
      <c r="F215" s="114">
        <v>6</v>
      </c>
      <c r="G215" s="114">
        <v>0</v>
      </c>
      <c r="H215" s="118">
        <v>18</v>
      </c>
      <c r="I215" s="118">
        <v>0</v>
      </c>
      <c r="J215" s="118">
        <v>18</v>
      </c>
      <c r="K215" s="118">
        <v>0</v>
      </c>
      <c r="L215" s="118">
        <v>22</v>
      </c>
      <c r="M215" s="118">
        <v>0</v>
      </c>
      <c r="N215" s="118">
        <v>21</v>
      </c>
      <c r="O215" s="118">
        <v>0</v>
      </c>
      <c r="P215" s="118">
        <v>72</v>
      </c>
      <c r="Q215" s="118">
        <v>0</v>
      </c>
      <c r="R215" s="118">
        <v>80</v>
      </c>
      <c r="S215" s="118">
        <v>0</v>
      </c>
      <c r="T215" s="118">
        <v>80</v>
      </c>
      <c r="U215" s="118">
        <v>0</v>
      </c>
      <c r="V215" s="118">
        <v>77</v>
      </c>
      <c r="W215" s="118"/>
    </row>
    <row r="216" spans="1:23" ht="12.75">
      <c r="A216" s="71"/>
      <c r="B216" s="72" t="s">
        <v>45</v>
      </c>
      <c r="C216" s="73"/>
      <c r="D216" s="74"/>
      <c r="F216" s="117">
        <f aca="true" t="shared" si="45" ref="F216:U216">SUM(F217:F222)</f>
        <v>2606</v>
      </c>
      <c r="G216" s="117">
        <f t="shared" si="45"/>
        <v>0</v>
      </c>
      <c r="H216" s="119">
        <f t="shared" si="45"/>
        <v>2725</v>
      </c>
      <c r="I216" s="119">
        <f t="shared" si="45"/>
        <v>0</v>
      </c>
      <c r="J216" s="119">
        <f t="shared" si="45"/>
        <v>2991</v>
      </c>
      <c r="K216" s="119">
        <f t="shared" si="45"/>
        <v>0</v>
      </c>
      <c r="L216" s="119">
        <f t="shared" si="45"/>
        <v>3212</v>
      </c>
      <c r="M216" s="119">
        <f t="shared" si="45"/>
        <v>42</v>
      </c>
      <c r="N216" s="119">
        <f t="shared" si="45"/>
        <v>3484</v>
      </c>
      <c r="O216" s="119">
        <f t="shared" si="45"/>
        <v>0</v>
      </c>
      <c r="P216" s="119">
        <f t="shared" si="45"/>
        <v>3564</v>
      </c>
      <c r="Q216" s="119">
        <f t="shared" si="45"/>
        <v>0</v>
      </c>
      <c r="R216" s="119">
        <f t="shared" si="45"/>
        <v>3958</v>
      </c>
      <c r="S216" s="119">
        <f t="shared" si="45"/>
        <v>0</v>
      </c>
      <c r="T216" s="119">
        <f t="shared" si="45"/>
        <v>4002</v>
      </c>
      <c r="U216" s="119">
        <f t="shared" si="45"/>
        <v>0</v>
      </c>
      <c r="V216" s="119">
        <f>SUM(V217:V222)</f>
        <v>4281</v>
      </c>
      <c r="W216" s="119">
        <f>SUM(W217:W222)</f>
        <v>2</v>
      </c>
    </row>
    <row r="217" spans="1:23" ht="12.75">
      <c r="A217" s="22"/>
      <c r="B217" s="14"/>
      <c r="C217" s="14" t="s">
        <v>36</v>
      </c>
      <c r="D217" s="26"/>
      <c r="F217" s="118">
        <f>ROUND(127*1000/1936.27,0)-1</f>
        <v>65</v>
      </c>
      <c r="G217" s="118"/>
      <c r="H217" s="118">
        <f>ROUND(325*1000/1936.27,0)</f>
        <v>168</v>
      </c>
      <c r="I217" s="118"/>
      <c r="J217" s="118">
        <f>ROUND(550*1000/1936.27,0)</f>
        <v>284</v>
      </c>
      <c r="K217" s="118"/>
      <c r="L217" s="118">
        <f>ROUND(305*1000/1936.27,0)</f>
        <v>158</v>
      </c>
      <c r="M217" s="118"/>
      <c r="N217" s="118">
        <f>ROUND((307000/1936.27),0)</f>
        <v>159</v>
      </c>
      <c r="O217" s="118"/>
      <c r="P217" s="118">
        <v>192</v>
      </c>
      <c r="Q217" s="118"/>
      <c r="R217" s="118">
        <v>198</v>
      </c>
      <c r="S217" s="118"/>
      <c r="T217" s="118">
        <v>187</v>
      </c>
      <c r="U217" s="118"/>
      <c r="V217" s="118">
        <v>184</v>
      </c>
      <c r="W217" s="118">
        <v>2</v>
      </c>
    </row>
    <row r="218" spans="1:23" ht="12.75">
      <c r="A218" s="22"/>
      <c r="B218" s="14"/>
      <c r="C218" s="14" t="s">
        <v>37</v>
      </c>
      <c r="D218" s="21"/>
      <c r="F218" s="118">
        <f>ROUND(4073*1000/1936.27,0)</f>
        <v>2104</v>
      </c>
      <c r="G218" s="163"/>
      <c r="H218" s="118">
        <f>ROUND(3976*1000/1936.27,0)</f>
        <v>2053</v>
      </c>
      <c r="I218" s="163"/>
      <c r="J218" s="118">
        <f>ROUND(4057*1000/1936.27,0)</f>
        <v>2095</v>
      </c>
      <c r="K218" s="163"/>
      <c r="L218" s="118">
        <f>ROUND(4748*1000/1936.27,0)+1</f>
        <v>2453</v>
      </c>
      <c r="M218" s="83">
        <f>ROUND(81600/1936.27,0)</f>
        <v>42</v>
      </c>
      <c r="N218" s="118">
        <f>ROUND((4982000/1936.27),0)</f>
        <v>2573</v>
      </c>
      <c r="O218" s="83"/>
      <c r="P218" s="118">
        <v>2528</v>
      </c>
      <c r="Q218" s="83"/>
      <c r="R218" s="118">
        <v>2798</v>
      </c>
      <c r="S218" s="83"/>
      <c r="T218" s="118">
        <v>2787</v>
      </c>
      <c r="U218" s="83"/>
      <c r="V218" s="118">
        <v>3043</v>
      </c>
      <c r="W218" s="83"/>
    </row>
    <row r="219" spans="1:23" ht="12.75">
      <c r="A219" s="22"/>
      <c r="B219" s="14"/>
      <c r="C219" s="14" t="s">
        <v>38</v>
      </c>
      <c r="D219" s="21"/>
      <c r="F219" s="118">
        <f>ROUND(0*1000/1936.27,0)</f>
        <v>0</v>
      </c>
      <c r="G219" s="163"/>
      <c r="H219" s="118">
        <f>ROUND(0*1000/1936.27,0)</f>
        <v>0</v>
      </c>
      <c r="I219" s="163"/>
      <c r="J219" s="118">
        <f>ROUND(0*1000/1936.27,0)</f>
        <v>0</v>
      </c>
      <c r="K219" s="163"/>
      <c r="L219" s="118">
        <v>0</v>
      </c>
      <c r="M219" s="83"/>
      <c r="N219" s="118">
        <v>0</v>
      </c>
      <c r="O219" s="83"/>
      <c r="P219" s="118">
        <v>59</v>
      </c>
      <c r="Q219" s="83"/>
      <c r="R219" s="118">
        <v>46</v>
      </c>
      <c r="S219" s="83"/>
      <c r="T219" s="118">
        <v>78</v>
      </c>
      <c r="U219" s="83"/>
      <c r="V219" s="118">
        <v>63</v>
      </c>
      <c r="W219" s="83"/>
    </row>
    <row r="220" spans="1:23" ht="12.75">
      <c r="A220" s="22"/>
      <c r="B220" s="14"/>
      <c r="C220" s="14" t="s">
        <v>39</v>
      </c>
      <c r="D220" s="21"/>
      <c r="F220" s="118">
        <f>ROUND(89*1000/1936.27,0)</f>
        <v>46</v>
      </c>
      <c r="G220" s="163"/>
      <c r="H220" s="118">
        <f>ROUND(25*1000/1936.27,0)</f>
        <v>13</v>
      </c>
      <c r="I220" s="163"/>
      <c r="J220" s="118">
        <f>ROUND(136*1000/1936.27,0)</f>
        <v>70</v>
      </c>
      <c r="K220" s="163"/>
      <c r="L220" s="118">
        <f>ROUND(113*1000/1936.27,0)</f>
        <v>58</v>
      </c>
      <c r="M220" s="83"/>
      <c r="N220" s="118">
        <f>ROUND((98000/1936.27),0)</f>
        <v>51</v>
      </c>
      <c r="O220" s="83"/>
      <c r="P220" s="118">
        <v>108</v>
      </c>
      <c r="Q220" s="83"/>
      <c r="R220" s="118">
        <v>83</v>
      </c>
      <c r="S220" s="83"/>
      <c r="T220" s="118">
        <v>123</v>
      </c>
      <c r="U220" s="83"/>
      <c r="V220" s="118">
        <v>127</v>
      </c>
      <c r="W220" s="83"/>
    </row>
    <row r="221" spans="1:23" ht="12.75">
      <c r="A221" s="22"/>
      <c r="B221" s="14"/>
      <c r="C221" s="14" t="s">
        <v>154</v>
      </c>
      <c r="D221" s="21"/>
      <c r="F221" s="118">
        <f>ROUND((825-89)*1000/1936.27,0)</f>
        <v>380</v>
      </c>
      <c r="G221" s="163"/>
      <c r="H221" s="118">
        <f>ROUND((815-25)*1000/1936.27,0)</f>
        <v>408</v>
      </c>
      <c r="I221" s="163"/>
      <c r="J221" s="118">
        <f>ROUND((989-136)*1000/1936.27,0)</f>
        <v>441</v>
      </c>
      <c r="K221" s="163"/>
      <c r="L221" s="118">
        <f>ROUND((975-113)*1000/1936.27,0)</f>
        <v>445</v>
      </c>
      <c r="M221" s="83"/>
      <c r="N221" s="118">
        <f>ROUND((1143000/1936.27),0)</f>
        <v>590</v>
      </c>
      <c r="O221" s="83"/>
      <c r="P221" s="118">
        <v>583</v>
      </c>
      <c r="Q221" s="83"/>
      <c r="R221" s="118">
        <v>718</v>
      </c>
      <c r="S221" s="83"/>
      <c r="T221" s="118">
        <v>730</v>
      </c>
      <c r="U221" s="83"/>
      <c r="V221" s="118">
        <v>757</v>
      </c>
      <c r="W221" s="83"/>
    </row>
    <row r="222" spans="1:23" ht="12.75">
      <c r="A222" s="69"/>
      <c r="B222" s="28"/>
      <c r="C222" s="28" t="s">
        <v>155</v>
      </c>
      <c r="D222" s="70"/>
      <c r="E222" s="196"/>
      <c r="F222" s="114">
        <v>11</v>
      </c>
      <c r="G222" s="114">
        <v>0</v>
      </c>
      <c r="H222" s="114">
        <v>83</v>
      </c>
      <c r="I222" s="114">
        <v>0</v>
      </c>
      <c r="J222" s="114">
        <v>101</v>
      </c>
      <c r="K222" s="114">
        <v>0</v>
      </c>
      <c r="L222" s="114">
        <v>98</v>
      </c>
      <c r="M222" s="114">
        <v>0</v>
      </c>
      <c r="N222" s="114">
        <v>111</v>
      </c>
      <c r="O222" s="114">
        <v>0</v>
      </c>
      <c r="P222" s="114">
        <v>94</v>
      </c>
      <c r="Q222" s="114">
        <v>0</v>
      </c>
      <c r="R222" s="114">
        <v>115</v>
      </c>
      <c r="S222" s="114">
        <v>0</v>
      </c>
      <c r="T222" s="114">
        <v>97</v>
      </c>
      <c r="U222" s="114">
        <v>0</v>
      </c>
      <c r="V222" s="114">
        <v>107</v>
      </c>
      <c r="W222" s="114"/>
    </row>
    <row r="223" spans="1:23" ht="12.75">
      <c r="A223" s="71"/>
      <c r="B223" s="72" t="s">
        <v>46</v>
      </c>
      <c r="C223" s="73"/>
      <c r="D223" s="74"/>
      <c r="E223" s="78"/>
      <c r="F223" s="119">
        <f aca="true" t="shared" si="46" ref="F223:M223">SUM(F224:F229)</f>
        <v>2757</v>
      </c>
      <c r="G223" s="119">
        <f t="shared" si="46"/>
        <v>0</v>
      </c>
      <c r="H223" s="119">
        <f t="shared" si="46"/>
        <v>3059</v>
      </c>
      <c r="I223" s="119">
        <f t="shared" si="46"/>
        <v>0</v>
      </c>
      <c r="J223" s="119">
        <f t="shared" si="46"/>
        <v>3122</v>
      </c>
      <c r="K223" s="119">
        <f t="shared" si="46"/>
        <v>0</v>
      </c>
      <c r="L223" s="119">
        <f t="shared" si="46"/>
        <v>3371.5</v>
      </c>
      <c r="M223" s="119">
        <f t="shared" si="46"/>
        <v>0</v>
      </c>
      <c r="N223" s="119">
        <f>SUM(N224:N229)-1</f>
        <v>3499</v>
      </c>
      <c r="O223" s="119">
        <f aca="true" t="shared" si="47" ref="O223:U223">SUM(O224:O229)</f>
        <v>0</v>
      </c>
      <c r="P223" s="119">
        <f t="shared" si="47"/>
        <v>3534</v>
      </c>
      <c r="Q223" s="119">
        <f t="shared" si="47"/>
        <v>0</v>
      </c>
      <c r="R223" s="119">
        <f t="shared" si="47"/>
        <v>3814</v>
      </c>
      <c r="S223" s="119">
        <f t="shared" si="47"/>
        <v>0</v>
      </c>
      <c r="T223" s="119">
        <f t="shared" si="47"/>
        <v>3838</v>
      </c>
      <c r="U223" s="119">
        <f t="shared" si="47"/>
        <v>0</v>
      </c>
      <c r="V223" s="119">
        <f>SUM(V224:V229)</f>
        <v>3823</v>
      </c>
      <c r="W223" s="119">
        <f>SUM(W224:W229)</f>
        <v>0</v>
      </c>
    </row>
    <row r="224" spans="1:23" ht="12.75">
      <c r="A224" s="22"/>
      <c r="B224" s="14"/>
      <c r="C224" s="14" t="s">
        <v>36</v>
      </c>
      <c r="D224" s="21"/>
      <c r="F224" s="118">
        <f>ROUND(147*1000/1936.27,0)</f>
        <v>76</v>
      </c>
      <c r="G224" s="118"/>
      <c r="H224" s="118">
        <f>ROUND(312*1000/1936.27,0)+1</f>
        <v>162</v>
      </c>
      <c r="I224" s="118"/>
      <c r="J224" s="118">
        <f>ROUND(347*1000/1936.27,0)</f>
        <v>179</v>
      </c>
      <c r="K224" s="118"/>
      <c r="L224" s="118">
        <f>ROUND(397*1000/1936.27,0)</f>
        <v>205</v>
      </c>
      <c r="M224" s="118"/>
      <c r="N224" s="118">
        <f>ROUND((448000/1936.27),0)</f>
        <v>231</v>
      </c>
      <c r="O224" s="118"/>
      <c r="P224" s="118">
        <v>197</v>
      </c>
      <c r="Q224" s="118"/>
      <c r="R224" s="118">
        <v>211</v>
      </c>
      <c r="S224" s="118"/>
      <c r="T224" s="118">
        <v>172</v>
      </c>
      <c r="U224" s="118"/>
      <c r="V224" s="118">
        <v>189</v>
      </c>
      <c r="W224" s="118"/>
    </row>
    <row r="225" spans="1:23" ht="12.75">
      <c r="A225" s="22"/>
      <c r="B225" s="14"/>
      <c r="C225" s="14" t="s">
        <v>37</v>
      </c>
      <c r="D225" s="21"/>
      <c r="F225" s="118">
        <f>ROUND(3852*1000/1936.27,0)</f>
        <v>1989</v>
      </c>
      <c r="G225" s="163"/>
      <c r="H225" s="118">
        <f>ROUND(4189*1000/1936.27,0)</f>
        <v>2163</v>
      </c>
      <c r="I225" s="163"/>
      <c r="J225" s="118">
        <f>ROUND(4364*1000/1936.27,0)</f>
        <v>2254</v>
      </c>
      <c r="K225" s="163"/>
      <c r="L225" s="118">
        <f>ROUND(4632*1000/1936.27,0)+0.5</f>
        <v>2392.5</v>
      </c>
      <c r="M225" s="83"/>
      <c r="N225" s="118">
        <f>ROUND((4482000/1936.27),0)</f>
        <v>2315</v>
      </c>
      <c r="O225" s="83"/>
      <c r="P225" s="118">
        <v>2265</v>
      </c>
      <c r="Q225" s="83"/>
      <c r="R225" s="118">
        <v>2499</v>
      </c>
      <c r="S225" s="83"/>
      <c r="T225" s="118">
        <v>2503</v>
      </c>
      <c r="U225" s="83"/>
      <c r="V225" s="118">
        <v>2492</v>
      </c>
      <c r="W225" s="83"/>
    </row>
    <row r="226" spans="1:23" ht="12.75">
      <c r="A226" s="22"/>
      <c r="B226" s="14"/>
      <c r="C226" s="14" t="s">
        <v>38</v>
      </c>
      <c r="D226" s="21"/>
      <c r="F226" s="118">
        <f>ROUND(0*1000/1936.27,0)</f>
        <v>0</v>
      </c>
      <c r="G226" s="163"/>
      <c r="H226" s="118">
        <f>ROUND(0*1000/1936.27,0)</f>
        <v>0</v>
      </c>
      <c r="I226" s="163"/>
      <c r="J226" s="118">
        <f>ROUND(0*1000/1936.27,0)</f>
        <v>0</v>
      </c>
      <c r="K226" s="163"/>
      <c r="L226" s="118">
        <v>0</v>
      </c>
      <c r="M226" s="83"/>
      <c r="N226" s="118">
        <v>0</v>
      </c>
      <c r="O226" s="83"/>
      <c r="P226" s="118">
        <v>32</v>
      </c>
      <c r="Q226" s="83"/>
      <c r="R226" s="118">
        <v>40</v>
      </c>
      <c r="S226" s="83"/>
      <c r="T226" s="118">
        <v>43</v>
      </c>
      <c r="U226" s="83"/>
      <c r="V226" s="118">
        <v>48</v>
      </c>
      <c r="W226" s="83"/>
    </row>
    <row r="227" spans="1:23" ht="12.75">
      <c r="A227" s="22"/>
      <c r="B227" s="14"/>
      <c r="C227" s="14" t="s">
        <v>39</v>
      </c>
      <c r="D227" s="21"/>
      <c r="F227" s="118">
        <f>ROUND(13*1000/1936.27,0)</f>
        <v>7</v>
      </c>
      <c r="G227" s="163"/>
      <c r="H227" s="118">
        <f>ROUND(0*1000/1936.27,0)</f>
        <v>0</v>
      </c>
      <c r="I227" s="163"/>
      <c r="J227" s="118">
        <v>0</v>
      </c>
      <c r="K227" s="163"/>
      <c r="L227" s="118">
        <v>0</v>
      </c>
      <c r="M227" s="83"/>
      <c r="N227" s="118">
        <f>ROUND((56000/1936.27),0)</f>
        <v>29</v>
      </c>
      <c r="O227" s="83"/>
      <c r="P227" s="118">
        <v>29</v>
      </c>
      <c r="Q227" s="83"/>
      <c r="R227" s="118">
        <v>35</v>
      </c>
      <c r="S227" s="83"/>
      <c r="T227" s="118">
        <v>44</v>
      </c>
      <c r="U227" s="83"/>
      <c r="V227" s="118">
        <v>60</v>
      </c>
      <c r="W227" s="83"/>
    </row>
    <row r="228" spans="1:23" ht="12.75">
      <c r="A228" s="22"/>
      <c r="B228" s="14"/>
      <c r="C228" s="14" t="s">
        <v>154</v>
      </c>
      <c r="D228" s="21"/>
      <c r="F228" s="118">
        <f>ROUND((1200)*1000/1936.27,0)</f>
        <v>620</v>
      </c>
      <c r="G228" s="163"/>
      <c r="H228" s="118">
        <f>ROUND(1272*1000/1936.27,0)</f>
        <v>657</v>
      </c>
      <c r="I228" s="163"/>
      <c r="J228" s="118">
        <f>ROUND(1271*1000/1936.27,0)</f>
        <v>656</v>
      </c>
      <c r="K228" s="163"/>
      <c r="L228" s="118">
        <f>ROUND(1301*1000/1936.27,0)</f>
        <v>672</v>
      </c>
      <c r="M228" s="83"/>
      <c r="N228" s="118">
        <f>ROUND((1587000/1936.27),0)</f>
        <v>820</v>
      </c>
      <c r="O228" s="83"/>
      <c r="P228" s="118">
        <v>849</v>
      </c>
      <c r="Q228" s="83"/>
      <c r="R228" s="118">
        <v>898</v>
      </c>
      <c r="S228" s="83"/>
      <c r="T228" s="118">
        <v>984</v>
      </c>
      <c r="U228" s="83"/>
      <c r="V228" s="118">
        <v>938</v>
      </c>
      <c r="W228" s="83"/>
    </row>
    <row r="229" spans="1:23" ht="12.75">
      <c r="A229" s="22"/>
      <c r="B229" s="14"/>
      <c r="C229" s="14" t="s">
        <v>155</v>
      </c>
      <c r="D229" s="21"/>
      <c r="F229" s="118">
        <v>65</v>
      </c>
      <c r="G229" s="118">
        <v>0</v>
      </c>
      <c r="H229" s="118">
        <v>77</v>
      </c>
      <c r="I229" s="118">
        <v>0</v>
      </c>
      <c r="J229" s="118">
        <v>33</v>
      </c>
      <c r="K229" s="118">
        <v>0</v>
      </c>
      <c r="L229" s="118">
        <v>102</v>
      </c>
      <c r="M229" s="118">
        <v>0</v>
      </c>
      <c r="N229" s="118">
        <v>105</v>
      </c>
      <c r="O229" s="118">
        <v>0</v>
      </c>
      <c r="P229" s="118">
        <v>162</v>
      </c>
      <c r="Q229" s="118">
        <v>0</v>
      </c>
      <c r="R229" s="118">
        <v>131</v>
      </c>
      <c r="S229" s="118">
        <v>0</v>
      </c>
      <c r="T229" s="118">
        <v>92</v>
      </c>
      <c r="U229" s="118">
        <v>0</v>
      </c>
      <c r="V229" s="118">
        <v>96</v>
      </c>
      <c r="W229" s="118"/>
    </row>
    <row r="230" spans="1:23" ht="12.75">
      <c r="A230" s="71"/>
      <c r="B230" s="72" t="s">
        <v>47</v>
      </c>
      <c r="C230" s="73"/>
      <c r="D230" s="74"/>
      <c r="F230" s="119">
        <f aca="true" t="shared" si="48" ref="F230:U230">SUM(F231:F236)</f>
        <v>3033</v>
      </c>
      <c r="G230" s="119">
        <f t="shared" si="48"/>
        <v>0</v>
      </c>
      <c r="H230" s="119">
        <f t="shared" si="48"/>
        <v>3315</v>
      </c>
      <c r="I230" s="119">
        <f t="shared" si="48"/>
        <v>0</v>
      </c>
      <c r="J230" s="119">
        <f t="shared" si="48"/>
        <v>3641</v>
      </c>
      <c r="K230" s="119">
        <f t="shared" si="48"/>
        <v>0</v>
      </c>
      <c r="L230" s="119">
        <f t="shared" si="48"/>
        <v>3968</v>
      </c>
      <c r="M230" s="119">
        <f t="shared" si="48"/>
        <v>15</v>
      </c>
      <c r="N230" s="119">
        <f t="shared" si="48"/>
        <v>4162</v>
      </c>
      <c r="O230" s="119">
        <f t="shared" si="48"/>
        <v>15.493706972684596</v>
      </c>
      <c r="P230" s="119">
        <f t="shared" si="48"/>
        <v>4559</v>
      </c>
      <c r="Q230" s="119">
        <f t="shared" si="48"/>
        <v>5</v>
      </c>
      <c r="R230" s="119">
        <f t="shared" si="48"/>
        <v>4505</v>
      </c>
      <c r="S230" s="119">
        <f t="shared" si="48"/>
        <v>0</v>
      </c>
      <c r="T230" s="119">
        <f t="shared" si="48"/>
        <v>4629</v>
      </c>
      <c r="U230" s="119">
        <f t="shared" si="48"/>
        <v>15</v>
      </c>
      <c r="V230" s="119">
        <f>SUM(V231:V236)</f>
        <v>4654</v>
      </c>
      <c r="W230" s="119">
        <f>SUM(W231:W236)</f>
        <v>0</v>
      </c>
    </row>
    <row r="231" spans="1:23" ht="12.75">
      <c r="A231" s="22"/>
      <c r="B231" s="27"/>
      <c r="C231" s="14" t="s">
        <v>36</v>
      </c>
      <c r="D231" s="21"/>
      <c r="F231" s="118">
        <f>ROUND(306*1000/1936.27,0)-1</f>
        <v>157</v>
      </c>
      <c r="G231" s="118"/>
      <c r="H231" s="118">
        <f>ROUND(673*1000/1936.27,0)</f>
        <v>348</v>
      </c>
      <c r="I231" s="118"/>
      <c r="J231" s="118">
        <f>ROUND(714*1000/1936.27,0)+1</f>
        <v>370</v>
      </c>
      <c r="K231" s="118"/>
      <c r="L231" s="118">
        <f>ROUND(674*1000/1936.27,0)+1</f>
        <v>349</v>
      </c>
      <c r="M231" s="118"/>
      <c r="N231" s="118">
        <f>ROUND((598000/1936.27),0)</f>
        <v>309</v>
      </c>
      <c r="O231" s="118"/>
      <c r="P231" s="118">
        <v>289</v>
      </c>
      <c r="Q231" s="118"/>
      <c r="R231" s="118">
        <v>199</v>
      </c>
      <c r="S231" s="118"/>
      <c r="T231" s="118">
        <v>263</v>
      </c>
      <c r="U231" s="118"/>
      <c r="V231" s="118">
        <v>275</v>
      </c>
      <c r="W231" s="118"/>
    </row>
    <row r="232" spans="1:23" ht="12.75">
      <c r="A232" s="22"/>
      <c r="B232" s="27"/>
      <c r="C232" s="14" t="s">
        <v>37</v>
      </c>
      <c r="D232" s="21"/>
      <c r="F232" s="118">
        <f>ROUND(4292*1000/1936.27,0)</f>
        <v>2217</v>
      </c>
      <c r="G232" s="85"/>
      <c r="H232" s="118">
        <f>ROUND(4398*1000/1936.27,0)</f>
        <v>2271</v>
      </c>
      <c r="I232" s="85"/>
      <c r="J232" s="118">
        <f>ROUND(4726*1000/1936.27,0)</f>
        <v>2441</v>
      </c>
      <c r="K232" s="85"/>
      <c r="L232" s="118">
        <f>ROUND(5196*1000/1936.27,0)</f>
        <v>2684</v>
      </c>
      <c r="M232" s="85"/>
      <c r="N232" s="118">
        <f>ROUND((5430000/1936.27),0)</f>
        <v>2804</v>
      </c>
      <c r="O232" s="85">
        <f>30/1.93627</f>
        <v>15.493706972684596</v>
      </c>
      <c r="P232" s="118">
        <v>2883</v>
      </c>
      <c r="Q232" s="85"/>
      <c r="R232" s="118">
        <v>2919</v>
      </c>
      <c r="S232" s="85"/>
      <c r="T232" s="118">
        <v>2929</v>
      </c>
      <c r="U232" s="85"/>
      <c r="V232" s="118">
        <v>2719</v>
      </c>
      <c r="W232" s="85"/>
    </row>
    <row r="233" spans="1:23" ht="12.75">
      <c r="A233" s="22"/>
      <c r="B233" s="27"/>
      <c r="C233" s="14" t="s">
        <v>38</v>
      </c>
      <c r="D233" s="21"/>
      <c r="F233" s="118">
        <f>ROUND(0*1000/1936.27,0)</f>
        <v>0</v>
      </c>
      <c r="G233" s="85"/>
      <c r="H233" s="118">
        <f>ROUND(0*1000/1936.27,0)</f>
        <v>0</v>
      </c>
      <c r="I233" s="85"/>
      <c r="J233" s="118">
        <f>ROUND(0*1000/1936.27,0)</f>
        <v>0</v>
      </c>
      <c r="K233" s="85"/>
      <c r="L233" s="118">
        <v>0</v>
      </c>
      <c r="M233" s="85"/>
      <c r="N233" s="118">
        <v>0</v>
      </c>
      <c r="O233" s="85"/>
      <c r="P233" s="118">
        <v>58</v>
      </c>
      <c r="Q233" s="85"/>
      <c r="R233" s="118">
        <v>79</v>
      </c>
      <c r="S233" s="85"/>
      <c r="T233" s="118">
        <v>50</v>
      </c>
      <c r="U233" s="85"/>
      <c r="V233" s="118">
        <v>91</v>
      </c>
      <c r="W233" s="85"/>
    </row>
    <row r="234" spans="1:23" ht="12.75">
      <c r="A234" s="22"/>
      <c r="B234" s="27"/>
      <c r="C234" s="14" t="s">
        <v>39</v>
      </c>
      <c r="D234" s="21"/>
      <c r="F234" s="118">
        <f>ROUND(127*1000/1936.27,0)</f>
        <v>66</v>
      </c>
      <c r="G234" s="85"/>
      <c r="H234" s="118">
        <f>ROUND(34*1000/1936.27,0)</f>
        <v>18</v>
      </c>
      <c r="I234" s="85"/>
      <c r="J234" s="118">
        <f>ROUND(134*1000/1936.27,0)</f>
        <v>69</v>
      </c>
      <c r="K234" s="85"/>
      <c r="L234" s="118">
        <f>ROUND(110*1000/1936.27,0)</f>
        <v>57</v>
      </c>
      <c r="M234" s="85"/>
      <c r="N234" s="118">
        <f>ROUND((139000/1936.27),0)</f>
        <v>72</v>
      </c>
      <c r="O234" s="85"/>
      <c r="P234" s="118">
        <v>72</v>
      </c>
      <c r="Q234" s="85"/>
      <c r="R234" s="118">
        <v>85</v>
      </c>
      <c r="S234" s="85"/>
      <c r="T234" s="118">
        <v>118</v>
      </c>
      <c r="U234" s="85"/>
      <c r="V234" s="118">
        <v>131</v>
      </c>
      <c r="W234" s="85"/>
    </row>
    <row r="235" spans="1:23" ht="12.75">
      <c r="A235" s="22"/>
      <c r="B235" s="27"/>
      <c r="C235" s="14" t="s">
        <v>154</v>
      </c>
      <c r="D235" s="21"/>
      <c r="F235" s="118">
        <f>ROUND((1038-127)*1000/1936.27,0)</f>
        <v>470</v>
      </c>
      <c r="G235" s="85"/>
      <c r="H235" s="118">
        <f>ROUND((1049-34)*1000/1936.27,0)</f>
        <v>524</v>
      </c>
      <c r="I235" s="85"/>
      <c r="J235" s="118">
        <f>ROUND((1251-134)*1000/1936.27,0)</f>
        <v>577</v>
      </c>
      <c r="K235" s="85"/>
      <c r="L235" s="118">
        <f>ROUND((1487-110)*1000/1936.27,0)</f>
        <v>711</v>
      </c>
      <c r="M235" s="85"/>
      <c r="N235" s="118">
        <f>ROUND((1589000/1936.27),0)</f>
        <v>821</v>
      </c>
      <c r="O235" s="85"/>
      <c r="P235" s="118">
        <v>924</v>
      </c>
      <c r="Q235" s="85"/>
      <c r="R235" s="118">
        <v>853</v>
      </c>
      <c r="S235" s="85"/>
      <c r="T235" s="118">
        <v>949</v>
      </c>
      <c r="U235" s="85"/>
      <c r="V235" s="118">
        <v>1077</v>
      </c>
      <c r="W235" s="85"/>
    </row>
    <row r="236" spans="1:23" ht="12.75">
      <c r="A236" s="22"/>
      <c r="B236" s="27"/>
      <c r="C236" s="14" t="s">
        <v>155</v>
      </c>
      <c r="D236" s="21"/>
      <c r="F236" s="114">
        <v>123</v>
      </c>
      <c r="G236" s="114">
        <v>0</v>
      </c>
      <c r="H236" s="114">
        <v>154</v>
      </c>
      <c r="I236" s="114">
        <v>0</v>
      </c>
      <c r="J236" s="114">
        <v>184</v>
      </c>
      <c r="K236" s="114">
        <v>0</v>
      </c>
      <c r="L236" s="114">
        <v>167</v>
      </c>
      <c r="M236" s="114">
        <v>15</v>
      </c>
      <c r="N236" s="114">
        <v>156</v>
      </c>
      <c r="O236" s="114">
        <v>0</v>
      </c>
      <c r="P236" s="114">
        <v>333</v>
      </c>
      <c r="Q236" s="114">
        <v>5</v>
      </c>
      <c r="R236" s="114">
        <v>370</v>
      </c>
      <c r="S236" s="114">
        <v>0</v>
      </c>
      <c r="T236" s="114">
        <v>320</v>
      </c>
      <c r="U236" s="114">
        <v>15</v>
      </c>
      <c r="V236" s="114">
        <v>361</v>
      </c>
      <c r="W236" s="114"/>
    </row>
    <row r="237" spans="1:23" ht="15.75">
      <c r="A237" s="189" t="s">
        <v>49</v>
      </c>
      <c r="B237" s="190"/>
      <c r="C237" s="190"/>
      <c r="D237" s="191"/>
      <c r="E237" s="64"/>
      <c r="F237" s="120">
        <f aca="true" t="shared" si="49" ref="F237:O237">+F173+F167+F154+F128+F96+F74+F53+F49+F42+F39+F35+F29+F26+F25+F24+F23+F12+F9+F17+F27+F57+F28</f>
        <v>93007</v>
      </c>
      <c r="G237" s="120">
        <f t="shared" si="49"/>
        <v>5712</v>
      </c>
      <c r="H237" s="120">
        <f t="shared" si="49"/>
        <v>113908</v>
      </c>
      <c r="I237" s="120">
        <f t="shared" si="49"/>
        <v>8376</v>
      </c>
      <c r="J237" s="120">
        <f t="shared" si="49"/>
        <v>113933</v>
      </c>
      <c r="K237" s="120">
        <f t="shared" si="49"/>
        <v>14721</v>
      </c>
      <c r="L237" s="120">
        <f t="shared" si="49"/>
        <v>128265</v>
      </c>
      <c r="M237" s="120">
        <f t="shared" si="49"/>
        <v>19397</v>
      </c>
      <c r="N237" s="120">
        <f t="shared" si="49"/>
        <v>127825</v>
      </c>
      <c r="O237" s="120">
        <f t="shared" si="49"/>
        <v>15915.873571351103</v>
      </c>
      <c r="P237" s="120">
        <f>+P173+P167+P154+P128+P96+P74+P53+P49+P42+P39+P35+P29+P26+P25+P24+P23+P12+P9+P17+P27+P57+P28</f>
        <v>138404</v>
      </c>
      <c r="Q237" s="120">
        <f aca="true" t="shared" si="50" ref="Q237:W237">+Q173+Q167+Q154+Q128+Q96+Q74+Q53+Q49+Q42+Q39+Q35+Q29+Q26+Q25+Q24+Q23+Q12+Q9+Q17+Q27+Q57+Q28</f>
        <v>21562</v>
      </c>
      <c r="R237" s="120">
        <f t="shared" si="50"/>
        <v>144124</v>
      </c>
      <c r="S237" s="120">
        <f t="shared" si="50"/>
        <v>23216</v>
      </c>
      <c r="T237" s="120">
        <f t="shared" si="50"/>
        <v>151822</v>
      </c>
      <c r="U237" s="120">
        <f t="shared" si="50"/>
        <v>24283</v>
      </c>
      <c r="V237" s="120">
        <f t="shared" si="50"/>
        <v>154094</v>
      </c>
      <c r="W237" s="120">
        <f t="shared" si="50"/>
        <v>27537</v>
      </c>
    </row>
    <row r="238" ht="6" customHeight="1">
      <c r="A238" s="41"/>
    </row>
    <row r="239" spans="1:21" ht="12.75">
      <c r="A239" s="31" t="s">
        <v>93</v>
      </c>
      <c r="P239" s="49"/>
      <c r="Q239" s="49"/>
      <c r="R239" s="49"/>
      <c r="S239" s="49"/>
      <c r="T239" s="49"/>
      <c r="U239" s="49"/>
    </row>
    <row r="240" ht="12.75">
      <c r="A240" s="31" t="s">
        <v>159</v>
      </c>
    </row>
    <row r="241" ht="3" customHeight="1"/>
    <row r="242" ht="12.75">
      <c r="A242" s="51" t="s">
        <v>128</v>
      </c>
    </row>
    <row r="243" ht="12.75">
      <c r="A243" s="41"/>
    </row>
    <row r="244" spans="1:14" ht="12.75">
      <c r="A244" s="41"/>
      <c r="N244" s="95"/>
    </row>
    <row r="245" ht="12.75">
      <c r="A245" s="31"/>
    </row>
    <row r="246" ht="12.75">
      <c r="A246" s="31"/>
    </row>
    <row r="247" spans="1:44" s="1" customFormat="1" ht="12.75">
      <c r="A247" s="31"/>
      <c r="B247" s="3"/>
      <c r="C247" s="3"/>
      <c r="D247" s="4"/>
      <c r="E247"/>
      <c r="F247" s="95"/>
      <c r="G247" s="95"/>
      <c r="H247" s="95"/>
      <c r="I247" s="95"/>
      <c r="J247" s="95"/>
      <c r="K247" s="95"/>
      <c r="L247" s="95"/>
      <c r="M247" s="95"/>
      <c r="N247" s="121"/>
      <c r="O247" s="121"/>
      <c r="P247" s="95"/>
      <c r="Q247" s="121"/>
      <c r="R247" s="95"/>
      <c r="S247" s="121"/>
      <c r="T247" s="95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</row>
    <row r="248" ht="12.75">
      <c r="A248" s="31"/>
    </row>
    <row r="249" ht="12.75">
      <c r="A249" s="31"/>
    </row>
    <row r="250" ht="12.75">
      <c r="A250" s="31"/>
    </row>
    <row r="251" ht="12.75">
      <c r="A251" s="31"/>
    </row>
    <row r="252" ht="12.75">
      <c r="A252" s="31"/>
    </row>
    <row r="253" ht="12.75">
      <c r="A253" s="31"/>
    </row>
    <row r="254" ht="12.75">
      <c r="A254" s="31"/>
    </row>
    <row r="255" ht="12.75">
      <c r="A255" s="31"/>
    </row>
    <row r="256" ht="12.75">
      <c r="A256" s="31"/>
    </row>
    <row r="257" ht="12.75">
      <c r="A257" s="31"/>
    </row>
    <row r="258" ht="12.75">
      <c r="A258" s="31"/>
    </row>
    <row r="259" ht="12.75">
      <c r="A259" s="31"/>
    </row>
    <row r="260" ht="12.75">
      <c r="A260" s="31"/>
    </row>
    <row r="261" ht="12.75">
      <c r="A261" s="31"/>
    </row>
    <row r="262" ht="12.75">
      <c r="A262" s="31"/>
    </row>
    <row r="263" ht="12.75">
      <c r="A263" s="31"/>
    </row>
    <row r="264" ht="12.75">
      <c r="A264" s="31"/>
    </row>
    <row r="265" ht="12.75">
      <c r="A265" s="31"/>
    </row>
    <row r="266" ht="12.75">
      <c r="A266" s="31"/>
    </row>
    <row r="267" ht="12.75">
      <c r="A267" s="31"/>
    </row>
    <row r="269" ht="12.75">
      <c r="A269" s="31"/>
    </row>
    <row r="423" ht="12.75">
      <c r="G423" s="95">
        <f>133000</f>
        <v>133000</v>
      </c>
    </row>
    <row r="425" ht="12.75">
      <c r="G425" s="95">
        <v>1936.27</v>
      </c>
    </row>
    <row r="426" ht="12.75">
      <c r="G426" s="95">
        <f>+G423/G425</f>
        <v>68.6887675789017</v>
      </c>
    </row>
    <row r="456" ht="12.75">
      <c r="F456" s="95" t="s">
        <v>50</v>
      </c>
    </row>
  </sheetData>
  <mergeCells count="5">
    <mergeCell ref="V7:W7"/>
    <mergeCell ref="P7:Q7"/>
    <mergeCell ref="N7:O7"/>
    <mergeCell ref="R7:S7"/>
    <mergeCell ref="T7:U7"/>
  </mergeCells>
  <hyperlinks>
    <hyperlink ref="B89:D89" location="ISTRUZIONE!D1" display="ISTRUZIONE!D1"/>
    <hyperlink ref="B89" location="ISTRUZIONE!E1" display="ISTRUZIONE!E1"/>
    <hyperlink ref="C89" location="ISTRUZIONE!V1" display="ISTRUZIONE!V1"/>
    <hyperlink ref="B121:D121" location="'SPORT E GIOVANI'!V1" display="'SPORT E GIOVANI'!V1"/>
    <hyperlink ref="A57:D57" location="INGEGNERIA!P1" display="INGEGNERIA!P1"/>
    <hyperlink ref="D57" location="INGEGNERIA!P1" display="INGEGNERIA!P1"/>
    <hyperlink ref="B151:D151" location="MANUTENZIONE!S1" display="MANUTENZIONE!S1"/>
    <hyperlink ref="A42:D42" location="PERSONALE!R1" display="PERSONALE!R1"/>
    <hyperlink ref="A49:D49" location="'P&amp;C'!S1" display="'P&amp;C'!S1"/>
    <hyperlink ref="A53:D53" location="'SISTEMI INFO'!S1" display="'SISTEMI INFO'!S1"/>
    <hyperlink ref="B115:D115" location="ECONOMIA!T1" display="ECONOMIA!T1"/>
    <hyperlink ref="B99:D99" location="CULTURA!R1" display="CULTURA!R1"/>
    <hyperlink ref="B138:D138" location="MOBILITA!T1" display="MOBILITA!T1"/>
    <hyperlink ref="B133:D133" location="TERRITORIO!S1" display="TERRITORIO!S1"/>
    <hyperlink ref="B98:D98" location="PROGXCOMUNICARE!P1" display="PROGXCOMUNICARE!P1"/>
    <hyperlink ref="B76:D76" location="SALUTE!T1" display="SALUTE!T1"/>
    <hyperlink ref="B80:D80" location="'SERVIZI SOCIALI'!T1" display="'SERVIZI SOCIALI'!T1"/>
    <hyperlink ref="A12:D12" location="GABINETTO!S1" display="GABINETTO!S1"/>
    <hyperlink ref="A26:D26" location="SEGR.GEN!t1" display="SEGR.GEN!t1"/>
    <hyperlink ref="A167:D167" location="PM!S1" display="PM!S1"/>
    <hyperlink ref="A23:D23" location="'STAFF CONS'!S1" display="'STAFF CONS'!S1"/>
    <hyperlink ref="A24:D24" location="'PART. SOCIETARIE'!A1" display="'PART. SOCIETARIE'!A1"/>
    <hyperlink ref="A25:D25" location="LEGALE!S1" display="LEGALE!S1"/>
    <hyperlink ref="A35:D35" location="FINANZA!S1" display="FINANZA!S1"/>
    <hyperlink ref="B155:D155" location="'SPORTELLO CIT'!S1" display="'SPORTELLO CIT'!S1"/>
    <hyperlink ref="A173" location="QUARTIERI!A1" display="QUARTIERI!A1"/>
    <hyperlink ref="A29:D29" location="'AFFARI IST'!S1" display="'AFFARI IST'!S1"/>
    <hyperlink ref="A39:D39" location="ACQUISTI!S1" display="ACQUISTI!S1"/>
    <hyperlink ref="B159:D159" location="'SPORTELLO IMPR'!P1" display="'SPORTELLO IMPR'!P1"/>
    <hyperlink ref="A9:D9" location="'DIREZIONE GEN'!S1" display="'DIREZIONE GEN'!S1"/>
    <hyperlink ref="A74:D74" location="'AREA servizi persone'!A1" display="'AREA servizi persone'!A1"/>
    <hyperlink ref="A96:D96" location="'AREA SVILUPPO SOCIO-EC'!T1" display="'AREA SVILUPPO SOCIO-EC'!T1"/>
    <hyperlink ref="A128:D128" location="'AREA QUALITA'' URBANA'!t1" display="'AREA QUALITA'' URBANA'!t1"/>
    <hyperlink ref="A154:D154" location="'AREA COM. E RAP. CON CIT'!T1" display="'AREA COM. E RAP. CON CIT'!T1"/>
    <hyperlink ref="A237:D237" location="TOTALE!T1" display="TOTALE!T1"/>
    <hyperlink ref="A17" location="'Politiche sicurezza'!A1" display="'Politiche sicurezza'!A1"/>
    <hyperlink ref="A27:C27" location="SEGRETARIO!A1" display="SEGRETARIO!A1"/>
    <hyperlink ref="A28:C28" location="'STAFF AMM.'!A1" display="'STAFF AMM.'!A1"/>
    <hyperlink ref="B36:C36" location="RAGIONERIA!A1" display="RAGIONERIA!A1"/>
    <hyperlink ref="B37:C37" location="ENTRATE!A1" display="ENTRATE!A1"/>
    <hyperlink ref="B38:C38" location="PATRIMONIO!A1" display="PATRIMONIO!A1"/>
    <hyperlink ref="B98:C98" location="'PROGnuove ist museali'!A1" display="'PROGnuove ist museali'!A1"/>
    <hyperlink ref="B133:C133" location="'Programmi urbanistici'!A1" display="'Programmi urbanistici'!A1"/>
    <hyperlink ref="B150:C150" location="'Interventi per casa'!A1" display="'Interventi per casa'!A1"/>
    <hyperlink ref="B151:C151" location="'Ambiente e verde'!A1" display="'Ambiente e verde'!A1"/>
    <hyperlink ref="B155:C155" location="Comunicazione!A1" display="Comunicazione!A1"/>
    <hyperlink ref="B162:C162" location="DEMOGRAFICI!A1" display="DEMOGRAFICI!A1"/>
    <hyperlink ref="B162" location="'Servizi demografici'!A1" display="'Servizi demografici'!A1"/>
    <hyperlink ref="A35:C35" location="'AREA FINANZA'!A1" display="'AREA FINANZA'!A1"/>
    <hyperlink ref="A57:C57" location="'Lavori pubblici'!A1" display="'Lavori pubblici'!A1"/>
    <hyperlink ref="A96:C96" location="'AREA SAPERI ED EC'!A1" display="'AREA SAPERI ED EC'!A1"/>
    <hyperlink ref="A128:C128" location="'AREA Urbanistica, amb, mob'!A1" display="'AREA Urbanistica, amb, mob'!A1"/>
    <hyperlink ref="A9" location="'DIR GEN'!A1" display="'DIR GEN'!A1"/>
    <hyperlink ref="A12" location="Gabinetto!A1" display="Gabinetto!A1"/>
    <hyperlink ref="A23" location="'Staff del Consiglio'!A1" display="'Staff del Consiglio'!A1"/>
    <hyperlink ref="A24" location="'Partecipazione soc'!A1" display="'Partecipazione soc'!A1"/>
    <hyperlink ref="A25" location="Legale!A1" display="Legale!A1"/>
    <hyperlink ref="A26" location="'Segreteria gen'!A1" display="'Segreteria gen'!A1"/>
    <hyperlink ref="A27" location="'Segretario gen '!A1" display="'Segretario gen '!A1"/>
    <hyperlink ref="A28" location="'Staff Amm Gare'!A1" display="'Staff Amm Gare'!A1"/>
    <hyperlink ref="A29" location="'Affari ist'!A1" display="'Affari ist'!A1"/>
    <hyperlink ref="A35" location="'Area Finanza'!A1" display="'Area Finanza'!A1"/>
    <hyperlink ref="B36" location="Ragioneria!A1" display="Ragioneria!A1"/>
    <hyperlink ref="A39" location="Acquisti!A1" display="Acquisti!A1"/>
    <hyperlink ref="A42" location="'Personale '!A1" display="'Personale '!A1"/>
    <hyperlink ref="A49" location="'P&amp;C'!A1" display="'P&amp;C'!A1"/>
    <hyperlink ref="A53" location="'Sistemi info'!A1" display="'Sistemi info'!A1"/>
    <hyperlink ref="A57" location="LLPP!A1" display="LLPP!A1"/>
    <hyperlink ref="A74" location="'Area servizi'!A1" display="'Area servizi'!A1"/>
    <hyperlink ref="B76" location="Salute!A1" display="Salute!A1"/>
    <hyperlink ref="B80" location="'Servizi sociali'!A1" display="'Servizi sociali'!A1"/>
    <hyperlink ref="A96" location="'Area saperi'!A1" display="'Area saperi'!A1"/>
    <hyperlink ref="B98" location="'Nuove istituzioni'!A1" display="'Nuove istituzioni'!A1"/>
    <hyperlink ref="B99" location="Cultura!A1" display="Cultura!A1"/>
    <hyperlink ref="B115" location="Economia!A1" display="Economia!A1"/>
    <hyperlink ref="B121" location="Sport!A1" display="Sport!A1"/>
    <hyperlink ref="A128" location="'Area Urbanistica'!A1" display="'Area Urbanistica'!A1"/>
    <hyperlink ref="B129" location="'Dir Area Urbanistica '!A1" display="'Dir Area Urbanistica '!A1"/>
    <hyperlink ref="B133" location="'Programmi urb'!A1" display="'Programmi urb'!A1"/>
    <hyperlink ref="B138" location="Mobilità!A1" display="Mobilità!A1"/>
    <hyperlink ref="B150" location="'Interventi casa'!A1" display="'Interventi casa'!A1"/>
    <hyperlink ref="B151" location="'Ambiente '!A1" display="'Ambiente '!A1"/>
    <hyperlink ref="A154" location="'Area Comunicazione'!A1" display="'Area Comunicazione'!A1"/>
    <hyperlink ref="B155" location="'Comunicazione '!A1" display="'Comunicazione '!A1"/>
    <hyperlink ref="B159" location="'Sportello imprese'!A1" display="'Sportello imprese'!A1"/>
    <hyperlink ref="A167" location="PM!A1" display="PM!A1"/>
    <hyperlink ref="A237" location="'TOTALE CS'!A1" display="'TOTALE CS'!A1"/>
  </hyperlinks>
  <printOptions/>
  <pageMargins left="0.18" right="0.18" top="0.21" bottom="0.13" header="0.14" footer="0.12"/>
  <pageSetup horizontalDpi="600" verticalDpi="600" orientation="landscape" paperSize="9" scale="60" r:id="rId1"/>
  <rowBreaks count="4" manualBreakCount="4">
    <brk id="56" max="20" man="1"/>
    <brk id="95" max="20" man="1"/>
    <brk id="153" max="20" man="1"/>
    <brk id="22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133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'!F27</f>
        <v>0</v>
      </c>
      <c r="C3" s="65">
        <f>+'Cons spec netti '!G27</f>
        <v>0</v>
      </c>
      <c r="D3" s="65">
        <f>+'Cons spec netti '!H27</f>
        <v>0</v>
      </c>
      <c r="E3" s="65">
        <f>+'Cons spec netti '!I27</f>
        <v>0</v>
      </c>
      <c r="F3" s="65">
        <f>+'Cons spec netti '!J27</f>
        <v>0</v>
      </c>
      <c r="G3" s="65">
        <f>+'Cons spec netti '!K27</f>
        <v>0</v>
      </c>
      <c r="H3" s="65">
        <f>+'Cons spec netti '!L27</f>
        <v>0</v>
      </c>
      <c r="I3" s="65">
        <f>+'Cons spec netti '!M27</f>
        <v>35</v>
      </c>
      <c r="J3" s="65">
        <f>+'Cons spec netti '!N27</f>
        <v>36</v>
      </c>
    </row>
    <row r="4" spans="1:10" ht="15" customHeight="1">
      <c r="A4" s="80" t="s">
        <v>57</v>
      </c>
      <c r="B4" s="65">
        <f>+'Cons spec tot e finalizzati'!G27</f>
        <v>0</v>
      </c>
      <c r="C4" s="65">
        <f>+'Cons spec tot e finalizzati'!I27</f>
        <v>0</v>
      </c>
      <c r="D4" s="67">
        <f>+'Cons spec tot e finalizzati'!K27</f>
        <v>0</v>
      </c>
      <c r="E4" s="67">
        <f>+'Cons spec tot e finalizzati'!M27</f>
        <v>0</v>
      </c>
      <c r="F4" s="67">
        <f>+'Cons spec tot e finalizzati'!O27</f>
        <v>0</v>
      </c>
      <c r="G4" s="67">
        <f>+'Cons spec tot e finalizzati'!Q27</f>
        <v>0</v>
      </c>
      <c r="H4" s="67">
        <f>+'Cons spec tot e finalizzati'!S27</f>
        <v>0</v>
      </c>
      <c r="I4" s="67">
        <f>+'Cons spec tot e finalizzati'!U27</f>
        <v>0</v>
      </c>
      <c r="J4" s="67">
        <f>+'Cons spec tot e finalizzati'!W27</f>
        <v>0</v>
      </c>
    </row>
    <row r="5" spans="2:3" ht="12.75">
      <c r="B5" s="65"/>
      <c r="C5" s="5"/>
    </row>
    <row r="6" spans="2:10" ht="12.75">
      <c r="B6" s="236"/>
      <c r="C6" s="237"/>
      <c r="D6" s="237"/>
      <c r="E6" s="237"/>
      <c r="F6" s="237"/>
      <c r="G6" s="237"/>
      <c r="H6" s="237"/>
      <c r="I6" s="237"/>
      <c r="J6" s="237"/>
    </row>
    <row r="7" spans="2:7" ht="12.75">
      <c r="B7" s="66"/>
      <c r="C7" s="66"/>
      <c r="D7" s="66"/>
      <c r="E7" s="66"/>
      <c r="G7" s="66"/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135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'!F28</f>
        <v>0</v>
      </c>
      <c r="C3" s="65">
        <f>+'Cons spec netti '!G28</f>
        <v>0</v>
      </c>
      <c r="D3" s="65">
        <f>+'Cons spec netti '!H28</f>
        <v>0</v>
      </c>
      <c r="E3" s="65">
        <f>+'Cons spec netti '!I28</f>
        <v>0</v>
      </c>
      <c r="F3" s="65">
        <f>+'Cons spec netti '!J28</f>
        <v>0</v>
      </c>
      <c r="G3" s="65">
        <f>+'Cons spec netti '!K28</f>
        <v>0</v>
      </c>
      <c r="H3" s="65">
        <f>+'Cons spec netti '!L28</f>
        <v>0</v>
      </c>
      <c r="I3" s="65">
        <f>+'Cons spec netti '!M28</f>
        <v>7</v>
      </c>
      <c r="J3" s="65">
        <f>+'Cons spec netti '!N28</f>
        <v>6</v>
      </c>
    </row>
    <row r="4" spans="1:10" ht="15" customHeight="1">
      <c r="A4" s="80" t="s">
        <v>57</v>
      </c>
      <c r="B4" s="65">
        <f>+'Cons spec tot e finalizzati'!G28</f>
        <v>0</v>
      </c>
      <c r="C4" s="65">
        <f>+'Cons spec tot e finalizzati'!I28</f>
        <v>0</v>
      </c>
      <c r="D4" s="67">
        <f>+'Cons spec tot e finalizzati'!K28</f>
        <v>0</v>
      </c>
      <c r="E4" s="67">
        <f>+'Cons spec tot e finalizzati'!M28</f>
        <v>0</v>
      </c>
      <c r="F4" s="67">
        <f>+'Cons spec tot e finalizzati'!O28</f>
        <v>0</v>
      </c>
      <c r="G4" s="67">
        <f>+'Cons spec tot e finalizzati'!Q28</f>
        <v>0</v>
      </c>
      <c r="H4" s="67">
        <f>+'Cons spec tot e finalizzati'!S28</f>
        <v>0</v>
      </c>
      <c r="I4" s="67">
        <f>+'Cons spec tot e finalizzati'!U28</f>
        <v>0</v>
      </c>
      <c r="J4" s="67">
        <f>+'Cons spec tot e finalizzati'!W28</f>
        <v>0</v>
      </c>
    </row>
    <row r="5" spans="2:3" ht="12.75">
      <c r="B5" s="65"/>
      <c r="C5" s="5"/>
    </row>
    <row r="6" spans="2:10" ht="12.75">
      <c r="B6" s="236"/>
      <c r="C6" s="237"/>
      <c r="D6" s="237"/>
      <c r="E6" s="237"/>
      <c r="F6" s="237"/>
      <c r="G6" s="237"/>
      <c r="H6" s="237"/>
      <c r="I6" s="237"/>
      <c r="J6" s="237"/>
    </row>
    <row r="7" spans="2:7" ht="12.75">
      <c r="B7" s="66"/>
      <c r="C7" s="66"/>
      <c r="D7" s="66"/>
      <c r="E7" s="66"/>
      <c r="G7" s="66"/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181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'!F29</f>
        <v>784</v>
      </c>
      <c r="C3" s="65">
        <f>+'Cons spec netti '!G29</f>
        <v>722</v>
      </c>
      <c r="D3" s="65">
        <f>+'Cons spec netti '!H29</f>
        <v>999</v>
      </c>
      <c r="E3" s="65">
        <f>+'Cons spec netti '!I29</f>
        <v>1194</v>
      </c>
      <c r="F3" s="65">
        <f>+'Cons spec netti '!J29</f>
        <v>1101</v>
      </c>
      <c r="G3" s="65">
        <f>+'Cons spec netti '!K29</f>
        <v>737</v>
      </c>
      <c r="H3" s="65">
        <f>+'Cons spec netti '!L29</f>
        <v>220</v>
      </c>
      <c r="I3" s="65">
        <f>+'Cons spec netti '!M29</f>
        <v>372</v>
      </c>
      <c r="J3" s="65">
        <f>+'Cons spec netti '!N29</f>
        <v>159</v>
      </c>
    </row>
    <row r="4" spans="1:10" ht="15" customHeight="1">
      <c r="A4" s="80" t="s">
        <v>57</v>
      </c>
      <c r="B4" s="65">
        <f>+'Cons spec tot e finalizzati'!G29</f>
        <v>0</v>
      </c>
      <c r="C4" s="65">
        <f>+'Cons spec tot e finalizzati'!I29</f>
        <v>0</v>
      </c>
      <c r="D4" s="67">
        <f>+'Cons spec tot e finalizzati'!K29</f>
        <v>41</v>
      </c>
      <c r="E4" s="67">
        <f>+'Cons spec tot e finalizzati'!M29</f>
        <v>8</v>
      </c>
      <c r="F4" s="67">
        <f>+'Cons spec tot e finalizzati'!O29</f>
        <v>0</v>
      </c>
      <c r="G4" s="67">
        <f>+'Cons spec tot e finalizzati'!Q29</f>
        <v>7</v>
      </c>
      <c r="H4" s="67">
        <f>+'Cons spec tot e finalizzati'!S29</f>
        <v>7</v>
      </c>
      <c r="I4" s="67">
        <f>+'Cons spec tot e finalizzati'!U29</f>
        <v>9</v>
      </c>
      <c r="J4" s="67">
        <f>+'Cons spec tot e finalizzati'!W29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92.09183673469387</v>
      </c>
      <c r="D6" s="237">
        <f t="shared" si="0"/>
        <v>127.4234693877551</v>
      </c>
      <c r="E6" s="237">
        <f t="shared" si="0"/>
        <v>152.29591836734696</v>
      </c>
      <c r="F6" s="237">
        <f t="shared" si="0"/>
        <v>140.43367346938774</v>
      </c>
      <c r="G6" s="237">
        <f t="shared" si="0"/>
        <v>94.00510204081633</v>
      </c>
      <c r="H6" s="237">
        <f t="shared" si="0"/>
        <v>28.061224489795915</v>
      </c>
      <c r="I6" s="237">
        <f t="shared" si="0"/>
        <v>47.44897959183674</v>
      </c>
      <c r="J6" s="237">
        <f t="shared" si="0"/>
        <v>20.28061224489796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</cols>
  <sheetData>
    <row r="1" ht="12.75">
      <c r="A1" t="s">
        <v>136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'!F35</f>
        <v>903</v>
      </c>
      <c r="C3" s="65">
        <f>+'Cons spec netti '!G35</f>
        <v>1076</v>
      </c>
      <c r="D3" s="65">
        <f>+'Cons spec netti '!H35</f>
        <v>1106</v>
      </c>
      <c r="E3" s="65">
        <f>+'Cons spec netti '!I35</f>
        <v>1288</v>
      </c>
      <c r="F3" s="65">
        <f>+'Cons spec netti '!J35</f>
        <v>1604</v>
      </c>
      <c r="G3" s="65">
        <f>+'Cons spec netti '!K35</f>
        <v>2285</v>
      </c>
      <c r="H3" s="65">
        <f>+'Cons spec netti '!L35</f>
        <v>3590</v>
      </c>
      <c r="I3" s="65">
        <f>+'Cons spec netti '!M35</f>
        <v>5007</v>
      </c>
      <c r="J3" s="65">
        <f>+'Cons spec netti '!N35</f>
        <v>5272</v>
      </c>
    </row>
    <row r="4" spans="1:10" ht="15" customHeight="1">
      <c r="A4" s="80" t="s">
        <v>57</v>
      </c>
      <c r="B4" s="65">
        <f>+'Cons spec tot e finalizzati'!G35</f>
        <v>0</v>
      </c>
      <c r="C4" s="65">
        <f>+'Cons spec tot e finalizzati'!I35</f>
        <v>0</v>
      </c>
      <c r="D4" s="67">
        <f>+'Cons spec tot e finalizzati'!K35</f>
        <v>0</v>
      </c>
      <c r="E4" s="67">
        <f>+'Cons spec tot e finalizzati'!M35</f>
        <v>0</v>
      </c>
      <c r="F4" s="67">
        <f>+'Cons spec tot e finalizzati'!O35</f>
        <v>0</v>
      </c>
      <c r="G4" s="67">
        <f>+'Cons spec tot e finalizzati'!Q35</f>
        <v>0</v>
      </c>
      <c r="H4" s="67">
        <f>+'Cons spec tot e finalizzati'!S35</f>
        <v>0</v>
      </c>
      <c r="I4" s="67">
        <f>+'Cons spec tot e finalizzati'!U35</f>
        <v>0</v>
      </c>
      <c r="J4" s="67">
        <f>+'Cons spec tot e finalizzati'!W35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119.15836101882613</v>
      </c>
      <c r="D6" s="237">
        <f t="shared" si="0"/>
        <v>122.48062015503875</v>
      </c>
      <c r="E6" s="237">
        <f t="shared" si="0"/>
        <v>142.63565891472868</v>
      </c>
      <c r="F6" s="237">
        <f t="shared" si="0"/>
        <v>177.63012181616833</v>
      </c>
      <c r="G6" s="237">
        <f t="shared" si="0"/>
        <v>253.04540420819492</v>
      </c>
      <c r="H6" s="237">
        <f t="shared" si="0"/>
        <v>397.5636766334441</v>
      </c>
      <c r="I6" s="237">
        <f t="shared" si="0"/>
        <v>554.485049833887</v>
      </c>
      <c r="J6" s="237">
        <f t="shared" si="0"/>
        <v>583.8316722037653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4" width="5.57421875" style="0" bestFit="1" customWidth="1"/>
    <col min="5" max="5" width="6.7109375" style="0" bestFit="1" customWidth="1"/>
    <col min="6" max="10" width="7.140625" style="0" bestFit="1" customWidth="1"/>
  </cols>
  <sheetData>
    <row r="1" ht="12.75">
      <c r="A1" t="s">
        <v>182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'!F36</f>
        <v>41</v>
      </c>
      <c r="C3" s="65">
        <f>+'Cons spec netti '!G36</f>
        <v>132</v>
      </c>
      <c r="D3" s="65">
        <f>+'Cons spec netti '!H36</f>
        <v>150</v>
      </c>
      <c r="E3" s="65">
        <f>+'Cons spec netti '!I36</f>
        <v>162</v>
      </c>
      <c r="F3" s="65">
        <f>+'Cons spec netti '!J36</f>
        <v>169</v>
      </c>
      <c r="G3" s="65">
        <f>+'Cons spec netti '!K36</f>
        <v>244</v>
      </c>
      <c r="H3" s="65">
        <f>+'Cons spec netti '!L36</f>
        <v>304</v>
      </c>
      <c r="I3" s="65">
        <f>+'Cons spec netti '!M36</f>
        <v>227</v>
      </c>
      <c r="J3" s="65">
        <f>+'Cons spec netti '!N36</f>
        <v>246</v>
      </c>
    </row>
    <row r="4" spans="1:10" ht="15" customHeight="1">
      <c r="A4" s="80" t="s">
        <v>57</v>
      </c>
      <c r="B4" s="65">
        <f>+'Cons spec tot e finalizzati'!G36</f>
        <v>0</v>
      </c>
      <c r="C4" s="65">
        <f>+'Cons spec tot e finalizzati'!I36</f>
        <v>0</v>
      </c>
      <c r="D4" s="67">
        <f>+'Cons spec tot e finalizzati'!K36</f>
        <v>0</v>
      </c>
      <c r="E4" s="67">
        <f>+'Cons spec tot e finalizzati'!M36</f>
        <v>0</v>
      </c>
      <c r="F4" s="67">
        <f>+'Cons spec tot e finalizzati'!O36</f>
        <v>0</v>
      </c>
      <c r="G4" s="67">
        <f>+'Cons spec tot e finalizzati'!Q36</f>
        <v>0</v>
      </c>
      <c r="H4" s="67">
        <f>+'Cons spec tot e finalizzati'!S36</f>
        <v>0</v>
      </c>
      <c r="I4" s="67">
        <f>+'Cons spec tot e finalizzati'!U36</f>
        <v>0</v>
      </c>
      <c r="J4" s="67">
        <f>+'Cons spec tot e finalizzati'!W36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321.95121951219517</v>
      </c>
      <c r="D6" s="237">
        <f t="shared" si="0"/>
        <v>365.8536585365854</v>
      </c>
      <c r="E6" s="237">
        <f t="shared" si="0"/>
        <v>395.1219512195122</v>
      </c>
      <c r="F6" s="237">
        <f t="shared" si="0"/>
        <v>412.1951219512195</v>
      </c>
      <c r="G6" s="237">
        <f t="shared" si="0"/>
        <v>595.1219512195122</v>
      </c>
      <c r="H6" s="237">
        <f t="shared" si="0"/>
        <v>741.4634146341464</v>
      </c>
      <c r="I6" s="237">
        <f t="shared" si="0"/>
        <v>553.6585365853658</v>
      </c>
      <c r="J6" s="237">
        <f t="shared" si="0"/>
        <v>600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4" width="5.57421875" style="0" bestFit="1" customWidth="1"/>
    <col min="5" max="5" width="6.7109375" style="0" bestFit="1" customWidth="1"/>
    <col min="6" max="10" width="7.140625" style="0" bestFit="1" customWidth="1"/>
  </cols>
  <sheetData>
    <row r="1" ht="12.75">
      <c r="A1" t="s">
        <v>68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'!F37</f>
        <v>719</v>
      </c>
      <c r="C3" s="65">
        <f>+'Cons spec netti '!G37</f>
        <v>771</v>
      </c>
      <c r="D3" s="65">
        <f>+'Cons spec netti '!H37</f>
        <v>784</v>
      </c>
      <c r="E3" s="65">
        <f>+'Cons spec netti '!I37</f>
        <v>954</v>
      </c>
      <c r="F3" s="65">
        <f>+'Cons spec netti '!J37</f>
        <v>1304</v>
      </c>
      <c r="G3" s="65">
        <f>+'Cons spec netti '!K37</f>
        <v>1852</v>
      </c>
      <c r="H3" s="65">
        <f>+'Cons spec netti '!L37</f>
        <v>3046</v>
      </c>
      <c r="I3" s="65">
        <f>+'Cons spec netti '!M37</f>
        <v>4516</v>
      </c>
      <c r="J3" s="65">
        <f>+'Cons spec netti '!N37</f>
        <v>4841</v>
      </c>
    </row>
    <row r="4" spans="1:10" ht="15" customHeight="1">
      <c r="A4" s="80" t="s">
        <v>57</v>
      </c>
      <c r="B4" s="65">
        <f>+'Cons spec tot e finalizzati'!G37</f>
        <v>0</v>
      </c>
      <c r="C4" s="65">
        <f>+'Cons spec tot e finalizzati'!I37</f>
        <v>0</v>
      </c>
      <c r="D4" s="67">
        <f>+'Cons spec tot e finalizzati'!K37</f>
        <v>0</v>
      </c>
      <c r="E4" s="67">
        <f>+'Cons spec tot e finalizzati'!M37</f>
        <v>0</v>
      </c>
      <c r="F4" s="67">
        <f>+'Cons spec tot e finalizzati'!O37</f>
        <v>0</v>
      </c>
      <c r="G4" s="67">
        <f>+'Cons spec tot e finalizzati'!Q37</f>
        <v>0</v>
      </c>
      <c r="H4" s="67">
        <f>+'Cons spec tot e finalizzati'!S37</f>
        <v>0</v>
      </c>
      <c r="I4" s="67">
        <f>+'Cons spec tot e finalizzati'!U37</f>
        <v>0</v>
      </c>
      <c r="J4" s="67">
        <f>+'Cons spec tot e finalizzati'!W37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107.23226703755215</v>
      </c>
      <c r="D6" s="237">
        <f t="shared" si="0"/>
        <v>109.0403337969402</v>
      </c>
      <c r="E6" s="237">
        <f t="shared" si="0"/>
        <v>132.68428372739916</v>
      </c>
      <c r="F6" s="237">
        <f t="shared" si="0"/>
        <v>181.36300417246176</v>
      </c>
      <c r="G6" s="237">
        <f t="shared" si="0"/>
        <v>257.5799721835883</v>
      </c>
      <c r="H6" s="237">
        <f t="shared" si="0"/>
        <v>423.643949930459</v>
      </c>
      <c r="I6" s="237">
        <f t="shared" si="0"/>
        <v>628.0945757997218</v>
      </c>
      <c r="J6" s="237">
        <f t="shared" si="0"/>
        <v>673.2962447844228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0">
      <selection activeCell="A2" sqref="A2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4" width="5.57421875" style="0" bestFit="1" customWidth="1"/>
    <col min="5" max="5" width="6.7109375" style="0" bestFit="1" customWidth="1"/>
    <col min="6" max="10" width="7.140625" style="0" bestFit="1" customWidth="1"/>
  </cols>
  <sheetData>
    <row r="1" ht="12.75">
      <c r="A1" t="s">
        <v>137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'!F38</f>
        <v>143</v>
      </c>
      <c r="C3" s="65">
        <f>+'Cons spec netti '!G38</f>
        <v>173</v>
      </c>
      <c r="D3" s="65">
        <f>+'Cons spec netti '!H38</f>
        <v>172</v>
      </c>
      <c r="E3" s="65">
        <f>+'Cons spec netti '!I38</f>
        <v>172</v>
      </c>
      <c r="F3" s="65">
        <f>+'Cons spec netti '!J38</f>
        <v>131</v>
      </c>
      <c r="G3" s="65">
        <f>+'Cons spec netti '!K38</f>
        <v>189</v>
      </c>
      <c r="H3" s="65">
        <f>+'Cons spec netti '!L38</f>
        <v>240</v>
      </c>
      <c r="I3" s="65">
        <f>+'Cons spec netti '!M38</f>
        <v>264</v>
      </c>
      <c r="J3" s="65">
        <f>+'Cons spec netti '!N38</f>
        <v>185</v>
      </c>
    </row>
    <row r="4" spans="1:10" ht="15" customHeight="1">
      <c r="A4" s="80" t="s">
        <v>57</v>
      </c>
      <c r="B4" s="65">
        <f>+'Cons spec tot e finalizzati'!G37</f>
        <v>0</v>
      </c>
      <c r="C4" s="65">
        <f>+'Cons spec tot e finalizzati'!I37</f>
        <v>0</v>
      </c>
      <c r="D4" s="67">
        <f>+'Cons spec tot e finalizzati'!K37</f>
        <v>0</v>
      </c>
      <c r="E4" s="67">
        <f>+'Cons spec tot e finalizzati'!M37</f>
        <v>0</v>
      </c>
      <c r="F4" s="67">
        <f>+'Cons spec tot e finalizzati'!O37</f>
        <v>0</v>
      </c>
      <c r="G4" s="67">
        <f>+'Cons spec tot e finalizzati'!Q37</f>
        <v>0</v>
      </c>
      <c r="H4" s="67">
        <f>+'Cons spec tot e finalizzati'!S37</f>
        <v>0</v>
      </c>
      <c r="I4" s="67">
        <f>+'Cons spec tot e finalizzati'!U37</f>
        <v>0</v>
      </c>
      <c r="J4" s="67">
        <f>+'Cons spec tot e finalizzati'!W37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120.97902097902097</v>
      </c>
      <c r="D6" s="237">
        <f t="shared" si="0"/>
        <v>120.27972027972027</v>
      </c>
      <c r="E6" s="237">
        <f t="shared" si="0"/>
        <v>120.27972027972027</v>
      </c>
      <c r="F6" s="237">
        <f t="shared" si="0"/>
        <v>91.6083916083916</v>
      </c>
      <c r="G6" s="237">
        <f t="shared" si="0"/>
        <v>132.16783216783216</v>
      </c>
      <c r="H6" s="237">
        <f t="shared" si="0"/>
        <v>167.83216783216784</v>
      </c>
      <c r="I6" s="237">
        <f t="shared" si="0"/>
        <v>184.6153846153846</v>
      </c>
      <c r="J6" s="237">
        <f t="shared" si="0"/>
        <v>129.3706293706294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4" width="5.57421875" style="0" bestFit="1" customWidth="1"/>
    <col min="5" max="5" width="6.7109375" style="0" bestFit="1" customWidth="1"/>
    <col min="6" max="10" width="7.140625" style="0" bestFit="1" customWidth="1"/>
  </cols>
  <sheetData>
    <row r="1" ht="12.75">
      <c r="A1" t="s">
        <v>183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'!F39</f>
        <v>28</v>
      </c>
      <c r="C3" s="65">
        <f>+'Cons spec netti '!G39</f>
        <v>44</v>
      </c>
      <c r="D3" s="65">
        <f>+'Cons spec netti '!H39</f>
        <v>46</v>
      </c>
      <c r="E3" s="65">
        <f>+'Cons spec netti '!I39</f>
        <v>46</v>
      </c>
      <c r="F3" s="65">
        <f>+'Cons spec netti '!J39</f>
        <v>30</v>
      </c>
      <c r="G3" s="65">
        <f>+'Cons spec netti '!K39</f>
        <v>4</v>
      </c>
      <c r="H3" s="65">
        <f>+'Cons spec netti '!L39</f>
        <v>26</v>
      </c>
      <c r="I3" s="65">
        <f>+'Cons spec netti '!M39</f>
        <v>39</v>
      </c>
      <c r="J3" s="65">
        <f>+'Cons spec netti '!N39</f>
        <v>65</v>
      </c>
    </row>
    <row r="4" spans="1:10" ht="15" customHeight="1">
      <c r="A4" s="80" t="s">
        <v>57</v>
      </c>
      <c r="B4" s="65">
        <f>+'Cons spec tot e finalizzati'!G38</f>
        <v>0</v>
      </c>
      <c r="C4" s="65">
        <f>+'Cons spec tot e finalizzati'!I38</f>
        <v>0</v>
      </c>
      <c r="D4" s="67">
        <f>+'Cons spec tot e finalizzati'!K38</f>
        <v>0</v>
      </c>
      <c r="E4" s="67">
        <f>+'Cons spec tot e finalizzati'!M38</f>
        <v>0</v>
      </c>
      <c r="F4" s="67">
        <f>+'Cons spec tot e finalizzati'!O38</f>
        <v>0</v>
      </c>
      <c r="G4" s="67">
        <f>+'Cons spec tot e finalizzati'!Q38</f>
        <v>0</v>
      </c>
      <c r="H4" s="67">
        <f>+'Cons spec tot e finalizzati'!S38</f>
        <v>0</v>
      </c>
      <c r="I4" s="67">
        <f>+'Cons spec tot e finalizzati'!U38</f>
        <v>0</v>
      </c>
      <c r="J4" s="67">
        <f>+'Cons spec tot e finalizzati'!W38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157.14285714285714</v>
      </c>
      <c r="D6" s="237">
        <f t="shared" si="0"/>
        <v>164.28571428571428</v>
      </c>
      <c r="E6" s="237">
        <f t="shared" si="0"/>
        <v>164.28571428571428</v>
      </c>
      <c r="F6" s="237">
        <f t="shared" si="0"/>
        <v>107.14285714285714</v>
      </c>
      <c r="G6" s="237">
        <f t="shared" si="0"/>
        <v>14.285714285714285</v>
      </c>
      <c r="H6" s="237">
        <f t="shared" si="0"/>
        <v>92.85714285714286</v>
      </c>
      <c r="I6" s="237">
        <f t="shared" si="0"/>
        <v>139.28571428571428</v>
      </c>
      <c r="J6" s="237">
        <f t="shared" si="0"/>
        <v>232.14285714285717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</cols>
  <sheetData>
    <row r="1" ht="12.75">
      <c r="A1" t="s">
        <v>184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'!F42</f>
        <v>781</v>
      </c>
      <c r="C3" s="65">
        <f>+'Cons spec netti '!G42</f>
        <v>1120</v>
      </c>
      <c r="D3" s="65">
        <f>+'Cons spec netti '!H42</f>
        <v>1239</v>
      </c>
      <c r="E3" s="65">
        <f>+'Cons spec netti '!I42</f>
        <v>1008</v>
      </c>
      <c r="F3" s="65">
        <f>+'Cons spec netti '!J42</f>
        <v>1045</v>
      </c>
      <c r="G3" s="65">
        <f>+'Cons spec netti '!K42</f>
        <v>1063</v>
      </c>
      <c r="H3" s="65">
        <f>+'Cons spec netti '!L42</f>
        <v>983</v>
      </c>
      <c r="I3" s="65">
        <f>+'Cons spec netti '!M42</f>
        <v>900</v>
      </c>
      <c r="J3" s="65">
        <f>+'Cons spec netti '!N42</f>
        <v>946</v>
      </c>
    </row>
    <row r="4" spans="1:10" ht="15" customHeight="1">
      <c r="A4" s="80" t="s">
        <v>57</v>
      </c>
      <c r="B4" s="65">
        <f>+'Cons spec tot e finalizzati'!G42</f>
        <v>0</v>
      </c>
      <c r="C4" s="65">
        <f>+'Cons spec tot e finalizzati'!I42</f>
        <v>0</v>
      </c>
      <c r="D4" s="67">
        <f>+'Cons spec tot e finalizzati'!K42</f>
        <v>0</v>
      </c>
      <c r="E4" s="67">
        <f>+'Cons spec tot e finalizzati'!M42</f>
        <v>0</v>
      </c>
      <c r="F4" s="67">
        <f>+'Cons spec tot e finalizzati'!O42</f>
        <v>0</v>
      </c>
      <c r="G4" s="67">
        <f>+'Cons spec tot e finalizzati'!Q42</f>
        <v>0</v>
      </c>
      <c r="H4" s="67">
        <f>+'Cons spec tot e finalizzati'!S42</f>
        <v>0</v>
      </c>
      <c r="I4" s="67">
        <f>+'Cons spec tot e finalizzati'!U42</f>
        <v>0</v>
      </c>
      <c r="J4" s="67">
        <f>+'Cons spec tot e finalizzati'!W42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143.40588988476313</v>
      </c>
      <c r="D6" s="237">
        <f t="shared" si="0"/>
        <v>158.6427656850192</v>
      </c>
      <c r="E6" s="237">
        <f t="shared" si="0"/>
        <v>129.0653008962868</v>
      </c>
      <c r="F6" s="237">
        <f t="shared" si="0"/>
        <v>133.80281690140845</v>
      </c>
      <c r="G6" s="237">
        <f t="shared" si="0"/>
        <v>136.10755441741358</v>
      </c>
      <c r="H6" s="237">
        <f t="shared" si="0"/>
        <v>125.86427656850192</v>
      </c>
      <c r="I6" s="237">
        <f t="shared" si="0"/>
        <v>115.23687580025607</v>
      </c>
      <c r="J6" s="237">
        <f t="shared" si="0"/>
        <v>121.12676056338027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</cols>
  <sheetData>
    <row r="1" ht="12.75">
      <c r="A1" t="s">
        <v>70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'!F49</f>
        <v>71</v>
      </c>
      <c r="C3" s="65">
        <f>+'Cons spec netti '!G49</f>
        <v>80</v>
      </c>
      <c r="D3" s="65">
        <f>+'Cons spec netti '!H49</f>
        <v>89</v>
      </c>
      <c r="E3" s="65">
        <f>+'Cons spec netti '!I49</f>
        <v>116</v>
      </c>
      <c r="F3" s="65">
        <f>+'Cons spec netti '!J49</f>
        <v>80</v>
      </c>
      <c r="G3" s="65">
        <f>+'Cons spec netti '!K49</f>
        <v>107</v>
      </c>
      <c r="H3" s="65">
        <f>+'Cons spec netti '!L49</f>
        <v>58</v>
      </c>
      <c r="I3" s="65">
        <f>+'Cons spec netti '!M49</f>
        <v>46</v>
      </c>
      <c r="J3" s="65">
        <f>+'Cons spec netti '!N49</f>
        <v>54</v>
      </c>
    </row>
    <row r="4" spans="1:10" ht="15" customHeight="1">
      <c r="A4" s="80" t="s">
        <v>57</v>
      </c>
      <c r="B4" s="65">
        <f>+'Cons spec tot e finalizzati'!G49</f>
        <v>0</v>
      </c>
      <c r="C4" s="65">
        <f>+'Cons spec tot e finalizzati'!I49</f>
        <v>0</v>
      </c>
      <c r="D4" s="67">
        <f>+'Cons spec tot e finalizzati'!K49</f>
        <v>0</v>
      </c>
      <c r="E4" s="67">
        <f>+'Cons spec tot e finalizzati'!M49</f>
        <v>0</v>
      </c>
      <c r="F4" s="67">
        <f>+'Cons spec tot e finalizzati'!O49</f>
        <v>0</v>
      </c>
      <c r="G4" s="67">
        <f>+'Cons spec tot e finalizzati'!Q49</f>
        <v>0</v>
      </c>
      <c r="H4" s="67">
        <f>+'Cons spec tot e finalizzati'!S49</f>
        <v>0</v>
      </c>
      <c r="I4" s="67">
        <f>+'Cons spec tot e finalizzati'!U49</f>
        <v>0</v>
      </c>
      <c r="J4" s="67">
        <f>+'Cons spec tot e finalizzati'!W49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112.67605633802818</v>
      </c>
      <c r="D6" s="237">
        <f t="shared" si="0"/>
        <v>125.35211267605635</v>
      </c>
      <c r="E6" s="237">
        <f t="shared" si="0"/>
        <v>163.38028169014086</v>
      </c>
      <c r="F6" s="237">
        <f t="shared" si="0"/>
        <v>112.67605633802818</v>
      </c>
      <c r="G6" s="237">
        <f t="shared" si="0"/>
        <v>150.70422535211267</v>
      </c>
      <c r="H6" s="237">
        <f t="shared" si="0"/>
        <v>81.69014084507043</v>
      </c>
      <c r="I6" s="237">
        <f t="shared" si="0"/>
        <v>64.7887323943662</v>
      </c>
      <c r="J6" s="237">
        <f t="shared" si="0"/>
        <v>76.05633802816901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5"/>
  <sheetViews>
    <sheetView workbookViewId="0" topLeftCell="A1">
      <pane ySplit="8" topLeftCell="BM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.57421875" style="3" customWidth="1"/>
    <col min="4" max="4" width="46.7109375" style="4" customWidth="1"/>
    <col min="5" max="5" width="0.5625" style="0" customWidth="1"/>
    <col min="6" max="9" width="11.00390625" style="95" customWidth="1"/>
    <col min="10" max="10" width="11.00390625" style="121" customWidth="1"/>
    <col min="11" max="13" width="11.00390625" style="95" customWidth="1"/>
    <col min="14" max="14" width="11.00390625" style="65" bestFit="1" customWidth="1"/>
    <col min="15" max="35" width="9.140625" style="65" customWidth="1"/>
  </cols>
  <sheetData>
    <row r="1" spans="1:35" s="2" customFormat="1" ht="20.25">
      <c r="A1" s="79" t="s">
        <v>164</v>
      </c>
      <c r="B1" s="3"/>
      <c r="C1" s="3"/>
      <c r="D1" s="4"/>
      <c r="E1"/>
      <c r="F1" s="95"/>
      <c r="G1" s="95"/>
      <c r="H1" s="95"/>
      <c r="I1" s="95"/>
      <c r="J1" s="121"/>
      <c r="K1" s="95"/>
      <c r="L1" s="95"/>
      <c r="M1" s="95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</row>
    <row r="2" spans="1:35" s="2" customFormat="1" ht="12.75">
      <c r="A2" s="3"/>
      <c r="B2" s="3"/>
      <c r="C2" s="3"/>
      <c r="D2" s="4"/>
      <c r="E2"/>
      <c r="F2" s="95"/>
      <c r="G2" s="128"/>
      <c r="H2" s="128"/>
      <c r="I2" s="128"/>
      <c r="J2" s="121"/>
      <c r="K2" s="95"/>
      <c r="L2" s="95"/>
      <c r="M2" s="95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</row>
    <row r="3" spans="1:35" s="2" customFormat="1" ht="20.25">
      <c r="A3" s="6"/>
      <c r="B3" s="6"/>
      <c r="C3" s="6"/>
      <c r="D3" s="7" t="s">
        <v>48</v>
      </c>
      <c r="E3"/>
      <c r="F3" s="95"/>
      <c r="G3" s="128"/>
      <c r="H3" s="130"/>
      <c r="I3" s="130"/>
      <c r="J3" s="132"/>
      <c r="K3" s="96"/>
      <c r="L3" s="96"/>
      <c r="M3" s="96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</row>
    <row r="4" spans="1:35" s="2" customFormat="1" ht="12.75">
      <c r="A4" s="6"/>
      <c r="B4" s="6"/>
      <c r="C4" s="6"/>
      <c r="D4" s="9"/>
      <c r="E4"/>
      <c r="F4" s="95"/>
      <c r="G4" s="95"/>
      <c r="H4" s="95"/>
      <c r="I4" s="95"/>
      <c r="J4" s="121"/>
      <c r="K4" s="95"/>
      <c r="L4" s="95"/>
      <c r="M4" s="95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</row>
    <row r="5" spans="1:35" s="2" customFormat="1" ht="12.75">
      <c r="A5" s="81" t="s">
        <v>127</v>
      </c>
      <c r="B5" s="10"/>
      <c r="C5" s="10"/>
      <c r="D5" s="11"/>
      <c r="E5"/>
      <c r="F5" s="95"/>
      <c r="G5" s="95"/>
      <c r="H5" s="95"/>
      <c r="I5" s="95"/>
      <c r="J5" s="121"/>
      <c r="K5" s="95"/>
      <c r="L5" s="95"/>
      <c r="M5" s="95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</row>
    <row r="6" spans="1:35" s="2" customFormat="1" ht="12.75">
      <c r="A6" s="12"/>
      <c r="B6" s="17"/>
      <c r="C6" s="12"/>
      <c r="D6" s="12"/>
      <c r="E6"/>
      <c r="F6" s="164">
        <v>1997</v>
      </c>
      <c r="G6" s="164">
        <v>1998</v>
      </c>
      <c r="H6" s="164">
        <v>1999</v>
      </c>
      <c r="I6" s="164">
        <v>2000</v>
      </c>
      <c r="J6" s="164">
        <v>2001</v>
      </c>
      <c r="K6" s="164">
        <v>2002</v>
      </c>
      <c r="L6" s="164">
        <v>2003</v>
      </c>
      <c r="M6" s="164">
        <v>2004</v>
      </c>
      <c r="N6" s="234">
        <v>2005</v>
      </c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</row>
    <row r="7" spans="1:35" s="2" customFormat="1" ht="12.75">
      <c r="A7" s="12"/>
      <c r="B7" s="12"/>
      <c r="C7" s="12"/>
      <c r="D7" s="12"/>
      <c r="E7"/>
      <c r="F7" s="133" t="s">
        <v>56</v>
      </c>
      <c r="G7" s="133" t="s">
        <v>56</v>
      </c>
      <c r="H7" s="133" t="s">
        <v>56</v>
      </c>
      <c r="I7" s="133" t="s">
        <v>56</v>
      </c>
      <c r="J7" s="207" t="s">
        <v>56</v>
      </c>
      <c r="K7" s="207" t="s">
        <v>56</v>
      </c>
      <c r="L7" s="207" t="s">
        <v>56</v>
      </c>
      <c r="M7" s="207" t="s">
        <v>56</v>
      </c>
      <c r="N7" s="235" t="s">
        <v>56</v>
      </c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</row>
    <row r="8" spans="1:35" s="2" customFormat="1" ht="12.75">
      <c r="A8" s="12"/>
      <c r="B8" s="12"/>
      <c r="C8" s="12"/>
      <c r="D8" s="12"/>
      <c r="E8"/>
      <c r="F8" s="97" t="s">
        <v>51</v>
      </c>
      <c r="G8" s="97" t="s">
        <v>51</v>
      </c>
      <c r="H8" s="97" t="s">
        <v>51</v>
      </c>
      <c r="I8" s="97" t="s">
        <v>51</v>
      </c>
      <c r="J8" s="97" t="s">
        <v>51</v>
      </c>
      <c r="K8" s="97" t="s">
        <v>51</v>
      </c>
      <c r="L8" s="97" t="s">
        <v>51</v>
      </c>
      <c r="M8" s="97" t="s">
        <v>51</v>
      </c>
      <c r="N8" s="97" t="s">
        <v>51</v>
      </c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</row>
    <row r="9" spans="1:35" s="2" customFormat="1" ht="12.75">
      <c r="A9" s="173" t="s">
        <v>0</v>
      </c>
      <c r="B9" s="174"/>
      <c r="C9" s="174"/>
      <c r="D9" s="175"/>
      <c r="E9" s="37"/>
      <c r="F9" s="98">
        <f>+'Cons spec tot e finalizzati'!F9-'Cons spec tot e finalizzati'!G9</f>
        <v>3</v>
      </c>
      <c r="G9" s="98">
        <f>+'Cons spec tot e finalizzati'!H9-'Cons spec tot e finalizzati'!I9</f>
        <v>5</v>
      </c>
      <c r="H9" s="98">
        <f>+'Cons spec tot e finalizzati'!J9-'Cons spec tot e finalizzati'!K9</f>
        <v>2</v>
      </c>
      <c r="I9" s="98">
        <f>+'Cons spec tot e finalizzati'!L9-'Cons spec tot e finalizzati'!M9</f>
        <v>5</v>
      </c>
      <c r="J9" s="98">
        <f>+'Cons spec tot e finalizzati'!N9-'Cons spec tot e finalizzati'!O9</f>
        <v>56</v>
      </c>
      <c r="K9" s="98">
        <f>+'Cons spec tot e finalizzati'!P9-'Cons spec tot e finalizzati'!Q9</f>
        <v>168</v>
      </c>
      <c r="L9" s="98">
        <f>+'Cons spec tot e finalizzati'!R9-'Cons spec tot e finalizzati'!S9</f>
        <v>199</v>
      </c>
      <c r="M9" s="98">
        <f>+'Cons spec tot e finalizzati'!T9-'Cons spec tot e finalizzati'!U9</f>
        <v>86</v>
      </c>
      <c r="N9" s="98">
        <f>+'Cons spec tot e finalizzati'!V9-'Cons spec tot e finalizzati'!W9</f>
        <v>57</v>
      </c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</row>
    <row r="10" spans="1:35" s="2" customFormat="1" ht="12.75">
      <c r="A10" s="13"/>
      <c r="B10" s="8" t="s">
        <v>0</v>
      </c>
      <c r="C10" s="32"/>
      <c r="D10" s="33"/>
      <c r="E10" s="32"/>
      <c r="F10" s="85">
        <f>+'Cons spec tot e finalizzati'!F10-'Cons spec tot e finalizzati'!G10</f>
        <v>3</v>
      </c>
      <c r="G10" s="85">
        <f>+'Cons spec tot e finalizzati'!H10-'Cons spec tot e finalizzati'!I10</f>
        <v>5</v>
      </c>
      <c r="H10" s="85">
        <f>+'Cons spec tot e finalizzati'!J10-'Cons spec tot e finalizzati'!K10</f>
        <v>2</v>
      </c>
      <c r="I10" s="85">
        <f>+'Cons spec tot e finalizzati'!L10-'Cons spec tot e finalizzati'!M10</f>
        <v>5</v>
      </c>
      <c r="J10" s="85">
        <f>+'Cons spec tot e finalizzati'!N10-'Cons spec tot e finalizzati'!O10</f>
        <v>56</v>
      </c>
      <c r="K10" s="85">
        <f>+'Cons spec tot e finalizzati'!P10-'Cons spec tot e finalizzati'!Q10</f>
        <v>80</v>
      </c>
      <c r="L10" s="85">
        <f>+'Cons spec tot e finalizzati'!R10-'Cons spec tot e finalizzati'!S10</f>
        <v>44</v>
      </c>
      <c r="M10" s="85">
        <f>+'Cons spec tot e finalizzati'!T10-'Cons spec tot e finalizzati'!U10</f>
        <v>31</v>
      </c>
      <c r="N10" s="85">
        <f>+'Cons spec tot e finalizzati'!V10-'Cons spec tot e finalizzati'!W10</f>
        <v>57</v>
      </c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</row>
    <row r="11" spans="1:35" s="2" customFormat="1" ht="12.75">
      <c r="A11" s="46"/>
      <c r="B11" s="40" t="s">
        <v>64</v>
      </c>
      <c r="C11" s="40"/>
      <c r="D11" s="47"/>
      <c r="F11" s="82">
        <f>+'Cons spec tot e finalizzati'!F11-'Cons spec tot e finalizzati'!G11</f>
        <v>0</v>
      </c>
      <c r="G11" s="82">
        <f>+'Cons spec tot e finalizzati'!H11-'Cons spec tot e finalizzati'!I11</f>
        <v>0</v>
      </c>
      <c r="H11" s="82">
        <f>+'Cons spec tot e finalizzati'!J11-'Cons spec tot e finalizzati'!K11</f>
        <v>0</v>
      </c>
      <c r="I11" s="85">
        <f>+'Cons spec tot e finalizzati'!L11-'Cons spec tot e finalizzati'!M11</f>
        <v>0</v>
      </c>
      <c r="J11" s="82">
        <f>+'Cons spec tot e finalizzati'!N11-'Cons spec tot e finalizzati'!O11</f>
        <v>0</v>
      </c>
      <c r="K11" s="82">
        <f>+'Cons spec tot e finalizzati'!P11-'Cons spec tot e finalizzati'!Q11</f>
        <v>88</v>
      </c>
      <c r="L11" s="82">
        <f>+'Cons spec tot e finalizzati'!R11-'Cons spec tot e finalizzati'!S11</f>
        <v>155</v>
      </c>
      <c r="M11" s="82">
        <f>+'Cons spec tot e finalizzati'!T11-'Cons spec tot e finalizzati'!U11</f>
        <v>55</v>
      </c>
      <c r="N11" s="82">
        <f>+'Cons spec tot e finalizzati'!V11-'Cons spec tot e finalizzati'!W11</f>
        <v>0</v>
      </c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</row>
    <row r="12" spans="1:35" s="2" customFormat="1" ht="12.75">
      <c r="A12" s="173" t="s">
        <v>1</v>
      </c>
      <c r="B12" s="174"/>
      <c r="C12" s="174"/>
      <c r="D12" s="175"/>
      <c r="E12" s="38"/>
      <c r="F12" s="98">
        <f>+'Cons spec tot e finalizzati'!F12-'Cons spec tot e finalizzati'!G12</f>
        <v>948</v>
      </c>
      <c r="G12" s="98">
        <f>+'Cons spec tot e finalizzati'!H12-'Cons spec tot e finalizzati'!I12</f>
        <v>939</v>
      </c>
      <c r="H12" s="98">
        <f>+'Cons spec tot e finalizzati'!J12-'Cons spec tot e finalizzati'!K12</f>
        <v>961</v>
      </c>
      <c r="I12" s="98">
        <f>+'Cons spec tot e finalizzati'!L12-'Cons spec tot e finalizzati'!M12</f>
        <v>993</v>
      </c>
      <c r="J12" s="98">
        <f>+'Cons spec tot e finalizzati'!N12-'Cons spec tot e finalizzati'!O12</f>
        <v>1432</v>
      </c>
      <c r="K12" s="98">
        <f>+'Cons spec tot e finalizzati'!P12-'Cons spec tot e finalizzati'!Q12</f>
        <v>1216</v>
      </c>
      <c r="L12" s="98">
        <f>+'Cons spec tot e finalizzati'!R12-'Cons spec tot e finalizzati'!S12</f>
        <v>1229</v>
      </c>
      <c r="M12" s="98">
        <f>+'Cons spec tot e finalizzati'!T12-'Cons spec tot e finalizzati'!U12</f>
        <v>1078</v>
      </c>
      <c r="N12" s="98">
        <f>+'Cons spec tot e finalizzati'!V12-'Cons spec tot e finalizzati'!W12</f>
        <v>849</v>
      </c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</row>
    <row r="13" spans="1:35" s="2" customFormat="1" ht="12.75">
      <c r="A13" s="48"/>
      <c r="B13" s="40" t="s">
        <v>78</v>
      </c>
      <c r="C13" s="40"/>
      <c r="D13" s="47"/>
      <c r="F13" s="75">
        <f>+'Cons spec tot e finalizzati'!F13-'Cons spec tot e finalizzati'!G13</f>
        <v>716</v>
      </c>
      <c r="G13" s="82">
        <f>+'Cons spec tot e finalizzati'!H13-'Cons spec tot e finalizzati'!I13</f>
        <v>692</v>
      </c>
      <c r="H13" s="75">
        <f>+'Cons spec tot e finalizzati'!J13-'Cons spec tot e finalizzati'!K13</f>
        <v>568</v>
      </c>
      <c r="I13" s="85">
        <f>+'Cons spec tot e finalizzati'!L13-'Cons spec tot e finalizzati'!M13</f>
        <v>504</v>
      </c>
      <c r="J13" s="82">
        <f>+'Cons spec tot e finalizzati'!N13-'Cons spec tot e finalizzati'!O13</f>
        <v>817</v>
      </c>
      <c r="K13" s="82">
        <f>+'Cons spec tot e finalizzati'!P13-'Cons spec tot e finalizzati'!Q13</f>
        <v>537</v>
      </c>
      <c r="L13" s="82">
        <f>+'Cons spec tot e finalizzati'!R13-'Cons spec tot e finalizzati'!S13</f>
        <v>321</v>
      </c>
      <c r="M13" s="82">
        <f>+'Cons spec tot e finalizzati'!T13-'Cons spec tot e finalizzati'!U13</f>
        <v>186</v>
      </c>
      <c r="N13" s="82">
        <f>+'Cons spec tot e finalizzati'!V13-'Cons spec tot e finalizzati'!W13</f>
        <v>25</v>
      </c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</row>
    <row r="14" spans="1:35" s="2" customFormat="1" ht="12.75">
      <c r="A14" s="48"/>
      <c r="B14" s="39" t="s">
        <v>90</v>
      </c>
      <c r="C14" s="41"/>
      <c r="D14" s="53"/>
      <c r="E14" s="54"/>
      <c r="F14" s="75">
        <f>+'Cons spec tot e finalizzati'!F14-'Cons spec tot e finalizzati'!G14</f>
        <v>232</v>
      </c>
      <c r="G14" s="75">
        <f>+'Cons spec tot e finalizzati'!H14-'Cons spec tot e finalizzati'!I14</f>
        <v>247</v>
      </c>
      <c r="H14" s="75">
        <f>+'Cons spec tot e finalizzati'!J14-'Cons spec tot e finalizzati'!K14</f>
        <v>258</v>
      </c>
      <c r="I14" s="85">
        <f>+'Cons spec tot e finalizzati'!L14-'Cons spec tot e finalizzati'!M14</f>
        <v>278</v>
      </c>
      <c r="J14" s="82">
        <f>+'Cons spec tot e finalizzati'!N14-'Cons spec tot e finalizzati'!O14</f>
        <v>233</v>
      </c>
      <c r="K14" s="82">
        <f>+'Cons spec tot e finalizzati'!P14-'Cons spec tot e finalizzati'!Q14</f>
        <v>231</v>
      </c>
      <c r="L14" s="82">
        <f>+'Cons spec tot e finalizzati'!R14-'Cons spec tot e finalizzati'!S14</f>
        <v>271</v>
      </c>
      <c r="M14" s="82">
        <f>+'Cons spec tot e finalizzati'!T14-'Cons spec tot e finalizzati'!U14</f>
        <v>234</v>
      </c>
      <c r="N14" s="82">
        <f>+'Cons spec tot e finalizzati'!V14-'Cons spec tot e finalizzati'!W14</f>
        <v>225</v>
      </c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</row>
    <row r="15" spans="1:35" s="42" customFormat="1" ht="12.75">
      <c r="A15" s="20"/>
      <c r="B15" s="14" t="s">
        <v>3</v>
      </c>
      <c r="C15" s="14"/>
      <c r="D15" s="21"/>
      <c r="E15"/>
      <c r="F15" s="103">
        <f>+'Cons spec tot e finalizzati'!F15-'Cons spec tot e finalizzati'!G15</f>
        <v>0</v>
      </c>
      <c r="G15" s="103">
        <f>+'Cons spec tot e finalizzati'!H15-'Cons spec tot e finalizzati'!I15</f>
        <v>0</v>
      </c>
      <c r="H15" s="103">
        <f>+'Cons spec tot e finalizzati'!J15-'Cons spec tot e finalizzati'!K15</f>
        <v>135</v>
      </c>
      <c r="I15" s="85">
        <f>+'Cons spec tot e finalizzati'!L15-'Cons spec tot e finalizzati'!M15</f>
        <v>211</v>
      </c>
      <c r="J15" s="85">
        <f>+'Cons spec tot e finalizzati'!N15-'Cons spec tot e finalizzati'!O15</f>
        <v>382</v>
      </c>
      <c r="K15" s="85">
        <f>+'Cons spec tot e finalizzati'!P15-'Cons spec tot e finalizzati'!Q15</f>
        <v>234</v>
      </c>
      <c r="L15" s="85">
        <f>+'Cons spec tot e finalizzati'!R15-'Cons spec tot e finalizzati'!S15</f>
        <v>442</v>
      </c>
      <c r="M15" s="85">
        <f>+'Cons spec tot e finalizzati'!T15-'Cons spec tot e finalizzati'!U15</f>
        <v>481</v>
      </c>
      <c r="N15" s="85">
        <f>+'Cons spec tot e finalizzati'!V15-'Cons spec tot e finalizzati'!W15</f>
        <v>599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</row>
    <row r="16" spans="1:35" s="42" customFormat="1" ht="12.75">
      <c r="A16" s="20"/>
      <c r="B16" s="14" t="s">
        <v>65</v>
      </c>
      <c r="C16" s="14"/>
      <c r="D16" s="21"/>
      <c r="E16"/>
      <c r="F16" s="103">
        <f>+'Cons spec tot e finalizzati'!F16-'Cons spec tot e finalizzati'!G16</f>
        <v>0</v>
      </c>
      <c r="G16" s="103">
        <f>+'Cons spec tot e finalizzati'!H16-'Cons spec tot e finalizzati'!I16</f>
        <v>0</v>
      </c>
      <c r="H16" s="103">
        <f>+'Cons spec tot e finalizzati'!J16-'Cons spec tot e finalizzati'!K16</f>
        <v>0</v>
      </c>
      <c r="I16" s="85">
        <f>+'Cons spec tot e finalizzati'!L16-'Cons spec tot e finalizzati'!M16</f>
        <v>0</v>
      </c>
      <c r="J16" s="85">
        <f>+'Cons spec tot e finalizzati'!N16-'Cons spec tot e finalizzati'!O16</f>
        <v>0</v>
      </c>
      <c r="K16" s="85">
        <f>+'Cons spec tot e finalizzati'!P16-'Cons spec tot e finalizzati'!Q16</f>
        <v>214</v>
      </c>
      <c r="L16" s="85">
        <f>+'Cons spec tot e finalizzati'!R16-'Cons spec tot e finalizzati'!S16</f>
        <v>195</v>
      </c>
      <c r="M16" s="85">
        <f>+'Cons spec tot e finalizzati'!T16-'Cons spec tot e finalizzati'!U16</f>
        <v>177</v>
      </c>
      <c r="N16" s="85">
        <f>+'Cons spec tot e finalizzati'!V16-'Cons spec tot e finalizzati'!W16</f>
        <v>0</v>
      </c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</row>
    <row r="17" spans="1:35" s="2" customFormat="1" ht="12.75">
      <c r="A17" s="173" t="s">
        <v>132</v>
      </c>
      <c r="B17" s="174"/>
      <c r="C17" s="174"/>
      <c r="D17" s="175"/>
      <c r="E17" s="38"/>
      <c r="F17" s="98">
        <f>+'Cons spec tot e finalizzati'!F17-'Cons spec tot e finalizzati'!G17</f>
        <v>688</v>
      </c>
      <c r="G17" s="98">
        <f>+'Cons spec tot e finalizzati'!H17-'Cons spec tot e finalizzati'!I17</f>
        <v>510</v>
      </c>
      <c r="H17" s="98">
        <f>+'Cons spec tot e finalizzati'!J17-'Cons spec tot e finalizzati'!K17</f>
        <v>774</v>
      </c>
      <c r="I17" s="98">
        <f>+'Cons spec tot e finalizzati'!L17-'Cons spec tot e finalizzati'!M17</f>
        <v>524</v>
      </c>
      <c r="J17" s="98">
        <f>+'Cons spec tot e finalizzati'!N17-'Cons spec tot e finalizzati'!O17</f>
        <v>918</v>
      </c>
      <c r="K17" s="98">
        <f>+'Cons spec tot e finalizzati'!P17-'Cons spec tot e finalizzati'!Q17</f>
        <v>1426</v>
      </c>
      <c r="L17" s="98">
        <f>+'Cons spec tot e finalizzati'!R17-'Cons spec tot e finalizzati'!S17</f>
        <v>1383</v>
      </c>
      <c r="M17" s="98">
        <f>+'Cons spec tot e finalizzati'!T17-'Cons spec tot e finalizzati'!U17</f>
        <v>1234</v>
      </c>
      <c r="N17" s="98">
        <f>+'Cons spec tot e finalizzati'!V17-'Cons spec tot e finalizzati'!W17</f>
        <v>1010</v>
      </c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</row>
    <row r="18" spans="1:35" s="42" customFormat="1" ht="12.75">
      <c r="A18" s="20"/>
      <c r="B18" s="40" t="s">
        <v>9</v>
      </c>
      <c r="D18" s="30"/>
      <c r="E18"/>
      <c r="F18" s="82">
        <f>+'Cons spec tot e finalizzati'!F18-'Cons spec tot e finalizzati'!G18</f>
        <v>0</v>
      </c>
      <c r="G18" s="82">
        <f>+'Cons spec tot e finalizzati'!H18-'Cons spec tot e finalizzati'!I18</f>
        <v>0</v>
      </c>
      <c r="H18" s="75">
        <f>+'Cons spec tot e finalizzati'!J18-'Cons spec tot e finalizzati'!K18</f>
        <v>0</v>
      </c>
      <c r="I18" s="85">
        <f>+'Cons spec tot e finalizzati'!L18-'Cons spec tot e finalizzati'!M18</f>
        <v>0</v>
      </c>
      <c r="J18" s="82">
        <f>+'Cons spec tot e finalizzati'!N18-'Cons spec tot e finalizzati'!O18</f>
        <v>0</v>
      </c>
      <c r="K18" s="82">
        <f>+'Cons spec tot e finalizzati'!P18-'Cons spec tot e finalizzati'!Q18</f>
        <v>222</v>
      </c>
      <c r="L18" s="82">
        <f>+'Cons spec tot e finalizzati'!R18-'Cons spec tot e finalizzati'!S18</f>
        <v>45</v>
      </c>
      <c r="M18" s="82">
        <f>+'Cons spec tot e finalizzati'!T18-'Cons spec tot e finalizzati'!U18</f>
        <v>123</v>
      </c>
      <c r="N18" s="82">
        <f>+'Cons spec tot e finalizzati'!V18-'Cons spec tot e finalizzati'!W18</f>
        <v>119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</row>
    <row r="19" spans="1:35" s="42" customFormat="1" ht="12.75">
      <c r="A19" s="20"/>
      <c r="B19" s="40" t="s">
        <v>119</v>
      </c>
      <c r="D19" s="30"/>
      <c r="E19"/>
      <c r="F19" s="82">
        <f>+'Cons spec tot e finalizzati'!F19-'Cons spec tot e finalizzati'!G19</f>
        <v>0</v>
      </c>
      <c r="G19" s="82">
        <f>+'Cons spec tot e finalizzati'!H19-'Cons spec tot e finalizzati'!I19</f>
        <v>0</v>
      </c>
      <c r="H19" s="75">
        <f>+'Cons spec tot e finalizzati'!J19-'Cons spec tot e finalizzati'!K19</f>
        <v>0</v>
      </c>
      <c r="I19" s="85">
        <f>+'Cons spec tot e finalizzati'!L19-'Cons spec tot e finalizzati'!M19</f>
        <v>0</v>
      </c>
      <c r="J19" s="82">
        <f>+'Cons spec tot e finalizzati'!N19-'Cons spec tot e finalizzati'!O19</f>
        <v>0</v>
      </c>
      <c r="K19" s="82">
        <f>+'Cons spec tot e finalizzati'!P19-'Cons spec tot e finalizzati'!Q19</f>
        <v>190</v>
      </c>
      <c r="L19" s="82">
        <f>+'Cons spec tot e finalizzati'!R19-'Cons spec tot e finalizzati'!S19</f>
        <v>431</v>
      </c>
      <c r="M19" s="82">
        <f>+'Cons spec tot e finalizzati'!T19-'Cons spec tot e finalizzati'!U19</f>
        <v>364</v>
      </c>
      <c r="N19" s="82">
        <f>+'Cons spec tot e finalizzati'!V19-'Cons spec tot e finalizzati'!W19</f>
        <v>406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</row>
    <row r="20" spans="1:35" s="42" customFormat="1" ht="12.75">
      <c r="A20" s="20"/>
      <c r="B20" s="40" t="s">
        <v>120</v>
      </c>
      <c r="D20" s="30"/>
      <c r="E20"/>
      <c r="F20" s="82">
        <f>+'Cons spec tot e finalizzati'!F20-'Cons spec tot e finalizzati'!G20</f>
        <v>0</v>
      </c>
      <c r="G20" s="82">
        <f>+'Cons spec tot e finalizzati'!H20-'Cons spec tot e finalizzati'!I20</f>
        <v>0</v>
      </c>
      <c r="H20" s="75">
        <f>+'Cons spec tot e finalizzati'!J20-'Cons spec tot e finalizzati'!K20</f>
        <v>0</v>
      </c>
      <c r="I20" s="85">
        <f>+'Cons spec tot e finalizzati'!L20-'Cons spec tot e finalizzati'!M20</f>
        <v>0</v>
      </c>
      <c r="J20" s="82">
        <f>+'Cons spec tot e finalizzati'!N20-'Cons spec tot e finalizzati'!O20</f>
        <v>0</v>
      </c>
      <c r="K20" s="82">
        <f>+'Cons spec tot e finalizzati'!P20-'Cons spec tot e finalizzati'!Q20</f>
        <v>479</v>
      </c>
      <c r="L20" s="82">
        <f>+'Cons spec tot e finalizzati'!R20-'Cons spec tot e finalizzati'!S20</f>
        <v>393</v>
      </c>
      <c r="M20" s="82">
        <f>+'Cons spec tot e finalizzati'!T20-'Cons spec tot e finalizzati'!U20</f>
        <v>256</v>
      </c>
      <c r="N20" s="82">
        <f>+'Cons spec tot e finalizzati'!V20-'Cons spec tot e finalizzati'!W20</f>
        <v>71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</row>
    <row r="21" spans="1:35" s="42" customFormat="1" ht="12.75">
      <c r="A21" s="20"/>
      <c r="B21" s="40" t="s">
        <v>121</v>
      </c>
      <c r="D21" s="30"/>
      <c r="E21"/>
      <c r="F21" s="82">
        <f>+'Cons spec tot e finalizzati'!F21-'Cons spec tot e finalizzati'!G21</f>
        <v>0</v>
      </c>
      <c r="G21" s="82">
        <f>+'Cons spec tot e finalizzati'!H21-'Cons spec tot e finalizzati'!I21</f>
        <v>0</v>
      </c>
      <c r="H21" s="75">
        <f>+'Cons spec tot e finalizzati'!J21-'Cons spec tot e finalizzati'!K21</f>
        <v>0</v>
      </c>
      <c r="I21" s="85">
        <f>+'Cons spec tot e finalizzati'!L21-'Cons spec tot e finalizzati'!M21</f>
        <v>0</v>
      </c>
      <c r="J21" s="82">
        <f>+'Cons spec tot e finalizzati'!N21-'Cons spec tot e finalizzati'!O21</f>
        <v>0</v>
      </c>
      <c r="K21" s="82">
        <f>+'Cons spec tot e finalizzati'!P21-'Cons spec tot e finalizzati'!Q21</f>
        <v>52</v>
      </c>
      <c r="L21" s="82">
        <f>+'Cons spec tot e finalizzati'!R21-'Cons spec tot e finalizzati'!S21</f>
        <v>69</v>
      </c>
      <c r="M21" s="82">
        <f>+'Cons spec tot e finalizzati'!T21-'Cons spec tot e finalizzati'!U21</f>
        <v>0</v>
      </c>
      <c r="N21" s="82">
        <f>+'Cons spec tot e finalizzati'!V21-'Cons spec tot e finalizzati'!W21</f>
        <v>0</v>
      </c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42" customFormat="1" ht="12.75">
      <c r="A22" s="20"/>
      <c r="B22" s="40" t="s">
        <v>122</v>
      </c>
      <c r="D22" s="30"/>
      <c r="E22"/>
      <c r="F22" s="82">
        <f>+'Cons spec tot e finalizzati'!F22-'Cons spec tot e finalizzati'!G22</f>
        <v>0</v>
      </c>
      <c r="G22" s="82">
        <f>+'Cons spec tot e finalizzati'!H22-'Cons spec tot e finalizzati'!I22</f>
        <v>0</v>
      </c>
      <c r="H22" s="75">
        <f>+'Cons spec tot e finalizzati'!J22-'Cons spec tot e finalizzati'!K22</f>
        <v>0</v>
      </c>
      <c r="I22" s="85">
        <f>+'Cons spec tot e finalizzati'!L22-'Cons spec tot e finalizzati'!M22</f>
        <v>0</v>
      </c>
      <c r="J22" s="82">
        <f>+'Cons spec tot e finalizzati'!N22-'Cons spec tot e finalizzati'!O22</f>
        <v>0</v>
      </c>
      <c r="K22" s="82">
        <f>+'Cons spec tot e finalizzati'!P22-'Cons spec tot e finalizzati'!Q22</f>
        <v>483</v>
      </c>
      <c r="L22" s="82">
        <f>+'Cons spec tot e finalizzati'!R22-'Cons spec tot e finalizzati'!S22</f>
        <v>445</v>
      </c>
      <c r="M22" s="82">
        <f>+'Cons spec tot e finalizzati'!T22-'Cons spec tot e finalizzati'!U22</f>
        <v>491</v>
      </c>
      <c r="N22" s="82">
        <f>+'Cons spec tot e finalizzati'!V22-'Cons spec tot e finalizzati'!W22</f>
        <v>414</v>
      </c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</row>
    <row r="23" spans="1:35" s="2" customFormat="1" ht="12.75">
      <c r="A23" s="173" t="s">
        <v>4</v>
      </c>
      <c r="B23" s="174"/>
      <c r="C23" s="174"/>
      <c r="D23" s="175"/>
      <c r="E23" s="38"/>
      <c r="F23" s="101">
        <f>+'Cons spec tot e finalizzati'!F23-'Cons spec tot e finalizzati'!G23</f>
        <v>303</v>
      </c>
      <c r="G23" s="101">
        <f>+'Cons spec tot e finalizzati'!H23-'Cons spec tot e finalizzati'!I23</f>
        <v>334</v>
      </c>
      <c r="H23" s="124">
        <f>+'Cons spec tot e finalizzati'!J23-'Cons spec tot e finalizzati'!K23</f>
        <v>315</v>
      </c>
      <c r="I23" s="124">
        <f>+'Cons spec tot e finalizzati'!L23-'Cons spec tot e finalizzati'!M23</f>
        <v>361</v>
      </c>
      <c r="J23" s="101">
        <f>+'Cons spec tot e finalizzati'!N23-'Cons spec tot e finalizzati'!O23</f>
        <v>339</v>
      </c>
      <c r="K23" s="101">
        <f>+'Cons spec tot e finalizzati'!P23-'Cons spec tot e finalizzati'!Q23</f>
        <v>265</v>
      </c>
      <c r="L23" s="101">
        <f>+'Cons spec tot e finalizzati'!R23-'Cons spec tot e finalizzati'!S23</f>
        <v>250</v>
      </c>
      <c r="M23" s="101">
        <f>+'Cons spec tot e finalizzati'!T23-'Cons spec tot e finalizzati'!U23</f>
        <v>359</v>
      </c>
      <c r="N23" s="101">
        <f>+'Cons spec tot e finalizzati'!V23-'Cons spec tot e finalizzati'!W23</f>
        <v>378</v>
      </c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</row>
    <row r="24" spans="1:35" s="2" customFormat="1" ht="12.75">
      <c r="A24" s="173" t="s">
        <v>131</v>
      </c>
      <c r="B24" s="174"/>
      <c r="C24" s="174"/>
      <c r="D24" s="175"/>
      <c r="E24" s="38"/>
      <c r="F24" s="101">
        <f>+'Cons spec tot e finalizzati'!F24-'Cons spec tot e finalizzati'!G24</f>
        <v>468</v>
      </c>
      <c r="G24" s="101">
        <f>+'Cons spec tot e finalizzati'!H24-'Cons spec tot e finalizzati'!I24</f>
        <v>159</v>
      </c>
      <c r="H24" s="124">
        <f>+'Cons spec tot e finalizzati'!J24-'Cons spec tot e finalizzati'!K24</f>
        <v>258</v>
      </c>
      <c r="I24" s="124">
        <f>+'Cons spec tot e finalizzati'!L24-'Cons spec tot e finalizzati'!M24</f>
        <v>150</v>
      </c>
      <c r="J24" s="101">
        <f>+'Cons spec tot e finalizzati'!N24-'Cons spec tot e finalizzati'!O24</f>
        <v>127</v>
      </c>
      <c r="K24" s="101">
        <f>+'Cons spec tot e finalizzati'!P24-'Cons spec tot e finalizzati'!Q24</f>
        <v>73</v>
      </c>
      <c r="L24" s="101">
        <f>+'Cons spec tot e finalizzati'!R24-'Cons spec tot e finalizzati'!S24</f>
        <v>71</v>
      </c>
      <c r="M24" s="101">
        <f>+'Cons spec tot e finalizzati'!T24-'Cons spec tot e finalizzati'!U24</f>
        <v>124</v>
      </c>
      <c r="N24" s="101">
        <f>+'Cons spec tot e finalizzati'!V24-'Cons spec tot e finalizzati'!W24</f>
        <v>63</v>
      </c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</row>
    <row r="25" spans="1:35" s="2" customFormat="1" ht="12.75">
      <c r="A25" s="173" t="s">
        <v>79</v>
      </c>
      <c r="B25" s="174"/>
      <c r="C25" s="174"/>
      <c r="D25" s="175"/>
      <c r="E25" s="38"/>
      <c r="F25" s="101">
        <f>+'Cons spec tot e finalizzati'!F25-'Cons spec tot e finalizzati'!G25</f>
        <v>187</v>
      </c>
      <c r="G25" s="101">
        <f>+'Cons spec tot e finalizzati'!H25-'Cons spec tot e finalizzati'!I25</f>
        <v>278</v>
      </c>
      <c r="H25" s="124">
        <f>+'Cons spec tot e finalizzati'!J25-'Cons spec tot e finalizzati'!K25</f>
        <v>315</v>
      </c>
      <c r="I25" s="124">
        <f>+'Cons spec tot e finalizzati'!L25-'Cons spec tot e finalizzati'!M25</f>
        <v>227</v>
      </c>
      <c r="J25" s="101">
        <f>+'Cons spec tot e finalizzati'!N25-'Cons spec tot e finalizzati'!O25</f>
        <v>239</v>
      </c>
      <c r="K25" s="101">
        <f>+'Cons spec tot e finalizzati'!P25-'Cons spec tot e finalizzati'!Q25</f>
        <v>280</v>
      </c>
      <c r="L25" s="101">
        <f>+'Cons spec tot e finalizzati'!R25-'Cons spec tot e finalizzati'!S25</f>
        <v>265</v>
      </c>
      <c r="M25" s="101">
        <f>+'Cons spec tot e finalizzati'!T25-'Cons spec tot e finalizzati'!U25</f>
        <v>215</v>
      </c>
      <c r="N25" s="101">
        <f>+'Cons spec tot e finalizzati'!V25-'Cons spec tot e finalizzati'!W25</f>
        <v>203</v>
      </c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</row>
    <row r="26" spans="1:35" s="2" customFormat="1" ht="12.75">
      <c r="A26" s="173" t="s">
        <v>80</v>
      </c>
      <c r="B26" s="174"/>
      <c r="C26" s="174"/>
      <c r="D26" s="175"/>
      <c r="E26" s="38"/>
      <c r="F26" s="101">
        <f>+'Cons spec tot e finalizzati'!F26-'Cons spec tot e finalizzati'!G26</f>
        <v>0</v>
      </c>
      <c r="G26" s="101">
        <f>+'Cons spec tot e finalizzati'!H26-'Cons spec tot e finalizzati'!I26</f>
        <v>0</v>
      </c>
      <c r="H26" s="124">
        <f>+'Cons spec tot e finalizzati'!J26-'Cons spec tot e finalizzati'!K26</f>
        <v>0</v>
      </c>
      <c r="I26" s="124">
        <f>+'Cons spec tot e finalizzati'!L26-'Cons spec tot e finalizzati'!M26</f>
        <v>250</v>
      </c>
      <c r="J26" s="101">
        <f>+'Cons spec tot e finalizzati'!N26-'Cons spec tot e finalizzati'!O26</f>
        <v>874</v>
      </c>
      <c r="K26" s="101">
        <f>+'Cons spec tot e finalizzati'!P26-'Cons spec tot e finalizzati'!Q26</f>
        <v>810</v>
      </c>
      <c r="L26" s="101">
        <f>+'Cons spec tot e finalizzati'!R26-'Cons spec tot e finalizzati'!S26</f>
        <v>916</v>
      </c>
      <c r="M26" s="101">
        <f>+'Cons spec tot e finalizzati'!T26-'Cons spec tot e finalizzati'!U26</f>
        <v>844</v>
      </c>
      <c r="N26" s="101">
        <f>+'Cons spec tot e finalizzati'!V26-'Cons spec tot e finalizzati'!W26</f>
        <v>921</v>
      </c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</row>
    <row r="27" spans="1:35" s="2" customFormat="1" ht="12.75">
      <c r="A27" s="173" t="s">
        <v>133</v>
      </c>
      <c r="B27" s="174"/>
      <c r="C27" s="174"/>
      <c r="D27" s="175"/>
      <c r="E27" s="38"/>
      <c r="F27" s="101">
        <f>+'Cons spec tot e finalizzati'!F27-'Cons spec tot e finalizzati'!G27</f>
        <v>0</v>
      </c>
      <c r="G27" s="101">
        <f>+'Cons spec tot e finalizzati'!H27-'Cons spec tot e finalizzati'!I27</f>
        <v>0</v>
      </c>
      <c r="H27" s="124">
        <f>+'Cons spec tot e finalizzati'!J27-'Cons spec tot e finalizzati'!K27</f>
        <v>0</v>
      </c>
      <c r="I27" s="124">
        <f>+'Cons spec tot e finalizzati'!L27-'Cons spec tot e finalizzati'!M27</f>
        <v>0</v>
      </c>
      <c r="J27" s="101">
        <f>+'Cons spec tot e finalizzati'!N27-'Cons spec tot e finalizzati'!O27</f>
        <v>0</v>
      </c>
      <c r="K27" s="101">
        <f>+'Cons spec tot e finalizzati'!P27-'Cons spec tot e finalizzati'!Q27</f>
        <v>0</v>
      </c>
      <c r="L27" s="101">
        <f>+'Cons spec tot e finalizzati'!R27-'Cons spec tot e finalizzati'!S27</f>
        <v>0</v>
      </c>
      <c r="M27" s="101">
        <f>+'Cons spec tot e finalizzati'!T27-'Cons spec tot e finalizzati'!U27</f>
        <v>35</v>
      </c>
      <c r="N27" s="101">
        <f>+'Cons spec tot e finalizzati'!V27-'Cons spec tot e finalizzati'!W27</f>
        <v>36</v>
      </c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</row>
    <row r="28" spans="1:35" s="2" customFormat="1" ht="12.75">
      <c r="A28" s="173" t="s">
        <v>135</v>
      </c>
      <c r="B28" s="174"/>
      <c r="C28" s="174"/>
      <c r="D28" s="175"/>
      <c r="E28" s="38"/>
      <c r="F28" s="101">
        <f>+'Cons spec tot e finalizzati'!F28-'Cons spec tot e finalizzati'!G28</f>
        <v>0</v>
      </c>
      <c r="G28" s="101">
        <f>+'Cons spec tot e finalizzati'!H28-'Cons spec tot e finalizzati'!I28</f>
        <v>0</v>
      </c>
      <c r="H28" s="124">
        <f>+'Cons spec tot e finalizzati'!J28-'Cons spec tot e finalizzati'!K28</f>
        <v>0</v>
      </c>
      <c r="I28" s="124">
        <f>+'Cons spec tot e finalizzati'!L28-'Cons spec tot e finalizzati'!M28</f>
        <v>0</v>
      </c>
      <c r="J28" s="101">
        <f>+'Cons spec tot e finalizzati'!N28-'Cons spec tot e finalizzati'!O28</f>
        <v>0</v>
      </c>
      <c r="K28" s="101">
        <f>+'Cons spec tot e finalizzati'!P28-'Cons spec tot e finalizzati'!Q28</f>
        <v>0</v>
      </c>
      <c r="L28" s="101">
        <f>+'Cons spec tot e finalizzati'!R28-'Cons spec tot e finalizzati'!S28</f>
        <v>0</v>
      </c>
      <c r="M28" s="101">
        <f>+'Cons spec tot e finalizzati'!T28-'Cons spec tot e finalizzati'!U28</f>
        <v>7</v>
      </c>
      <c r="N28" s="101">
        <f>+'Cons spec tot e finalizzati'!V28-'Cons spec tot e finalizzati'!W28</f>
        <v>6</v>
      </c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</row>
    <row r="29" spans="1:35" s="2" customFormat="1" ht="12.75">
      <c r="A29" s="192" t="s">
        <v>134</v>
      </c>
      <c r="B29" s="174"/>
      <c r="C29" s="174"/>
      <c r="D29" s="175"/>
      <c r="E29" s="38"/>
      <c r="F29" s="102">
        <f>+'Cons spec tot e finalizzati'!F29-'Cons spec tot e finalizzati'!G29</f>
        <v>784</v>
      </c>
      <c r="G29" s="102">
        <f>+'Cons spec tot e finalizzati'!H29-'Cons spec tot e finalizzati'!I29</f>
        <v>722</v>
      </c>
      <c r="H29" s="102">
        <f>+'Cons spec tot e finalizzati'!J29-'Cons spec tot e finalizzati'!K29</f>
        <v>999</v>
      </c>
      <c r="I29" s="102">
        <f>+'Cons spec tot e finalizzati'!L29-'Cons spec tot e finalizzati'!M29</f>
        <v>1194</v>
      </c>
      <c r="J29" s="102">
        <f>+'Cons spec tot e finalizzati'!N29-'Cons spec tot e finalizzati'!O29</f>
        <v>1101</v>
      </c>
      <c r="K29" s="102">
        <f>+'Cons spec tot e finalizzati'!P29-'Cons spec tot e finalizzati'!Q29</f>
        <v>737</v>
      </c>
      <c r="L29" s="102">
        <f>+'Cons spec tot e finalizzati'!R29-'Cons spec tot e finalizzati'!S29</f>
        <v>220</v>
      </c>
      <c r="M29" s="102">
        <f>+'Cons spec tot e finalizzati'!T29-'Cons spec tot e finalizzati'!U29</f>
        <v>372</v>
      </c>
      <c r="N29" s="102">
        <f>+'Cons spec tot e finalizzati'!V29-'Cons spec tot e finalizzati'!W29</f>
        <v>159</v>
      </c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</row>
    <row r="30" spans="1:35" s="2" customFormat="1" ht="12.75">
      <c r="A30" s="46"/>
      <c r="B30" s="40" t="s">
        <v>6</v>
      </c>
      <c r="C30" s="40"/>
      <c r="D30" s="47"/>
      <c r="F30" s="82">
        <f>+'Cons spec tot e finalizzati'!F30-'Cons spec tot e finalizzati'!G30</f>
        <v>199</v>
      </c>
      <c r="G30" s="82">
        <f>+'Cons spec tot e finalizzati'!H30-'Cons spec tot e finalizzati'!I30</f>
        <v>154</v>
      </c>
      <c r="H30" s="82">
        <f>+'Cons spec tot e finalizzati'!J30-'Cons spec tot e finalizzati'!K30</f>
        <v>200</v>
      </c>
      <c r="I30" s="85">
        <f>+'Cons spec tot e finalizzati'!L30-'Cons spec tot e finalizzati'!M30</f>
        <v>79</v>
      </c>
      <c r="J30" s="82">
        <f>+'Cons spec tot e finalizzati'!N30-'Cons spec tot e finalizzati'!O30</f>
        <v>98</v>
      </c>
      <c r="K30" s="82">
        <f>+'Cons spec tot e finalizzati'!P30-'Cons spec tot e finalizzati'!Q30</f>
        <v>44</v>
      </c>
      <c r="L30" s="82">
        <f>+'Cons spec tot e finalizzati'!R30-'Cons spec tot e finalizzati'!S30</f>
        <v>36</v>
      </c>
      <c r="M30" s="82">
        <f>+'Cons spec tot e finalizzati'!T30-'Cons spec tot e finalizzati'!U30</f>
        <v>39</v>
      </c>
      <c r="N30" s="82">
        <f>+'Cons spec tot e finalizzati'!V30-'Cons spec tot e finalizzati'!W30</f>
        <v>14</v>
      </c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</row>
    <row r="31" spans="1:35" s="2" customFormat="1" ht="12.75">
      <c r="A31" s="46"/>
      <c r="B31" s="41" t="s">
        <v>7</v>
      </c>
      <c r="C31" s="40"/>
      <c r="D31" s="47"/>
      <c r="F31" s="99">
        <f>+'Cons spec tot e finalizzati'!F31-'Cons spec tot e finalizzati'!G31</f>
        <v>4</v>
      </c>
      <c r="G31" s="99">
        <f>+'Cons spec tot e finalizzati'!H31-'Cons spec tot e finalizzati'!I31</f>
        <v>10</v>
      </c>
      <c r="H31" s="99">
        <f>+'Cons spec tot e finalizzati'!J31-'Cons spec tot e finalizzati'!K31</f>
        <v>24</v>
      </c>
      <c r="I31" s="141">
        <f>+'Cons spec tot e finalizzati'!L31-'Cons spec tot e finalizzati'!M31</f>
        <v>23</v>
      </c>
      <c r="J31" s="82">
        <f>+'Cons spec tot e finalizzati'!N31-'Cons spec tot e finalizzati'!O31</f>
        <v>0</v>
      </c>
      <c r="K31" s="82">
        <f>+'Cons spec tot e finalizzati'!P31-'Cons spec tot e finalizzati'!Q31</f>
        <v>0</v>
      </c>
      <c r="L31" s="82">
        <f>+'Cons spec tot e finalizzati'!R31-'Cons spec tot e finalizzati'!S31</f>
        <v>0</v>
      </c>
      <c r="M31" s="82">
        <f>+'Cons spec tot e finalizzati'!T31-'Cons spec tot e finalizzati'!U31</f>
        <v>0</v>
      </c>
      <c r="N31" s="82">
        <f>+'Cons spec tot e finalizzati'!V31-'Cons spec tot e finalizzati'!W31</f>
        <v>0</v>
      </c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</row>
    <row r="32" spans="1:35" s="2" customFormat="1" ht="12.75">
      <c r="A32" s="46"/>
      <c r="B32" s="41" t="s">
        <v>81</v>
      </c>
      <c r="C32" s="41"/>
      <c r="D32" s="53"/>
      <c r="E32" s="54"/>
      <c r="F32" s="99">
        <f>+'Cons spec tot e finalizzati'!F32-'Cons spec tot e finalizzati'!G32</f>
        <v>144</v>
      </c>
      <c r="G32" s="99">
        <f>+'Cons spec tot e finalizzati'!H32-'Cons spec tot e finalizzati'!I32</f>
        <v>103</v>
      </c>
      <c r="H32" s="99">
        <f>+'Cons spec tot e finalizzati'!J32-'Cons spec tot e finalizzati'!K32</f>
        <v>96</v>
      </c>
      <c r="I32" s="141">
        <f>+'Cons spec tot e finalizzati'!L32-'Cons spec tot e finalizzati'!M32</f>
        <v>0</v>
      </c>
      <c r="J32" s="99">
        <f>+'Cons spec tot e finalizzati'!N32-'Cons spec tot e finalizzati'!O32</f>
        <v>0</v>
      </c>
      <c r="K32" s="99">
        <f>+'Cons spec tot e finalizzati'!P32-'Cons spec tot e finalizzati'!Q32</f>
        <v>0</v>
      </c>
      <c r="L32" s="99">
        <f>+'Cons spec tot e finalizzati'!R32-'Cons spec tot e finalizzati'!S32</f>
        <v>0</v>
      </c>
      <c r="M32" s="99">
        <f>+'Cons spec tot e finalizzati'!T32-'Cons spec tot e finalizzati'!U32</f>
        <v>0</v>
      </c>
      <c r="N32" s="99">
        <f>+'Cons spec tot e finalizzati'!V32-'Cons spec tot e finalizzati'!W32</f>
        <v>0</v>
      </c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</row>
    <row r="33" spans="1:35" s="2" customFormat="1" ht="12.75">
      <c r="A33" s="46"/>
      <c r="B33" s="40" t="s">
        <v>165</v>
      </c>
      <c r="C33" s="40"/>
      <c r="D33" s="47"/>
      <c r="F33" s="82">
        <f>+'Cons spec tot e finalizzati'!F33-'Cons spec tot e finalizzati'!G33</f>
        <v>98</v>
      </c>
      <c r="G33" s="82">
        <f>+'Cons spec tot e finalizzati'!H33-'Cons spec tot e finalizzati'!I33</f>
        <v>223</v>
      </c>
      <c r="H33" s="82">
        <f>+'Cons spec tot e finalizzati'!J33-'Cons spec tot e finalizzati'!K33</f>
        <v>139</v>
      </c>
      <c r="I33" s="85">
        <f>+'Cons spec tot e finalizzati'!L33-'Cons spec tot e finalizzati'!M33</f>
        <v>133</v>
      </c>
      <c r="J33" s="82">
        <f>+'Cons spec tot e finalizzati'!N33-'Cons spec tot e finalizzati'!O33</f>
        <v>127</v>
      </c>
      <c r="K33" s="82">
        <f>+'Cons spec tot e finalizzati'!P33-'Cons spec tot e finalizzati'!Q33</f>
        <v>116</v>
      </c>
      <c r="L33" s="82">
        <f>+'Cons spec tot e finalizzati'!R33-'Cons spec tot e finalizzati'!S33</f>
        <v>131</v>
      </c>
      <c r="M33" s="82">
        <f>+'Cons spec tot e finalizzati'!T33-'Cons spec tot e finalizzati'!U33</f>
        <v>83</v>
      </c>
      <c r="N33" s="82">
        <f>+'Cons spec tot e finalizzati'!V33-'Cons spec tot e finalizzati'!W33</f>
        <v>56</v>
      </c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</row>
    <row r="34" spans="1:35" s="2" customFormat="1" ht="12.75">
      <c r="A34" s="46"/>
      <c r="B34" s="40" t="s">
        <v>66</v>
      </c>
      <c r="C34" s="40"/>
      <c r="D34" s="47"/>
      <c r="F34" s="105">
        <f>+'Cons spec tot e finalizzati'!F34-'Cons spec tot e finalizzati'!G34</f>
        <v>339</v>
      </c>
      <c r="G34" s="105">
        <f>+'Cons spec tot e finalizzati'!H34-'Cons spec tot e finalizzati'!I34</f>
        <v>232</v>
      </c>
      <c r="H34" s="105">
        <f>+'Cons spec tot e finalizzati'!J34-'Cons spec tot e finalizzati'!K34</f>
        <v>540</v>
      </c>
      <c r="I34" s="105">
        <f>+'Cons spec tot e finalizzati'!L34-'Cons spec tot e finalizzati'!M34</f>
        <v>959</v>
      </c>
      <c r="J34" s="105">
        <f>+'Cons spec tot e finalizzati'!N34-'Cons spec tot e finalizzati'!O34</f>
        <v>876</v>
      </c>
      <c r="K34" s="105">
        <f>+'Cons spec tot e finalizzati'!P34-'Cons spec tot e finalizzati'!Q34</f>
        <v>577</v>
      </c>
      <c r="L34" s="105">
        <f>+'Cons spec tot e finalizzati'!R34-'Cons spec tot e finalizzati'!S34</f>
        <v>53</v>
      </c>
      <c r="M34" s="105">
        <f>+'Cons spec tot e finalizzati'!T34-'Cons spec tot e finalizzati'!U34</f>
        <v>250</v>
      </c>
      <c r="N34" s="105">
        <f>+'Cons spec tot e finalizzati'!V34-'Cons spec tot e finalizzati'!W34</f>
        <v>89</v>
      </c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</row>
    <row r="35" spans="1:35" s="2" customFormat="1" ht="12.75">
      <c r="A35" s="198" t="s">
        <v>136</v>
      </c>
      <c r="B35" s="184"/>
      <c r="C35" s="184"/>
      <c r="D35" s="185"/>
      <c r="E35" s="86"/>
      <c r="F35" s="107">
        <f>+'Cons spec tot e finalizzati'!F35-'Cons spec tot e finalizzati'!G35</f>
        <v>903</v>
      </c>
      <c r="G35" s="107">
        <f>+'Cons spec tot e finalizzati'!H35-'Cons spec tot e finalizzati'!I35</f>
        <v>1076</v>
      </c>
      <c r="H35" s="107">
        <f>+'Cons spec tot e finalizzati'!J35-'Cons spec tot e finalizzati'!K35</f>
        <v>1106</v>
      </c>
      <c r="I35" s="107">
        <f>+'Cons spec tot e finalizzati'!L35-'Cons spec tot e finalizzati'!M35</f>
        <v>1288</v>
      </c>
      <c r="J35" s="107">
        <f>+'Cons spec tot e finalizzati'!N35-'Cons spec tot e finalizzati'!O35</f>
        <v>1604</v>
      </c>
      <c r="K35" s="107">
        <f>+'Cons spec tot e finalizzati'!P35-'Cons spec tot e finalizzati'!Q35</f>
        <v>2285</v>
      </c>
      <c r="L35" s="107">
        <f>+'Cons spec tot e finalizzati'!R35-'Cons spec tot e finalizzati'!S35</f>
        <v>3590</v>
      </c>
      <c r="M35" s="107">
        <f>+'Cons spec tot e finalizzati'!T35-'Cons spec tot e finalizzati'!U35</f>
        <v>5007</v>
      </c>
      <c r="N35" s="107">
        <f>+'Cons spec tot e finalizzati'!V35-'Cons spec tot e finalizzati'!W35</f>
        <v>5272</v>
      </c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</row>
    <row r="36" spans="1:35" s="2" customFormat="1" ht="12.75">
      <c r="A36" s="46"/>
      <c r="B36" s="177" t="s">
        <v>67</v>
      </c>
      <c r="C36" s="170"/>
      <c r="D36" s="171"/>
      <c r="F36" s="108">
        <f>+'Cons spec tot e finalizzati'!F36-'Cons spec tot e finalizzati'!G36</f>
        <v>41</v>
      </c>
      <c r="G36" s="152">
        <f>+'Cons spec tot e finalizzati'!H36-'Cons spec tot e finalizzati'!I36</f>
        <v>132</v>
      </c>
      <c r="H36" s="152">
        <f>+'Cons spec tot e finalizzati'!J36-'Cons spec tot e finalizzati'!K36</f>
        <v>150</v>
      </c>
      <c r="I36" s="152">
        <f>+'Cons spec tot e finalizzati'!L36-'Cons spec tot e finalizzati'!M36</f>
        <v>162</v>
      </c>
      <c r="J36" s="111">
        <f>+'Cons spec tot e finalizzati'!N36-'Cons spec tot e finalizzati'!O36</f>
        <v>169</v>
      </c>
      <c r="K36" s="111">
        <f>+'Cons spec tot e finalizzati'!P36-'Cons spec tot e finalizzati'!Q36</f>
        <v>244</v>
      </c>
      <c r="L36" s="111">
        <f>+'Cons spec tot e finalizzati'!R36-'Cons spec tot e finalizzati'!S36</f>
        <v>304</v>
      </c>
      <c r="M36" s="111">
        <f>+'Cons spec tot e finalizzati'!T36-'Cons spec tot e finalizzati'!U36</f>
        <v>227</v>
      </c>
      <c r="N36" s="111">
        <f>+'Cons spec tot e finalizzati'!V36-'Cons spec tot e finalizzati'!W36</f>
        <v>246</v>
      </c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</row>
    <row r="37" spans="1:35" s="2" customFormat="1" ht="12.75">
      <c r="A37" s="46"/>
      <c r="B37" s="177" t="s">
        <v>68</v>
      </c>
      <c r="C37" s="170"/>
      <c r="D37" s="171"/>
      <c r="F37" s="108">
        <f>+'Cons spec tot e finalizzati'!F37-'Cons spec tot e finalizzati'!G37</f>
        <v>719</v>
      </c>
      <c r="G37" s="152">
        <f>+'Cons spec tot e finalizzati'!H37-'Cons spec tot e finalizzati'!I37</f>
        <v>771</v>
      </c>
      <c r="H37" s="152">
        <f>+'Cons spec tot e finalizzati'!J37-'Cons spec tot e finalizzati'!K37</f>
        <v>784</v>
      </c>
      <c r="I37" s="152">
        <f>+'Cons spec tot e finalizzati'!L37-'Cons spec tot e finalizzati'!M37</f>
        <v>954</v>
      </c>
      <c r="J37" s="111">
        <f>+'Cons spec tot e finalizzati'!N37-'Cons spec tot e finalizzati'!O37</f>
        <v>1304</v>
      </c>
      <c r="K37" s="111">
        <f>+'Cons spec tot e finalizzati'!P37-'Cons spec tot e finalizzati'!Q37</f>
        <v>1852</v>
      </c>
      <c r="L37" s="111">
        <f>+'Cons spec tot e finalizzati'!R37-'Cons spec tot e finalizzati'!S37</f>
        <v>3046</v>
      </c>
      <c r="M37" s="111">
        <f>+'Cons spec tot e finalizzati'!T37-'Cons spec tot e finalizzati'!U37</f>
        <v>4516</v>
      </c>
      <c r="N37" s="111">
        <f>+'Cons spec tot e finalizzati'!V37-'Cons spec tot e finalizzati'!W37</f>
        <v>4841</v>
      </c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</row>
    <row r="38" spans="1:35" s="2" customFormat="1" ht="12.75">
      <c r="A38" s="57"/>
      <c r="B38" s="197" t="s">
        <v>137</v>
      </c>
      <c r="C38" s="179"/>
      <c r="D38" s="180"/>
      <c r="F38" s="110">
        <f>+'Cons spec tot e finalizzati'!F38-'Cons spec tot e finalizzati'!G38</f>
        <v>143</v>
      </c>
      <c r="G38" s="110">
        <f>+'Cons spec tot e finalizzati'!H38-'Cons spec tot e finalizzati'!I38</f>
        <v>173</v>
      </c>
      <c r="H38" s="110">
        <f>+'Cons spec tot e finalizzati'!J38-'Cons spec tot e finalizzati'!K38</f>
        <v>172</v>
      </c>
      <c r="I38" s="116">
        <f>+'Cons spec tot e finalizzati'!L38-'Cons spec tot e finalizzati'!M38</f>
        <v>172</v>
      </c>
      <c r="J38" s="110">
        <f>+'Cons spec tot e finalizzati'!N38-'Cons spec tot e finalizzati'!O38</f>
        <v>131</v>
      </c>
      <c r="K38" s="110">
        <f>+'Cons spec tot e finalizzati'!P38-'Cons spec tot e finalizzati'!Q38</f>
        <v>189</v>
      </c>
      <c r="L38" s="110">
        <f>+'Cons spec tot e finalizzati'!R38-'Cons spec tot e finalizzati'!S38</f>
        <v>240</v>
      </c>
      <c r="M38" s="110">
        <f>+'Cons spec tot e finalizzati'!T38-'Cons spec tot e finalizzati'!U38</f>
        <v>264</v>
      </c>
      <c r="N38" s="110">
        <f>+'Cons spec tot e finalizzati'!V38-'Cons spec tot e finalizzati'!W38</f>
        <v>185</v>
      </c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</row>
    <row r="39" spans="1:35" s="2" customFormat="1" ht="12.75">
      <c r="A39" s="181" t="s">
        <v>8</v>
      </c>
      <c r="B39" s="182"/>
      <c r="C39" s="182"/>
      <c r="D39" s="183"/>
      <c r="E39" s="38"/>
      <c r="F39" s="104">
        <f>+'Cons spec tot e finalizzati'!F39-'Cons spec tot e finalizzati'!G39</f>
        <v>28</v>
      </c>
      <c r="G39" s="104">
        <f>+'Cons spec tot e finalizzati'!H39-'Cons spec tot e finalizzati'!I39</f>
        <v>44</v>
      </c>
      <c r="H39" s="104">
        <f>+'Cons spec tot e finalizzati'!J39-'Cons spec tot e finalizzati'!K39</f>
        <v>46</v>
      </c>
      <c r="I39" s="104">
        <f>+'Cons spec tot e finalizzati'!L39-'Cons spec tot e finalizzati'!M39</f>
        <v>46</v>
      </c>
      <c r="J39" s="104">
        <f>+'Cons spec tot e finalizzati'!N39-'Cons spec tot e finalizzati'!O39</f>
        <v>30</v>
      </c>
      <c r="K39" s="104">
        <f>+'Cons spec tot e finalizzati'!P39-'Cons spec tot e finalizzati'!Q39</f>
        <v>4</v>
      </c>
      <c r="L39" s="104">
        <f>+'Cons spec tot e finalizzati'!R39-'Cons spec tot e finalizzati'!S39</f>
        <v>26</v>
      </c>
      <c r="M39" s="104">
        <f>+'Cons spec tot e finalizzati'!T39-'Cons spec tot e finalizzati'!U39</f>
        <v>39</v>
      </c>
      <c r="N39" s="104">
        <f>+'Cons spec tot e finalizzati'!V39-'Cons spec tot e finalizzati'!W39</f>
        <v>65</v>
      </c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</row>
    <row r="40" spans="1:35" s="2" customFormat="1" ht="12.75">
      <c r="A40" s="43"/>
      <c r="B40" s="40" t="s">
        <v>9</v>
      </c>
      <c r="C40" s="44"/>
      <c r="D40" s="45"/>
      <c r="F40" s="75">
        <f>+'Cons spec tot e finalizzati'!F40-'Cons spec tot e finalizzati'!G40</f>
        <v>28</v>
      </c>
      <c r="G40" s="82">
        <f>+'Cons spec tot e finalizzati'!H40-'Cons spec tot e finalizzati'!I40</f>
        <v>44</v>
      </c>
      <c r="H40" s="75">
        <f>+'Cons spec tot e finalizzati'!J40-'Cons spec tot e finalizzati'!K40</f>
        <v>46</v>
      </c>
      <c r="I40" s="85">
        <f>+'Cons spec tot e finalizzati'!L40-'Cons spec tot e finalizzati'!M40</f>
        <v>46</v>
      </c>
      <c r="J40" s="82">
        <f>+'Cons spec tot e finalizzati'!N40-'Cons spec tot e finalizzati'!O40</f>
        <v>30</v>
      </c>
      <c r="K40" s="82">
        <f>+'Cons spec tot e finalizzati'!P40-'Cons spec tot e finalizzati'!Q40</f>
        <v>4</v>
      </c>
      <c r="L40" s="82">
        <f>+'Cons spec tot e finalizzati'!R40-'Cons spec tot e finalizzati'!S40</f>
        <v>20</v>
      </c>
      <c r="M40" s="82">
        <f>+'Cons spec tot e finalizzati'!T40-'Cons spec tot e finalizzati'!U40</f>
        <v>0</v>
      </c>
      <c r="N40" s="82">
        <f>+'Cons spec tot e finalizzati'!V40-'Cons spec tot e finalizzati'!W40</f>
        <v>0</v>
      </c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</row>
    <row r="41" spans="1:35" s="2" customFormat="1" ht="12.75">
      <c r="A41" s="23"/>
      <c r="B41" s="14" t="s">
        <v>10</v>
      </c>
      <c r="C41" s="15"/>
      <c r="D41" s="16"/>
      <c r="E41"/>
      <c r="F41" s="105">
        <f>+'Cons spec tot e finalizzati'!F41-'Cons spec tot e finalizzati'!G41</f>
        <v>0</v>
      </c>
      <c r="G41" s="105">
        <f>+'Cons spec tot e finalizzati'!H41-'Cons spec tot e finalizzati'!I41</f>
        <v>0</v>
      </c>
      <c r="H41" s="105">
        <f>+'Cons spec tot e finalizzati'!J41-'Cons spec tot e finalizzati'!K41</f>
        <v>0</v>
      </c>
      <c r="I41" s="100">
        <f>+'Cons spec tot e finalizzati'!L41-'Cons spec tot e finalizzati'!M41</f>
        <v>0</v>
      </c>
      <c r="J41" s="100">
        <f>+'Cons spec tot e finalizzati'!N41-'Cons spec tot e finalizzati'!O41</f>
        <v>0</v>
      </c>
      <c r="K41" s="100">
        <f>+'Cons spec tot e finalizzati'!P41-'Cons spec tot e finalizzati'!Q41</f>
        <v>0</v>
      </c>
      <c r="L41" s="100">
        <f>+'Cons spec tot e finalizzati'!R41-'Cons spec tot e finalizzati'!S41</f>
        <v>6</v>
      </c>
      <c r="M41" s="100">
        <f>+'Cons spec tot e finalizzati'!T41-'Cons spec tot e finalizzati'!U41</f>
        <v>39</v>
      </c>
      <c r="N41" s="100">
        <f>+'Cons spec tot e finalizzati'!V41-'Cons spec tot e finalizzati'!W41</f>
        <v>65</v>
      </c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</row>
    <row r="42" spans="1:35" s="2" customFormat="1" ht="12.75">
      <c r="A42" s="173" t="s">
        <v>16</v>
      </c>
      <c r="B42" s="174"/>
      <c r="C42" s="174"/>
      <c r="D42" s="175"/>
      <c r="E42" s="38"/>
      <c r="F42" s="102">
        <f>+'Cons spec tot e finalizzati'!F42-'Cons spec tot e finalizzati'!G42</f>
        <v>781</v>
      </c>
      <c r="G42" s="102">
        <f>+'Cons spec tot e finalizzati'!H42-'Cons spec tot e finalizzati'!I42</f>
        <v>1120</v>
      </c>
      <c r="H42" s="102">
        <f>+'Cons spec tot e finalizzati'!J42-'Cons spec tot e finalizzati'!K42</f>
        <v>1239</v>
      </c>
      <c r="I42" s="102">
        <f>+'Cons spec tot e finalizzati'!L42-'Cons spec tot e finalizzati'!M42</f>
        <v>1008</v>
      </c>
      <c r="J42" s="102">
        <f>+'Cons spec tot e finalizzati'!N42-'Cons spec tot e finalizzati'!O42</f>
        <v>1045</v>
      </c>
      <c r="K42" s="102">
        <f>+'Cons spec tot e finalizzati'!P42-'Cons spec tot e finalizzati'!Q42</f>
        <v>1063</v>
      </c>
      <c r="L42" s="102">
        <f>+'Cons spec tot e finalizzati'!R42-'Cons spec tot e finalizzati'!S42</f>
        <v>983</v>
      </c>
      <c r="M42" s="102">
        <f>+'Cons spec tot e finalizzati'!T42-'Cons spec tot e finalizzati'!U42</f>
        <v>900</v>
      </c>
      <c r="N42" s="102">
        <f>+'Cons spec tot e finalizzati'!V42-'Cons spec tot e finalizzati'!W42</f>
        <v>946</v>
      </c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</row>
    <row r="43" spans="1:35" s="2" customFormat="1" ht="12.75">
      <c r="A43" s="46"/>
      <c r="B43" s="40" t="s">
        <v>6</v>
      </c>
      <c r="C43" s="40"/>
      <c r="D43" s="47"/>
      <c r="F43" s="75">
        <f>+'Cons spec tot e finalizzati'!F43-'Cons spec tot e finalizzati'!G43</f>
        <v>306</v>
      </c>
      <c r="G43" s="82">
        <f>+'Cons spec tot e finalizzati'!H43-'Cons spec tot e finalizzati'!I43</f>
        <v>382</v>
      </c>
      <c r="H43" s="75">
        <f>+'Cons spec tot e finalizzati'!J43-'Cons spec tot e finalizzati'!K43</f>
        <v>445</v>
      </c>
      <c r="I43" s="85">
        <f>+'Cons spec tot e finalizzati'!L43-'Cons spec tot e finalizzati'!M43</f>
        <v>266</v>
      </c>
      <c r="J43" s="75">
        <f>+'Cons spec tot e finalizzati'!N43-'Cons spec tot e finalizzati'!O43</f>
        <v>224</v>
      </c>
      <c r="K43" s="75">
        <f>+'Cons spec tot e finalizzati'!P43-'Cons spec tot e finalizzati'!Q43</f>
        <v>248</v>
      </c>
      <c r="L43" s="75">
        <f>+'Cons spec tot e finalizzati'!R43-'Cons spec tot e finalizzati'!S43</f>
        <v>343</v>
      </c>
      <c r="M43" s="75">
        <f>+'Cons spec tot e finalizzati'!T43-'Cons spec tot e finalizzati'!U43</f>
        <v>99</v>
      </c>
      <c r="N43" s="75">
        <f>+'Cons spec tot e finalizzati'!V43-'Cons spec tot e finalizzati'!W43</f>
        <v>363</v>
      </c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</row>
    <row r="44" spans="1:35" s="2" customFormat="1" ht="12.75">
      <c r="A44" s="46"/>
      <c r="B44" s="40" t="s">
        <v>17</v>
      </c>
      <c r="C44" s="40"/>
      <c r="D44" s="47"/>
      <c r="F44" s="75">
        <f>+'Cons spec tot e finalizzati'!F44-'Cons spec tot e finalizzati'!G44</f>
        <v>25</v>
      </c>
      <c r="G44" s="75">
        <f>+'Cons spec tot e finalizzati'!H44-'Cons spec tot e finalizzati'!I44</f>
        <v>28</v>
      </c>
      <c r="H44" s="75">
        <f>+'Cons spec tot e finalizzati'!J44-'Cons spec tot e finalizzati'!K44</f>
        <v>5</v>
      </c>
      <c r="I44" s="85">
        <f>+'Cons spec tot e finalizzati'!L44-'Cons spec tot e finalizzati'!M44</f>
        <v>10</v>
      </c>
      <c r="J44" s="75">
        <f>+'Cons spec tot e finalizzati'!N44-'Cons spec tot e finalizzati'!O44</f>
        <v>23</v>
      </c>
      <c r="K44" s="75">
        <f>+'Cons spec tot e finalizzati'!P44-'Cons spec tot e finalizzati'!Q44</f>
        <v>22</v>
      </c>
      <c r="L44" s="75">
        <f>+'Cons spec tot e finalizzati'!R44-'Cons spec tot e finalizzati'!S44</f>
        <v>21</v>
      </c>
      <c r="M44" s="75">
        <f>+'Cons spec tot e finalizzati'!T44-'Cons spec tot e finalizzati'!U44</f>
        <v>186</v>
      </c>
      <c r="N44" s="75">
        <f>+'Cons spec tot e finalizzati'!V44-'Cons spec tot e finalizzati'!W44</f>
        <v>109</v>
      </c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</row>
    <row r="45" spans="1:35" s="2" customFormat="1" ht="12.75">
      <c r="A45" s="46"/>
      <c r="B45" s="40" t="s">
        <v>52</v>
      </c>
      <c r="C45" s="40"/>
      <c r="D45" s="47"/>
      <c r="F45" s="75">
        <f>+'Cons spec tot e finalizzati'!F45-'Cons spec tot e finalizzati'!G45</f>
        <v>94</v>
      </c>
      <c r="G45" s="75">
        <f>+'Cons spec tot e finalizzati'!H45-'Cons spec tot e finalizzati'!I45</f>
        <v>83</v>
      </c>
      <c r="H45" s="75">
        <f>+'Cons spec tot e finalizzati'!J45-'Cons spec tot e finalizzati'!K45</f>
        <v>60</v>
      </c>
      <c r="I45" s="85">
        <f>+'Cons spec tot e finalizzati'!L45-'Cons spec tot e finalizzati'!M45</f>
        <v>41</v>
      </c>
      <c r="J45" s="75">
        <f>+'Cons spec tot e finalizzati'!N45-'Cons spec tot e finalizzati'!O45</f>
        <v>0</v>
      </c>
      <c r="K45" s="75">
        <f>+'Cons spec tot e finalizzati'!P45-'Cons spec tot e finalizzati'!Q45</f>
        <v>0</v>
      </c>
      <c r="L45" s="75">
        <f>+'Cons spec tot e finalizzati'!R45-'Cons spec tot e finalizzati'!S45</f>
        <v>0</v>
      </c>
      <c r="M45" s="75">
        <f>+'Cons spec tot e finalizzati'!T45-'Cons spec tot e finalizzati'!U45</f>
        <v>0</v>
      </c>
      <c r="N45" s="75">
        <f>+'Cons spec tot e finalizzati'!V45-'Cons spec tot e finalizzati'!W45</f>
        <v>12</v>
      </c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</row>
    <row r="46" spans="1:35" s="2" customFormat="1" ht="12.75">
      <c r="A46" s="46"/>
      <c r="B46" s="40" t="s">
        <v>160</v>
      </c>
      <c r="C46" s="40"/>
      <c r="D46" s="47"/>
      <c r="F46" s="75">
        <f>+'Cons spec tot e finalizzati'!F46-'Cons spec tot e finalizzati'!G46</f>
        <v>218</v>
      </c>
      <c r="G46" s="75">
        <f>+'Cons spec tot e finalizzati'!H46-'Cons spec tot e finalizzati'!I46</f>
        <v>305</v>
      </c>
      <c r="H46" s="75">
        <f>+'Cons spec tot e finalizzati'!J46-'Cons spec tot e finalizzati'!K46</f>
        <v>336</v>
      </c>
      <c r="I46" s="85">
        <f>+'Cons spec tot e finalizzati'!L46-'Cons spec tot e finalizzati'!M46</f>
        <v>367</v>
      </c>
      <c r="J46" s="75">
        <f>+'Cons spec tot e finalizzati'!N46-'Cons spec tot e finalizzati'!O46</f>
        <v>506</v>
      </c>
      <c r="K46" s="75">
        <f>+'Cons spec tot e finalizzati'!P46-'Cons spec tot e finalizzati'!Q46</f>
        <v>478</v>
      </c>
      <c r="L46" s="75">
        <f>+'Cons spec tot e finalizzati'!R46-'Cons spec tot e finalizzati'!S46</f>
        <v>400</v>
      </c>
      <c r="M46" s="75">
        <f>+'Cons spec tot e finalizzati'!T46-'Cons spec tot e finalizzati'!U46</f>
        <v>394</v>
      </c>
      <c r="N46" s="75">
        <f>+'Cons spec tot e finalizzati'!V46-'Cons spec tot e finalizzati'!W46</f>
        <v>258</v>
      </c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</row>
    <row r="47" spans="1:35" s="2" customFormat="1" ht="12.75">
      <c r="A47" s="46"/>
      <c r="B47" s="40" t="s">
        <v>161</v>
      </c>
      <c r="C47" s="40"/>
      <c r="D47" s="47"/>
      <c r="F47" s="75">
        <f>+'Cons spec tot e finalizzati'!F47-'Cons spec tot e finalizzati'!G47</f>
        <v>88</v>
      </c>
      <c r="G47" s="75">
        <f>+'Cons spec tot e finalizzati'!H47-'Cons spec tot e finalizzati'!I47</f>
        <v>202</v>
      </c>
      <c r="H47" s="75">
        <f>+'Cons spec tot e finalizzati'!J47-'Cons spec tot e finalizzati'!K47</f>
        <v>270</v>
      </c>
      <c r="I47" s="85">
        <f>+'Cons spec tot e finalizzati'!L47-'Cons spec tot e finalizzati'!M47</f>
        <v>252</v>
      </c>
      <c r="J47" s="75">
        <f>+'Cons spec tot e finalizzati'!N47-'Cons spec tot e finalizzati'!O47</f>
        <v>241</v>
      </c>
      <c r="K47" s="75">
        <f>+'Cons spec tot e finalizzati'!P47-'Cons spec tot e finalizzati'!Q47</f>
        <v>254</v>
      </c>
      <c r="L47" s="75">
        <f>+'Cons spec tot e finalizzati'!R47-'Cons spec tot e finalizzati'!S47</f>
        <v>219</v>
      </c>
      <c r="M47" s="75">
        <f>+'Cons spec tot e finalizzati'!T47-'Cons spec tot e finalizzati'!U47</f>
        <v>221</v>
      </c>
      <c r="N47" s="75">
        <f>+'Cons spec tot e finalizzati'!V47-'Cons spec tot e finalizzati'!W47</f>
        <v>204</v>
      </c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</row>
    <row r="48" spans="1:35" s="2" customFormat="1" ht="12.75">
      <c r="A48" s="168"/>
      <c r="B48" s="87" t="s">
        <v>69</v>
      </c>
      <c r="C48" s="87"/>
      <c r="D48" s="88"/>
      <c r="E48" s="54"/>
      <c r="F48" s="205">
        <f>+'Cons spec tot e finalizzati'!F48-'Cons spec tot e finalizzati'!G48</f>
        <v>50</v>
      </c>
      <c r="G48" s="135">
        <f>+'Cons spec tot e finalizzati'!H48-'Cons spec tot e finalizzati'!I48</f>
        <v>120</v>
      </c>
      <c r="H48" s="135">
        <f>+'Cons spec tot e finalizzati'!J48-'Cons spec tot e finalizzati'!K48</f>
        <v>124</v>
      </c>
      <c r="I48" s="135">
        <f>+'Cons spec tot e finalizzati'!L48-'Cons spec tot e finalizzati'!M48</f>
        <v>72</v>
      </c>
      <c r="J48" s="141">
        <f>+'Cons spec tot e finalizzati'!N48-'Cons spec tot e finalizzati'!O48</f>
        <v>51</v>
      </c>
      <c r="K48" s="141">
        <f>+'Cons spec tot e finalizzati'!P48-'Cons spec tot e finalizzati'!Q48</f>
        <v>61</v>
      </c>
      <c r="L48" s="141">
        <f>+'Cons spec tot e finalizzati'!R48-'Cons spec tot e finalizzati'!S48</f>
        <v>0</v>
      </c>
      <c r="M48" s="141">
        <f>+'Cons spec tot e finalizzati'!T48-'Cons spec tot e finalizzati'!U48</f>
        <v>0</v>
      </c>
      <c r="N48" s="141">
        <f>+'Cons spec tot e finalizzati'!V48-'Cons spec tot e finalizzati'!W48</f>
        <v>0</v>
      </c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</row>
    <row r="49" spans="1:35" s="2" customFormat="1" ht="12.75">
      <c r="A49" s="173" t="s">
        <v>70</v>
      </c>
      <c r="B49" s="174"/>
      <c r="C49" s="174"/>
      <c r="D49" s="175"/>
      <c r="E49" s="38"/>
      <c r="F49" s="98">
        <f>+'Cons spec tot e finalizzati'!F49-'Cons spec tot e finalizzati'!G49</f>
        <v>71</v>
      </c>
      <c r="G49" s="98">
        <f>+'Cons spec tot e finalizzati'!H49-'Cons spec tot e finalizzati'!I49</f>
        <v>80</v>
      </c>
      <c r="H49" s="98">
        <f>+'Cons spec tot e finalizzati'!J49-'Cons spec tot e finalizzati'!K49</f>
        <v>89</v>
      </c>
      <c r="I49" s="98">
        <f>+'Cons spec tot e finalizzati'!L49-'Cons spec tot e finalizzati'!M49</f>
        <v>116</v>
      </c>
      <c r="J49" s="98">
        <f>+'Cons spec tot e finalizzati'!N49-'Cons spec tot e finalizzati'!O49</f>
        <v>80</v>
      </c>
      <c r="K49" s="98">
        <f>+'Cons spec tot e finalizzati'!P49-'Cons spec tot e finalizzati'!Q49</f>
        <v>107</v>
      </c>
      <c r="L49" s="98">
        <f>+'Cons spec tot e finalizzati'!R49-'Cons spec tot e finalizzati'!S49</f>
        <v>58</v>
      </c>
      <c r="M49" s="98">
        <f>+'Cons spec tot e finalizzati'!T49-'Cons spec tot e finalizzati'!U49</f>
        <v>46</v>
      </c>
      <c r="N49" s="98">
        <f>+'Cons spec tot e finalizzati'!V49-'Cons spec tot e finalizzati'!W49</f>
        <v>54</v>
      </c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</row>
    <row r="50" spans="1:35" s="2" customFormat="1" ht="12.75">
      <c r="A50" s="13"/>
      <c r="B50" s="14" t="s">
        <v>6</v>
      </c>
      <c r="C50" s="15"/>
      <c r="D50" s="16"/>
      <c r="E50"/>
      <c r="F50" s="103">
        <f>+'Cons spec tot e finalizzati'!F50-'Cons spec tot e finalizzati'!G50</f>
        <v>71</v>
      </c>
      <c r="G50" s="85">
        <f>+'Cons spec tot e finalizzati'!H50-'Cons spec tot e finalizzati'!I50</f>
        <v>80</v>
      </c>
      <c r="H50" s="103">
        <f>+'Cons spec tot e finalizzati'!J50-'Cons spec tot e finalizzati'!K50</f>
        <v>89</v>
      </c>
      <c r="I50" s="85">
        <f>+'Cons spec tot e finalizzati'!L50-'Cons spec tot e finalizzati'!M50</f>
        <v>116</v>
      </c>
      <c r="J50" s="85">
        <f>+'Cons spec tot e finalizzati'!N50-'Cons spec tot e finalizzati'!O50</f>
        <v>80</v>
      </c>
      <c r="K50" s="85">
        <f>+'Cons spec tot e finalizzati'!P50-'Cons spec tot e finalizzati'!Q50</f>
        <v>107</v>
      </c>
      <c r="L50" s="85">
        <f>+'Cons spec tot e finalizzati'!R50-'Cons spec tot e finalizzati'!S50</f>
        <v>58</v>
      </c>
      <c r="M50" s="85">
        <f>+'Cons spec tot e finalizzati'!T50-'Cons spec tot e finalizzati'!U50</f>
        <v>37</v>
      </c>
      <c r="N50" s="85">
        <f>+'Cons spec tot e finalizzati'!V50-'Cons spec tot e finalizzati'!W50</f>
        <v>45</v>
      </c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</row>
    <row r="51" spans="1:35" s="2" customFormat="1" ht="12.75">
      <c r="A51" s="13"/>
      <c r="B51" s="14" t="s">
        <v>95</v>
      </c>
      <c r="C51" s="15"/>
      <c r="D51" s="16"/>
      <c r="E51"/>
      <c r="F51" s="103">
        <f>+'Cons spec tot e finalizzati'!F51-'Cons spec tot e finalizzati'!G51</f>
        <v>0</v>
      </c>
      <c r="G51" s="103">
        <f>+'Cons spec tot e finalizzati'!H51-'Cons spec tot e finalizzati'!I51</f>
        <v>0</v>
      </c>
      <c r="H51" s="103">
        <f>+'Cons spec tot e finalizzati'!J51-'Cons spec tot e finalizzati'!K51</f>
        <v>0</v>
      </c>
      <c r="I51" s="85">
        <f>+'Cons spec tot e finalizzati'!L51-'Cons spec tot e finalizzati'!M51</f>
        <v>0</v>
      </c>
      <c r="J51" s="103">
        <f>+'Cons spec tot e finalizzati'!N51-'Cons spec tot e finalizzati'!O51</f>
        <v>0</v>
      </c>
      <c r="K51" s="103">
        <f>+'Cons spec tot e finalizzati'!P51-'Cons spec tot e finalizzati'!Q51</f>
        <v>0</v>
      </c>
      <c r="L51" s="103">
        <f>+'Cons spec tot e finalizzati'!R51-'Cons spec tot e finalizzati'!S51</f>
        <v>0</v>
      </c>
      <c r="M51" s="103">
        <f>+'Cons spec tot e finalizzati'!T51-'Cons spec tot e finalizzati'!U51</f>
        <v>7</v>
      </c>
      <c r="N51" s="103">
        <f>+'Cons spec tot e finalizzati'!V51-'Cons spec tot e finalizzati'!W51</f>
        <v>2</v>
      </c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</row>
    <row r="52" spans="1:35" s="2" customFormat="1" ht="12.75">
      <c r="A52" s="29"/>
      <c r="B52" s="28" t="s">
        <v>59</v>
      </c>
      <c r="C52" s="24"/>
      <c r="D52" s="25"/>
      <c r="E52"/>
      <c r="F52" s="105">
        <f>+'Cons spec tot e finalizzati'!F52-'Cons spec tot e finalizzati'!G52</f>
        <v>0</v>
      </c>
      <c r="G52" s="105">
        <f>+'Cons spec tot e finalizzati'!H52-'Cons spec tot e finalizzati'!I52</f>
        <v>0</v>
      </c>
      <c r="H52" s="105">
        <f>+'Cons spec tot e finalizzati'!J52-'Cons spec tot e finalizzati'!K52</f>
        <v>0</v>
      </c>
      <c r="I52" s="85">
        <f>+'Cons spec tot e finalizzati'!L52-'Cons spec tot e finalizzati'!M52</f>
        <v>0</v>
      </c>
      <c r="J52" s="105">
        <f>+'Cons spec tot e finalizzati'!N52-'Cons spec tot e finalizzati'!O52</f>
        <v>0</v>
      </c>
      <c r="K52" s="105">
        <f>+'Cons spec tot e finalizzati'!P52-'Cons spec tot e finalizzati'!Q52</f>
        <v>0</v>
      </c>
      <c r="L52" s="105">
        <f>+'Cons spec tot e finalizzati'!R52-'Cons spec tot e finalizzati'!S52</f>
        <v>0</v>
      </c>
      <c r="M52" s="105">
        <f>+'Cons spec tot e finalizzati'!T52-'Cons spec tot e finalizzati'!U52</f>
        <v>2</v>
      </c>
      <c r="N52" s="105">
        <f>+'Cons spec tot e finalizzati'!V52-'Cons spec tot e finalizzati'!W52</f>
        <v>7</v>
      </c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</row>
    <row r="53" spans="1:35" s="2" customFormat="1" ht="12.75">
      <c r="A53" s="173" t="s">
        <v>82</v>
      </c>
      <c r="B53" s="174"/>
      <c r="C53" s="174"/>
      <c r="D53" s="175"/>
      <c r="E53" s="38"/>
      <c r="F53" s="98">
        <f>+'Cons spec tot e finalizzati'!F53-'Cons spec tot e finalizzati'!G53</f>
        <v>7274</v>
      </c>
      <c r="G53" s="98">
        <f>+'Cons spec tot e finalizzati'!H53-'Cons spec tot e finalizzati'!I53</f>
        <v>8829</v>
      </c>
      <c r="H53" s="98">
        <f>+'Cons spec tot e finalizzati'!J53-'Cons spec tot e finalizzati'!K53</f>
        <v>7879</v>
      </c>
      <c r="I53" s="98">
        <f>+'Cons spec tot e finalizzati'!L53-'Cons spec tot e finalizzati'!M53</f>
        <v>9104</v>
      </c>
      <c r="J53" s="98">
        <f>+'Cons spec tot e finalizzati'!N53-'Cons spec tot e finalizzati'!O53</f>
        <v>7903.412395998492</v>
      </c>
      <c r="K53" s="98">
        <f>+'Cons spec tot e finalizzati'!P53-'Cons spec tot e finalizzati'!Q53</f>
        <v>7893</v>
      </c>
      <c r="L53" s="98">
        <f>+'Cons spec tot e finalizzati'!R53-'Cons spec tot e finalizzati'!S53</f>
        <v>8031</v>
      </c>
      <c r="M53" s="98">
        <f>+'Cons spec tot e finalizzati'!T53-'Cons spec tot e finalizzati'!U53</f>
        <v>8218</v>
      </c>
      <c r="N53" s="98">
        <f>+'Cons spec tot e finalizzati'!V53-'Cons spec tot e finalizzati'!W53</f>
        <v>7619</v>
      </c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</row>
    <row r="54" spans="1:35" s="42" customFormat="1" ht="12.75">
      <c r="A54" s="46"/>
      <c r="B54" s="40" t="s">
        <v>9</v>
      </c>
      <c r="C54" s="40"/>
      <c r="D54" s="47"/>
      <c r="E54" s="2"/>
      <c r="F54" s="82">
        <f>+'Cons spec tot e finalizzati'!F54-'Cons spec tot e finalizzati'!G54</f>
        <v>52</v>
      </c>
      <c r="G54" s="82">
        <f>+'Cons spec tot e finalizzati'!H54-'Cons spec tot e finalizzati'!I54</f>
        <v>52</v>
      </c>
      <c r="H54" s="75">
        <f>+'Cons spec tot e finalizzati'!J54-'Cons spec tot e finalizzati'!K54</f>
        <v>50</v>
      </c>
      <c r="I54" s="85">
        <f>+'Cons spec tot e finalizzati'!L54-'Cons spec tot e finalizzati'!M54</f>
        <v>52</v>
      </c>
      <c r="J54" s="75">
        <f>+'Cons spec tot e finalizzati'!N54-'Cons spec tot e finalizzati'!O54</f>
        <v>40</v>
      </c>
      <c r="K54" s="75">
        <f>+'Cons spec tot e finalizzati'!P54-'Cons spec tot e finalizzati'!Q54</f>
        <v>174</v>
      </c>
      <c r="L54" s="75">
        <f>+'Cons spec tot e finalizzati'!R54-'Cons spec tot e finalizzati'!S54</f>
        <v>167</v>
      </c>
      <c r="M54" s="75">
        <f>+'Cons spec tot e finalizzati'!T54-'Cons spec tot e finalizzati'!U54</f>
        <v>531</v>
      </c>
      <c r="N54" s="75">
        <f>+'Cons spec tot e finalizzati'!V54-'Cons spec tot e finalizzati'!W54</f>
        <v>174</v>
      </c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</row>
    <row r="55" spans="1:35" s="2" customFormat="1" ht="12.75">
      <c r="A55" s="46"/>
      <c r="B55" s="40" t="s">
        <v>71</v>
      </c>
      <c r="C55" s="40"/>
      <c r="D55" s="47"/>
      <c r="F55" s="82">
        <f>+'Cons spec tot e finalizzati'!F55-'Cons spec tot e finalizzati'!G55</f>
        <v>2822</v>
      </c>
      <c r="G55" s="82">
        <f>+'Cons spec tot e finalizzati'!H55-'Cons spec tot e finalizzati'!I55</f>
        <v>3040</v>
      </c>
      <c r="H55" s="75">
        <f>+'Cons spec tot e finalizzati'!J55-'Cons spec tot e finalizzati'!K55</f>
        <v>2927</v>
      </c>
      <c r="I55" s="85">
        <f>+'Cons spec tot e finalizzati'!L55-'Cons spec tot e finalizzati'!M55</f>
        <v>3266</v>
      </c>
      <c r="J55" s="75">
        <f>+'Cons spec tot e finalizzati'!N55-'Cons spec tot e finalizzati'!O55</f>
        <v>2383</v>
      </c>
      <c r="K55" s="75">
        <f>+'Cons spec tot e finalizzati'!P55-'Cons spec tot e finalizzati'!Q55</f>
        <v>2614</v>
      </c>
      <c r="L55" s="75">
        <f>+'Cons spec tot e finalizzati'!R55-'Cons spec tot e finalizzati'!S55</f>
        <v>2781</v>
      </c>
      <c r="M55" s="75">
        <f>+'Cons spec tot e finalizzati'!T55-'Cons spec tot e finalizzati'!U55</f>
        <v>2552</v>
      </c>
      <c r="N55" s="75">
        <f>+'Cons spec tot e finalizzati'!V55-'Cons spec tot e finalizzati'!W55</f>
        <v>2974</v>
      </c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</row>
    <row r="56" spans="1:35" s="2" customFormat="1" ht="12.75">
      <c r="A56" s="46"/>
      <c r="B56" s="40" t="s">
        <v>18</v>
      </c>
      <c r="C56" s="40"/>
      <c r="D56" s="47"/>
      <c r="F56" s="82">
        <f>+'Cons spec tot e finalizzati'!F56-'Cons spec tot e finalizzati'!G56</f>
        <v>4400</v>
      </c>
      <c r="G56" s="82">
        <f>+'Cons spec tot e finalizzati'!H56-'Cons spec tot e finalizzati'!I56</f>
        <v>5737</v>
      </c>
      <c r="H56" s="75">
        <f>+'Cons spec tot e finalizzati'!J56-'Cons spec tot e finalizzati'!K56</f>
        <v>4902</v>
      </c>
      <c r="I56" s="85">
        <f>+'Cons spec tot e finalizzati'!L56-'Cons spec tot e finalizzati'!M56</f>
        <v>5786</v>
      </c>
      <c r="J56" s="75">
        <f>+'Cons spec tot e finalizzati'!N56-'Cons spec tot e finalizzati'!O56</f>
        <v>5480.412395998492</v>
      </c>
      <c r="K56" s="75">
        <f>+'Cons spec tot e finalizzati'!P56-'Cons spec tot e finalizzati'!Q56</f>
        <v>5105</v>
      </c>
      <c r="L56" s="75">
        <f>+'Cons spec tot e finalizzati'!R56-'Cons spec tot e finalizzati'!S56</f>
        <v>5083</v>
      </c>
      <c r="M56" s="75">
        <f>+'Cons spec tot e finalizzati'!T56-'Cons spec tot e finalizzati'!U56</f>
        <v>5135</v>
      </c>
      <c r="N56" s="75">
        <f>+'Cons spec tot e finalizzati'!V56-'Cons spec tot e finalizzati'!W56</f>
        <v>4471</v>
      </c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</row>
    <row r="57" spans="1:35" s="2" customFormat="1" ht="12.75">
      <c r="A57" s="173" t="s">
        <v>138</v>
      </c>
      <c r="B57" s="174"/>
      <c r="C57" s="174"/>
      <c r="D57" s="175"/>
      <c r="E57" s="38"/>
      <c r="F57" s="98">
        <f>+'Cons spec tot e finalizzati'!F57-'Cons spec tot e finalizzati'!G57</f>
        <v>16033</v>
      </c>
      <c r="G57" s="98">
        <f>+'Cons spec tot e finalizzati'!H57-'Cons spec tot e finalizzati'!I57</f>
        <v>21982</v>
      </c>
      <c r="H57" s="98">
        <f>+'Cons spec tot e finalizzati'!J57-'Cons spec tot e finalizzati'!K57</f>
        <v>14315</v>
      </c>
      <c r="I57" s="98">
        <f>+'Cons spec tot e finalizzati'!L57-'Cons spec tot e finalizzati'!M57</f>
        <v>15831</v>
      </c>
      <c r="J57" s="98">
        <f>+'Cons spec tot e finalizzati'!N57-'Cons spec tot e finalizzati'!O57</f>
        <v>15788.754688137502</v>
      </c>
      <c r="K57" s="98">
        <f>+'Cons spec tot e finalizzati'!P57-'Cons spec tot e finalizzati'!Q57</f>
        <v>14958</v>
      </c>
      <c r="L57" s="98">
        <f>+'Cons spec tot e finalizzati'!R57-'Cons spec tot e finalizzati'!S57</f>
        <v>15154</v>
      </c>
      <c r="M57" s="98">
        <f>+'Cons spec tot e finalizzati'!T57-'Cons spec tot e finalizzati'!U57</f>
        <v>15324</v>
      </c>
      <c r="N57" s="98">
        <f>+'Cons spec tot e finalizzati'!V57-'Cons spec tot e finalizzati'!W57</f>
        <v>16643</v>
      </c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</row>
    <row r="58" spans="1:35" s="2" customFormat="1" ht="12.75">
      <c r="A58" s="46"/>
      <c r="B58" s="40" t="s">
        <v>166</v>
      </c>
      <c r="D58" s="47"/>
      <c r="F58" s="82">
        <f>+'Cons spec tot e finalizzati'!F58-'Cons spec tot e finalizzati'!G58</f>
        <v>4324</v>
      </c>
      <c r="G58" s="82">
        <f>+'Cons spec tot e finalizzati'!H58-'Cons spec tot e finalizzati'!I58</f>
        <v>6828</v>
      </c>
      <c r="H58" s="82">
        <f>+'Cons spec tot e finalizzati'!J58-'Cons spec tot e finalizzati'!K58</f>
        <v>1553</v>
      </c>
      <c r="I58" s="85">
        <f>+'Cons spec tot e finalizzati'!L58-'Cons spec tot e finalizzati'!M58</f>
        <v>1732</v>
      </c>
      <c r="J58" s="82">
        <f>+'Cons spec tot e finalizzati'!N58-'Cons spec tot e finalizzati'!O58</f>
        <v>2434.6882924385545</v>
      </c>
      <c r="K58" s="82">
        <f>+'Cons spec tot e finalizzati'!P58-'Cons spec tot e finalizzati'!Q58</f>
        <v>979</v>
      </c>
      <c r="L58" s="82">
        <f>+'Cons spec tot e finalizzati'!R58-'Cons spec tot e finalizzati'!S58</f>
        <v>685</v>
      </c>
      <c r="M58" s="82">
        <f>+'Cons spec tot e finalizzati'!T58-'Cons spec tot e finalizzati'!U58</f>
        <v>523</v>
      </c>
      <c r="N58" s="82">
        <f>+'Cons spec tot e finalizzati'!V58-'Cons spec tot e finalizzati'!W58</f>
        <v>510</v>
      </c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</row>
    <row r="59" spans="1:35" s="2" customFormat="1" ht="12.75">
      <c r="A59" s="46"/>
      <c r="B59" s="40" t="s">
        <v>61</v>
      </c>
      <c r="D59" s="47"/>
      <c r="F59" s="82">
        <f>+'Cons spec tot e finalizzati'!F59-'Cons spec tot e finalizzati'!G59</f>
        <v>399</v>
      </c>
      <c r="G59" s="82">
        <f>+'Cons spec tot e finalizzati'!H59-'Cons spec tot e finalizzati'!I59</f>
        <v>622</v>
      </c>
      <c r="H59" s="82">
        <f>+'Cons spec tot e finalizzati'!J59-'Cons spec tot e finalizzati'!K59</f>
        <v>570</v>
      </c>
      <c r="I59" s="82">
        <f>+'Cons spec tot e finalizzati'!L59-'Cons spec tot e finalizzati'!M59</f>
        <v>1387</v>
      </c>
      <c r="J59" s="82">
        <f>+'Cons spec tot e finalizzati'!N59-'Cons spec tot e finalizzati'!O59</f>
        <v>546.9487055007824</v>
      </c>
      <c r="K59" s="82">
        <f>+'Cons spec tot e finalizzati'!P59-'Cons spec tot e finalizzati'!Q59</f>
        <v>1305</v>
      </c>
      <c r="L59" s="82">
        <f>+'Cons spec tot e finalizzati'!R59-'Cons spec tot e finalizzati'!S59</f>
        <v>1095</v>
      </c>
      <c r="M59" s="82">
        <f>+'Cons spec tot e finalizzati'!T59-'Cons spec tot e finalizzati'!U59</f>
        <v>973</v>
      </c>
      <c r="N59" s="82">
        <f>+'Cons spec tot e finalizzati'!V59-'Cons spec tot e finalizzati'!W59</f>
        <v>1707</v>
      </c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</row>
    <row r="60" spans="1:35" s="208" customFormat="1" ht="8.25">
      <c r="A60" s="209"/>
      <c r="C60" s="213" t="s">
        <v>12</v>
      </c>
      <c r="D60" s="210"/>
      <c r="F60" s="211">
        <f>+'Cons spec tot e finalizzati'!F60-'Cons spec tot e finalizzati'!G60</f>
        <v>268</v>
      </c>
      <c r="G60" s="211">
        <f>+'Cons spec tot e finalizzati'!H60-'Cons spec tot e finalizzati'!I60</f>
        <v>408</v>
      </c>
      <c r="H60" s="211">
        <f>+'Cons spec tot e finalizzati'!J60-'Cons spec tot e finalizzati'!K60</f>
        <v>362</v>
      </c>
      <c r="I60" s="211">
        <f>+'Cons spec tot e finalizzati'!L60-'Cons spec tot e finalizzati'!M60</f>
        <v>1240</v>
      </c>
      <c r="J60" s="211">
        <f>+'Cons spec tot e finalizzati'!N60-'Cons spec tot e finalizzati'!O60</f>
        <v>516</v>
      </c>
      <c r="K60" s="211">
        <f>+'Cons spec tot e finalizzati'!P60-'Cons spec tot e finalizzati'!Q60</f>
        <v>1013</v>
      </c>
      <c r="L60" s="211">
        <f>+'Cons spec tot e finalizzati'!R60-'Cons spec tot e finalizzati'!S60</f>
        <v>533</v>
      </c>
      <c r="M60" s="211">
        <f>+'Cons spec tot e finalizzati'!T60-'Cons spec tot e finalizzati'!U60</f>
        <v>684</v>
      </c>
      <c r="N60" s="211">
        <f>+'Cons spec tot e finalizzati'!V60-'Cons spec tot e finalizzati'!W60</f>
        <v>1638</v>
      </c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</row>
    <row r="61" spans="1:35" s="208" customFormat="1" ht="8.25">
      <c r="A61" s="209"/>
      <c r="C61" s="208" t="s">
        <v>97</v>
      </c>
      <c r="D61" s="210"/>
      <c r="F61" s="211">
        <f>+'Cons spec tot e finalizzati'!F61-'Cons spec tot e finalizzati'!G61</f>
        <v>129</v>
      </c>
      <c r="G61" s="211">
        <f>+'Cons spec tot e finalizzati'!H61-'Cons spec tot e finalizzati'!I61</f>
        <v>212</v>
      </c>
      <c r="H61" s="211">
        <f>+'Cons spec tot e finalizzati'!J61-'Cons spec tot e finalizzati'!K61</f>
        <v>206</v>
      </c>
      <c r="I61" s="211">
        <f>+'Cons spec tot e finalizzati'!L61-'Cons spec tot e finalizzati'!M61</f>
        <v>145</v>
      </c>
      <c r="J61" s="211">
        <f>+'Cons spec tot e finalizzati'!N61-'Cons spec tot e finalizzati'!O61</f>
        <v>0.9487055007824097</v>
      </c>
      <c r="K61" s="211">
        <f>+'Cons spec tot e finalizzati'!P61-'Cons spec tot e finalizzati'!Q61</f>
        <v>199</v>
      </c>
      <c r="L61" s="211">
        <f>+'Cons spec tot e finalizzati'!R61-'Cons spec tot e finalizzati'!S61</f>
        <v>258</v>
      </c>
      <c r="M61" s="211">
        <f>+'Cons spec tot e finalizzati'!T61-'Cons spec tot e finalizzati'!U61</f>
        <v>64</v>
      </c>
      <c r="N61" s="211">
        <f>+'Cons spec tot e finalizzati'!V61-'Cons spec tot e finalizzati'!W61</f>
        <v>59</v>
      </c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</row>
    <row r="62" spans="1:35" s="208" customFormat="1" ht="8.25">
      <c r="A62" s="209"/>
      <c r="C62" s="208" t="s">
        <v>11</v>
      </c>
      <c r="D62" s="210"/>
      <c r="F62" s="211">
        <f>+'Cons spec tot e finalizzati'!F62-'Cons spec tot e finalizzati'!G62</f>
        <v>2</v>
      </c>
      <c r="G62" s="211">
        <f>+'Cons spec tot e finalizzati'!H62-'Cons spec tot e finalizzati'!I62</f>
        <v>2</v>
      </c>
      <c r="H62" s="211">
        <f>+'Cons spec tot e finalizzati'!J62-'Cons spec tot e finalizzati'!K62</f>
        <v>2</v>
      </c>
      <c r="I62" s="211">
        <f>+'Cons spec tot e finalizzati'!L62-'Cons spec tot e finalizzati'!M62</f>
        <v>2</v>
      </c>
      <c r="J62" s="211">
        <f>+'Cons spec tot e finalizzati'!N62-'Cons spec tot e finalizzati'!O62</f>
        <v>30</v>
      </c>
      <c r="K62" s="211">
        <f>+'Cons spec tot e finalizzati'!P62-'Cons spec tot e finalizzati'!Q62</f>
        <v>93</v>
      </c>
      <c r="L62" s="211">
        <f>+'Cons spec tot e finalizzati'!R62-'Cons spec tot e finalizzati'!S62</f>
        <v>304</v>
      </c>
      <c r="M62" s="211">
        <f>+'Cons spec tot e finalizzati'!T62-'Cons spec tot e finalizzati'!U62</f>
        <v>225</v>
      </c>
      <c r="N62" s="211">
        <f>+'Cons spec tot e finalizzati'!V62-'Cons spec tot e finalizzati'!W62</f>
        <v>10</v>
      </c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</row>
    <row r="63" spans="1:35" s="2" customFormat="1" ht="12.75">
      <c r="A63" s="46"/>
      <c r="B63" s="14" t="s">
        <v>167</v>
      </c>
      <c r="D63" s="47"/>
      <c r="F63" s="85">
        <f>+'Cons spec tot e finalizzati'!F63-'Cons spec tot e finalizzati'!G63</f>
        <v>88</v>
      </c>
      <c r="G63" s="85">
        <f>+'Cons spec tot e finalizzati'!H63-'Cons spec tot e finalizzati'!I63</f>
        <v>356</v>
      </c>
      <c r="H63" s="85">
        <f>+'Cons spec tot e finalizzati'!J63-'Cons spec tot e finalizzati'!K63</f>
        <v>491</v>
      </c>
      <c r="I63" s="85">
        <f>+'Cons spec tot e finalizzati'!L63-'Cons spec tot e finalizzati'!M63</f>
        <v>346</v>
      </c>
      <c r="J63" s="85">
        <f>+'Cons spec tot e finalizzati'!N63-'Cons spec tot e finalizzati'!O63</f>
        <v>369</v>
      </c>
      <c r="K63" s="85">
        <f>+'Cons spec tot e finalizzati'!P63-'Cons spec tot e finalizzati'!Q63</f>
        <v>383</v>
      </c>
      <c r="L63" s="85">
        <f>+'Cons spec tot e finalizzati'!R63-'Cons spec tot e finalizzati'!S63</f>
        <v>441</v>
      </c>
      <c r="M63" s="85">
        <f>+'Cons spec tot e finalizzati'!T63-'Cons spec tot e finalizzati'!U63</f>
        <v>488</v>
      </c>
      <c r="N63" s="85">
        <f>+'Cons spec tot e finalizzati'!V63-'Cons spec tot e finalizzati'!W63</f>
        <v>453</v>
      </c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</row>
    <row r="64" spans="1:35" s="2" customFormat="1" ht="12.75">
      <c r="A64" s="215"/>
      <c r="B64" s="14" t="s">
        <v>168</v>
      </c>
      <c r="D64" s="47"/>
      <c r="F64" s="85">
        <f>+'Cons spec tot e finalizzati'!F64-'Cons spec tot e finalizzati'!G64</f>
        <v>831</v>
      </c>
      <c r="G64" s="85">
        <f>+'Cons spec tot e finalizzati'!H64-'Cons spec tot e finalizzati'!I64</f>
        <v>330</v>
      </c>
      <c r="H64" s="85">
        <f>+'Cons spec tot e finalizzati'!J64-'Cons spec tot e finalizzati'!K64</f>
        <v>77</v>
      </c>
      <c r="I64" s="85">
        <f>+'Cons spec tot e finalizzati'!L64-'Cons spec tot e finalizzati'!M64</f>
        <v>134</v>
      </c>
      <c r="J64" s="85">
        <f>+'Cons spec tot e finalizzati'!N64-'Cons spec tot e finalizzati'!O64</f>
        <v>38</v>
      </c>
      <c r="K64" s="85">
        <f>+'Cons spec tot e finalizzati'!P64-'Cons spec tot e finalizzati'!Q64</f>
        <v>29</v>
      </c>
      <c r="L64" s="85">
        <f>+'Cons spec tot e finalizzati'!R64-'Cons spec tot e finalizzati'!S64</f>
        <v>136</v>
      </c>
      <c r="M64" s="85">
        <f>+'Cons spec tot e finalizzati'!T64-'Cons spec tot e finalizzati'!U64</f>
        <v>104</v>
      </c>
      <c r="N64" s="85">
        <f>+'Cons spec tot e finalizzati'!V64-'Cons spec tot e finalizzati'!W64</f>
        <v>98</v>
      </c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</row>
    <row r="65" spans="1:35" s="2" customFormat="1" ht="12.75">
      <c r="A65" s="46"/>
      <c r="B65" s="14" t="s">
        <v>169</v>
      </c>
      <c r="D65" s="47"/>
      <c r="F65" s="85">
        <f>+'Cons spec tot e finalizzati'!F65-'Cons spec tot e finalizzati'!G65</f>
        <v>0</v>
      </c>
      <c r="G65" s="85">
        <f>+'Cons spec tot e finalizzati'!H65-'Cons spec tot e finalizzati'!I65</f>
        <v>0</v>
      </c>
      <c r="H65" s="85">
        <f>+'Cons spec tot e finalizzati'!J65-'Cons spec tot e finalizzati'!K65</f>
        <v>1</v>
      </c>
      <c r="I65" s="85">
        <f>+'Cons spec tot e finalizzati'!L65-'Cons spec tot e finalizzati'!M65</f>
        <v>104</v>
      </c>
      <c r="J65" s="85">
        <f>+'Cons spec tot e finalizzati'!N65-'Cons spec tot e finalizzati'!O65</f>
        <v>0</v>
      </c>
      <c r="K65" s="85">
        <f>+'Cons spec tot e finalizzati'!P65-'Cons spec tot e finalizzati'!Q65</f>
        <v>1</v>
      </c>
      <c r="L65" s="85">
        <f>+'Cons spec tot e finalizzati'!R65-'Cons spec tot e finalizzati'!S65</f>
        <v>0</v>
      </c>
      <c r="M65" s="85">
        <f>+'Cons spec tot e finalizzati'!T65-'Cons spec tot e finalizzati'!U65</f>
        <v>67</v>
      </c>
      <c r="N65" s="85">
        <f>+'Cons spec tot e finalizzati'!V65-'Cons spec tot e finalizzati'!W65</f>
        <v>1</v>
      </c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</row>
    <row r="66" spans="1:35" s="2" customFormat="1" ht="12.75">
      <c r="A66" s="46"/>
      <c r="B66" s="40" t="s">
        <v>170</v>
      </c>
      <c r="D66" s="47"/>
      <c r="F66" s="82">
        <f>+'Cons spec tot e finalizzati'!F66-'Cons spec tot e finalizzati'!G66</f>
        <v>10391</v>
      </c>
      <c r="G66" s="82">
        <f>+'Cons spec tot e finalizzati'!H66-'Cons spec tot e finalizzati'!I66</f>
        <v>13846</v>
      </c>
      <c r="H66" s="82">
        <f>+'Cons spec tot e finalizzati'!J66-'Cons spec tot e finalizzati'!K66</f>
        <v>11623</v>
      </c>
      <c r="I66" s="82">
        <f>+'Cons spec tot e finalizzati'!L66-'Cons spec tot e finalizzati'!M66</f>
        <v>12128</v>
      </c>
      <c r="J66" s="82">
        <f>+'Cons spec tot e finalizzati'!N66-'Cons spec tot e finalizzati'!O66</f>
        <v>12400.117690198163</v>
      </c>
      <c r="K66" s="82">
        <f>+'Cons spec tot e finalizzati'!P66-'Cons spec tot e finalizzati'!Q66</f>
        <v>12261</v>
      </c>
      <c r="L66" s="82">
        <f>+'Cons spec tot e finalizzati'!R66-'Cons spec tot e finalizzati'!S66</f>
        <v>12797</v>
      </c>
      <c r="M66" s="82">
        <f>+'Cons spec tot e finalizzati'!T66-'Cons spec tot e finalizzati'!U66</f>
        <v>13169</v>
      </c>
      <c r="N66" s="82">
        <f>+'Cons spec tot e finalizzati'!V66-'Cons spec tot e finalizzati'!W66</f>
        <v>13874</v>
      </c>
      <c r="O66" s="82">
        <f aca="true" t="shared" si="0" ref="O66:U66">SUM(O67:O73)</f>
        <v>0</v>
      </c>
      <c r="P66" s="82">
        <f t="shared" si="0"/>
        <v>0</v>
      </c>
      <c r="Q66" s="82">
        <f t="shared" si="0"/>
        <v>0</v>
      </c>
      <c r="R66" s="82">
        <f t="shared" si="0"/>
        <v>0</v>
      </c>
      <c r="S66" s="82">
        <f t="shared" si="0"/>
        <v>0</v>
      </c>
      <c r="T66" s="82">
        <f t="shared" si="0"/>
        <v>0</v>
      </c>
      <c r="U66" s="82">
        <f t="shared" si="0"/>
        <v>0</v>
      </c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</row>
    <row r="67" spans="1:35" s="208" customFormat="1" ht="8.25">
      <c r="A67" s="209"/>
      <c r="C67" s="208" t="s">
        <v>171</v>
      </c>
      <c r="D67" s="210"/>
      <c r="F67" s="211">
        <f>+'Cons spec tot e finalizzati'!F67-'Cons spec tot e finalizzati'!G67</f>
        <v>0</v>
      </c>
      <c r="G67" s="211">
        <f>+'Cons spec tot e finalizzati'!H67-'Cons spec tot e finalizzati'!I67</f>
        <v>0</v>
      </c>
      <c r="H67" s="211">
        <f>+'Cons spec tot e finalizzati'!J67-'Cons spec tot e finalizzati'!K67</f>
        <v>0</v>
      </c>
      <c r="I67" s="211">
        <f>+'Cons spec tot e finalizzati'!L67-'Cons spec tot e finalizzati'!M67</f>
        <v>0</v>
      </c>
      <c r="J67" s="211">
        <f>+'Cons spec tot e finalizzati'!N67-'Cons spec tot e finalizzati'!O67</f>
        <v>0</v>
      </c>
      <c r="K67" s="211">
        <f>+'Cons spec tot e finalizzati'!P67-'Cons spec tot e finalizzati'!Q67</f>
        <v>0</v>
      </c>
      <c r="L67" s="211">
        <f>+'Cons spec tot e finalizzati'!R67-'Cons spec tot e finalizzati'!S67</f>
        <v>197</v>
      </c>
      <c r="M67" s="211">
        <f>+'Cons spec tot e finalizzati'!T67-'Cons spec tot e finalizzati'!U67</f>
        <v>188</v>
      </c>
      <c r="N67" s="211">
        <f>+'Cons spec tot e finalizzati'!V67-'Cons spec tot e finalizzati'!W67</f>
        <v>179</v>
      </c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</row>
    <row r="68" spans="1:35" s="208" customFormat="1" ht="8.25">
      <c r="A68" s="209"/>
      <c r="C68" s="208" t="s">
        <v>113</v>
      </c>
      <c r="D68" s="210"/>
      <c r="F68" s="211">
        <f>+'Cons spec tot e finalizzati'!F68-'Cons spec tot e finalizzati'!G68</f>
        <v>2996</v>
      </c>
      <c r="G68" s="211">
        <f>+'Cons spec tot e finalizzati'!H68-'Cons spec tot e finalizzati'!I68</f>
        <v>3782</v>
      </c>
      <c r="H68" s="211">
        <f>+'Cons spec tot e finalizzati'!J68-'Cons spec tot e finalizzati'!K68</f>
        <v>3318</v>
      </c>
      <c r="I68" s="211">
        <f>+'Cons spec tot e finalizzati'!L68-'Cons spec tot e finalizzati'!M68</f>
        <v>2177</v>
      </c>
      <c r="J68" s="211">
        <f>+'Cons spec tot e finalizzati'!N68-'Cons spec tot e finalizzati'!O68</f>
        <v>2440.8248384781045</v>
      </c>
      <c r="K68" s="211">
        <f>+'Cons spec tot e finalizzati'!P68-'Cons spec tot e finalizzati'!Q68</f>
        <v>2975</v>
      </c>
      <c r="L68" s="211">
        <f>+'Cons spec tot e finalizzati'!R68-'Cons spec tot e finalizzati'!S68</f>
        <v>2629</v>
      </c>
      <c r="M68" s="211">
        <f>+'Cons spec tot e finalizzati'!T68-'Cons spec tot e finalizzati'!U68</f>
        <v>2647</v>
      </c>
      <c r="N68" s="211">
        <f>+'Cons spec tot e finalizzati'!V68-'Cons spec tot e finalizzati'!W68</f>
        <v>2799</v>
      </c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</row>
    <row r="69" spans="1:35" s="208" customFormat="1" ht="8.25">
      <c r="A69" s="209"/>
      <c r="C69" s="208" t="s">
        <v>115</v>
      </c>
      <c r="D69" s="210"/>
      <c r="F69" s="211">
        <f>+'Cons spec tot e finalizzati'!F69-'Cons spec tot e finalizzati'!G69</f>
        <v>4522</v>
      </c>
      <c r="G69" s="211">
        <f>+'Cons spec tot e finalizzati'!H69-'Cons spec tot e finalizzati'!I69</f>
        <v>6464</v>
      </c>
      <c r="H69" s="211">
        <f>+'Cons spec tot e finalizzati'!J69-'Cons spec tot e finalizzati'!K69</f>
        <v>5020</v>
      </c>
      <c r="I69" s="211">
        <f>+'Cons spec tot e finalizzati'!L69-'Cons spec tot e finalizzati'!M69</f>
        <v>6466</v>
      </c>
      <c r="J69" s="211">
        <f>+'Cons spec tot e finalizzati'!N69-'Cons spec tot e finalizzati'!O69</f>
        <v>4471.29285172006</v>
      </c>
      <c r="K69" s="211">
        <f>+'Cons spec tot e finalizzati'!P69-'Cons spec tot e finalizzati'!Q69</f>
        <v>4221</v>
      </c>
      <c r="L69" s="211">
        <f>+'Cons spec tot e finalizzati'!R69-'Cons spec tot e finalizzati'!S69</f>
        <v>3435</v>
      </c>
      <c r="M69" s="211">
        <f>+'Cons spec tot e finalizzati'!T69-'Cons spec tot e finalizzati'!U69</f>
        <v>3476</v>
      </c>
      <c r="N69" s="211">
        <f>+'Cons spec tot e finalizzati'!V69-'Cons spec tot e finalizzati'!W69</f>
        <v>3580</v>
      </c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</row>
    <row r="70" spans="1:35" s="208" customFormat="1" ht="8.25">
      <c r="A70" s="209"/>
      <c r="C70" s="208" t="s">
        <v>114</v>
      </c>
      <c r="D70" s="210"/>
      <c r="F70" s="211">
        <f>+'Cons spec tot e finalizzati'!F70-'Cons spec tot e finalizzati'!G70</f>
        <v>0</v>
      </c>
      <c r="G70" s="211">
        <f>+'Cons spec tot e finalizzati'!H70-'Cons spec tot e finalizzati'!I70</f>
        <v>0</v>
      </c>
      <c r="H70" s="211">
        <f>+'Cons spec tot e finalizzati'!J70-'Cons spec tot e finalizzati'!K70</f>
        <v>0</v>
      </c>
      <c r="I70" s="211">
        <f>+'Cons spec tot e finalizzati'!L70-'Cons spec tot e finalizzati'!M70</f>
        <v>0</v>
      </c>
      <c r="J70" s="211">
        <f>+'Cons spec tot e finalizzati'!N70-'Cons spec tot e finalizzati'!O70</f>
        <v>0</v>
      </c>
      <c r="K70" s="211">
        <f>+'Cons spec tot e finalizzati'!P70-'Cons spec tot e finalizzati'!Q70</f>
        <v>154</v>
      </c>
      <c r="L70" s="211">
        <f>+'Cons spec tot e finalizzati'!R70-'Cons spec tot e finalizzati'!S70</f>
        <v>1372</v>
      </c>
      <c r="M70" s="211">
        <f>+'Cons spec tot e finalizzati'!T70-'Cons spec tot e finalizzati'!U70</f>
        <v>1353</v>
      </c>
      <c r="N70" s="211">
        <f>+'Cons spec tot e finalizzati'!V70-'Cons spec tot e finalizzati'!W70</f>
        <v>1483</v>
      </c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</row>
    <row r="71" spans="1:35" s="208" customFormat="1" ht="8.25">
      <c r="A71" s="209"/>
      <c r="C71" s="208" t="s">
        <v>172</v>
      </c>
      <c r="D71" s="210"/>
      <c r="F71" s="211">
        <f>+'Cons spec tot e finalizzati'!F71-'Cons spec tot e finalizzati'!G71</f>
        <v>0</v>
      </c>
      <c r="G71" s="211">
        <f>+'Cons spec tot e finalizzati'!H71-'Cons spec tot e finalizzati'!I71</f>
        <v>0</v>
      </c>
      <c r="H71" s="211">
        <f>+'Cons spec tot e finalizzati'!J71-'Cons spec tot e finalizzati'!K71</f>
        <v>0</v>
      </c>
      <c r="I71" s="211">
        <f>+'Cons spec tot e finalizzati'!L71-'Cons spec tot e finalizzati'!M71</f>
        <v>0</v>
      </c>
      <c r="J71" s="211">
        <f>+'Cons spec tot e finalizzati'!N71-'Cons spec tot e finalizzati'!O71</f>
        <v>3904</v>
      </c>
      <c r="K71" s="211">
        <f>+'Cons spec tot e finalizzati'!P71-'Cons spec tot e finalizzati'!Q71</f>
        <v>4911</v>
      </c>
      <c r="L71" s="211">
        <f>+'Cons spec tot e finalizzati'!R71-'Cons spec tot e finalizzati'!S71</f>
        <v>5164</v>
      </c>
      <c r="M71" s="211">
        <f>+'Cons spec tot e finalizzati'!T71-'Cons spec tot e finalizzati'!U71</f>
        <v>5505</v>
      </c>
      <c r="N71" s="211">
        <f>+'Cons spec tot e finalizzati'!V71-'Cons spec tot e finalizzati'!W71</f>
        <v>5833</v>
      </c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</row>
    <row r="72" spans="1:35" s="208" customFormat="1" ht="8.25">
      <c r="A72" s="209"/>
      <c r="C72" s="216" t="s">
        <v>14</v>
      </c>
      <c r="D72" s="217"/>
      <c r="E72" s="218"/>
      <c r="F72" s="219">
        <f>+'Cons spec tot e finalizzati'!F72-'Cons spec tot e finalizzati'!G72</f>
        <v>1667</v>
      </c>
      <c r="G72" s="219">
        <f>+'Cons spec tot e finalizzati'!H72-'Cons spec tot e finalizzati'!I72</f>
        <v>1979</v>
      </c>
      <c r="H72" s="219">
        <f>+'Cons spec tot e finalizzati'!J72-'Cons spec tot e finalizzati'!K72</f>
        <v>1770</v>
      </c>
      <c r="I72" s="219">
        <f>+'Cons spec tot e finalizzati'!L72-'Cons spec tot e finalizzati'!M72</f>
        <v>1708</v>
      </c>
      <c r="J72" s="219">
        <f>+'Cons spec tot e finalizzati'!N72-'Cons spec tot e finalizzati'!O72</f>
        <v>190</v>
      </c>
      <c r="K72" s="219">
        <f>+'Cons spec tot e finalizzati'!P72-'Cons spec tot e finalizzati'!Q72</f>
        <v>0</v>
      </c>
      <c r="L72" s="219">
        <f>+'Cons spec tot e finalizzati'!R72-'Cons spec tot e finalizzati'!S72</f>
        <v>0</v>
      </c>
      <c r="M72" s="219">
        <f>+'Cons spec tot e finalizzati'!T72-'Cons spec tot e finalizzati'!U72</f>
        <v>0</v>
      </c>
      <c r="N72" s="219">
        <f>+'Cons spec tot e finalizzati'!V72-'Cons spec tot e finalizzati'!W72</f>
        <v>0</v>
      </c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</row>
    <row r="73" spans="1:35" s="208" customFormat="1" ht="8.25">
      <c r="A73" s="221"/>
      <c r="B73" s="222"/>
      <c r="C73" s="223" t="s">
        <v>15</v>
      </c>
      <c r="D73" s="224"/>
      <c r="E73" s="225"/>
      <c r="F73" s="226">
        <f>+'Cons spec tot e finalizzati'!F73-'Cons spec tot e finalizzati'!G73</f>
        <v>1206</v>
      </c>
      <c r="G73" s="226">
        <f>+'Cons spec tot e finalizzati'!H73-'Cons spec tot e finalizzati'!I73</f>
        <v>1621</v>
      </c>
      <c r="H73" s="226">
        <f>+'Cons spec tot e finalizzati'!J73-'Cons spec tot e finalizzati'!K73</f>
        <v>1515</v>
      </c>
      <c r="I73" s="226">
        <f>+'Cons spec tot e finalizzati'!L73-'Cons spec tot e finalizzati'!M73</f>
        <v>1777</v>
      </c>
      <c r="J73" s="226">
        <f>+'Cons spec tot e finalizzati'!N73-'Cons spec tot e finalizzati'!O73</f>
        <v>1394</v>
      </c>
      <c r="K73" s="226">
        <f>+'Cons spec tot e finalizzati'!P73-'Cons spec tot e finalizzati'!Q73</f>
        <v>0</v>
      </c>
      <c r="L73" s="226">
        <f>+'Cons spec tot e finalizzati'!R73-'Cons spec tot e finalizzati'!S73</f>
        <v>0</v>
      </c>
      <c r="M73" s="226">
        <f>+'Cons spec tot e finalizzati'!T73-'Cons spec tot e finalizzati'!U73</f>
        <v>0</v>
      </c>
      <c r="N73" s="226">
        <f>+'Cons spec tot e finalizzati'!V73-'Cons spec tot e finalizzati'!W73</f>
        <v>0</v>
      </c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</row>
    <row r="74" spans="1:35" s="2" customFormat="1" ht="12.75">
      <c r="A74" s="188" t="s">
        <v>142</v>
      </c>
      <c r="B74" s="186"/>
      <c r="C74" s="186"/>
      <c r="D74" s="187"/>
      <c r="E74" s="86"/>
      <c r="F74" s="107">
        <f>+'Cons spec tot e finalizzati'!F74-'Cons spec tot e finalizzati'!G74</f>
        <v>14305</v>
      </c>
      <c r="G74" s="107">
        <f>+'Cons spec tot e finalizzati'!H74-'Cons spec tot e finalizzati'!I74</f>
        <v>15110</v>
      </c>
      <c r="H74" s="107">
        <f>+'Cons spec tot e finalizzati'!J74-'Cons spec tot e finalizzati'!K74</f>
        <v>18049</v>
      </c>
      <c r="I74" s="107">
        <f>+'Cons spec tot e finalizzati'!L74-'Cons spec tot e finalizzati'!M74</f>
        <v>19896</v>
      </c>
      <c r="J74" s="107">
        <f>+'Cons spec tot e finalizzati'!N74-'Cons spec tot e finalizzati'!O74</f>
        <v>22704.298646366467</v>
      </c>
      <c r="K74" s="107">
        <f>+'Cons spec tot e finalizzati'!P74-'Cons spec tot e finalizzati'!Q74</f>
        <v>23000</v>
      </c>
      <c r="L74" s="107">
        <f>+'Cons spec tot e finalizzati'!R74-'Cons spec tot e finalizzati'!S74</f>
        <v>23689</v>
      </c>
      <c r="M74" s="107">
        <f>+'Cons spec tot e finalizzati'!T74-'Cons spec tot e finalizzati'!U74</f>
        <v>27175</v>
      </c>
      <c r="N74" s="107">
        <f>+'Cons spec tot e finalizzati'!V74-'Cons spec tot e finalizzati'!W74</f>
        <v>23903</v>
      </c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</row>
    <row r="75" spans="1:35" s="61" customFormat="1" ht="12.75">
      <c r="A75" s="199"/>
      <c r="B75" s="200"/>
      <c r="C75" s="200" t="s">
        <v>158</v>
      </c>
      <c r="D75" s="201"/>
      <c r="F75" s="108">
        <f>+'Cons spec tot e finalizzati'!F75-'Cons spec tot e finalizzati'!G75</f>
        <v>0</v>
      </c>
      <c r="G75" s="108">
        <f>+'Cons spec tot e finalizzati'!H75-'Cons spec tot e finalizzati'!I75</f>
        <v>0</v>
      </c>
      <c r="H75" s="202">
        <f>+'Cons spec tot e finalizzati'!J75-'Cons spec tot e finalizzati'!K75</f>
        <v>0</v>
      </c>
      <c r="I75" s="127">
        <f>+'Cons spec tot e finalizzati'!L75-'Cons spec tot e finalizzati'!M75</f>
        <v>0</v>
      </c>
      <c r="J75" s="202">
        <f>+'Cons spec tot e finalizzati'!N75-'Cons spec tot e finalizzati'!O75</f>
        <v>0</v>
      </c>
      <c r="K75" s="113">
        <f>+'Cons spec tot e finalizzati'!P75-'Cons spec tot e finalizzati'!Q75</f>
        <v>0</v>
      </c>
      <c r="L75" s="202">
        <f>+'Cons spec tot e finalizzati'!R75-'Cons spec tot e finalizzati'!S75</f>
        <v>49</v>
      </c>
      <c r="M75" s="202">
        <f>+'Cons spec tot e finalizzati'!T75-'Cons spec tot e finalizzati'!U75</f>
        <v>50</v>
      </c>
      <c r="N75" s="202">
        <f>+'Cons spec tot e finalizzati'!V75-'Cons spec tot e finalizzati'!W75</f>
        <v>66</v>
      </c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</row>
    <row r="76" spans="1:35" s="2" customFormat="1" ht="12.75">
      <c r="A76" s="46"/>
      <c r="B76" s="194" t="s">
        <v>141</v>
      </c>
      <c r="C76" s="170"/>
      <c r="D76" s="171"/>
      <c r="F76" s="108">
        <f>+'Cons spec tot e finalizzati'!F76-'Cons spec tot e finalizzati'!G76</f>
        <v>2550</v>
      </c>
      <c r="G76" s="108">
        <f>+'Cons spec tot e finalizzati'!H76-'Cons spec tot e finalizzati'!I76</f>
        <v>2378</v>
      </c>
      <c r="H76" s="108">
        <f>+'Cons spec tot e finalizzati'!J76-'Cons spec tot e finalizzati'!K76</f>
        <v>2467</v>
      </c>
      <c r="I76" s="108">
        <f>+'Cons spec tot e finalizzati'!L76-'Cons spec tot e finalizzati'!M76</f>
        <v>2865</v>
      </c>
      <c r="J76" s="108">
        <f>+'Cons spec tot e finalizzati'!N76-'Cons spec tot e finalizzati'!O76</f>
        <v>3710.2986463664674</v>
      </c>
      <c r="K76" s="108">
        <f>+'Cons spec tot e finalizzati'!P76-'Cons spec tot e finalizzati'!Q76</f>
        <v>2907</v>
      </c>
      <c r="L76" s="108">
        <f>+'Cons spec tot e finalizzati'!R76-'Cons spec tot e finalizzati'!S76</f>
        <v>2184</v>
      </c>
      <c r="M76" s="108">
        <f>+'Cons spec tot e finalizzati'!T76-'Cons spec tot e finalizzati'!U76</f>
        <v>2015</v>
      </c>
      <c r="N76" s="108">
        <f>+'Cons spec tot e finalizzati'!V76-'Cons spec tot e finalizzati'!W76</f>
        <v>1345</v>
      </c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</row>
    <row r="77" spans="1:35" s="2" customFormat="1" ht="12.75">
      <c r="A77" s="46"/>
      <c r="B77" s="40"/>
      <c r="C77" s="8" t="s">
        <v>6</v>
      </c>
      <c r="D77" s="47"/>
      <c r="F77" s="103">
        <f>+'Cons spec tot e finalizzati'!F77-'Cons spec tot e finalizzati'!G77</f>
        <v>0</v>
      </c>
      <c r="G77" s="103">
        <f>+'Cons spec tot e finalizzati'!H77-'Cons spec tot e finalizzati'!I77</f>
        <v>0</v>
      </c>
      <c r="H77" s="103">
        <f>+'Cons spec tot e finalizzati'!J77-'Cons spec tot e finalizzati'!K77</f>
        <v>0</v>
      </c>
      <c r="I77" s="85">
        <f>+'Cons spec tot e finalizzati'!L77-'Cons spec tot e finalizzati'!M77</f>
        <v>26</v>
      </c>
      <c r="J77" s="103">
        <f>+'Cons spec tot e finalizzati'!N77-'Cons spec tot e finalizzati'!O77</f>
        <v>77</v>
      </c>
      <c r="K77" s="103">
        <f>+'Cons spec tot e finalizzati'!P77-'Cons spec tot e finalizzati'!Q77</f>
        <v>70</v>
      </c>
      <c r="L77" s="103">
        <f>+'Cons spec tot e finalizzati'!R77-'Cons spec tot e finalizzati'!S77</f>
        <v>49</v>
      </c>
      <c r="M77" s="103">
        <f>+'Cons spec tot e finalizzati'!T77-'Cons spec tot e finalizzati'!U77</f>
        <v>64</v>
      </c>
      <c r="N77" s="103">
        <f>+'Cons spec tot e finalizzati'!V77-'Cons spec tot e finalizzati'!W77</f>
        <v>96</v>
      </c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231"/>
      <c r="AH77" s="231"/>
      <c r="AI77" s="231"/>
    </row>
    <row r="78" spans="1:35" s="2" customFormat="1" ht="12.75">
      <c r="A78" s="46"/>
      <c r="B78" s="40"/>
      <c r="C78" s="39" t="s">
        <v>162</v>
      </c>
      <c r="D78" s="47"/>
      <c r="F78" s="75">
        <f>+'Cons spec tot e finalizzati'!F78-'Cons spec tot e finalizzati'!G78</f>
        <v>2166</v>
      </c>
      <c r="G78" s="75">
        <f>+'Cons spec tot e finalizzati'!H78-'Cons spec tot e finalizzati'!I78</f>
        <v>2183</v>
      </c>
      <c r="H78" s="75">
        <f>+'Cons spec tot e finalizzati'!J78-'Cons spec tot e finalizzati'!K78</f>
        <v>2169</v>
      </c>
      <c r="I78" s="85">
        <f>+'Cons spec tot e finalizzati'!L78-'Cons spec tot e finalizzati'!M78</f>
        <v>2576</v>
      </c>
      <c r="J78" s="75">
        <f>+'Cons spec tot e finalizzati'!N78-'Cons spec tot e finalizzati'!O78</f>
        <v>2654</v>
      </c>
      <c r="K78" s="75">
        <f>+'Cons spec tot e finalizzati'!P78-'Cons spec tot e finalizzati'!Q78</f>
        <v>2007</v>
      </c>
      <c r="L78" s="75">
        <f>+'Cons spec tot e finalizzati'!R78-'Cons spec tot e finalizzati'!S78</f>
        <v>176</v>
      </c>
      <c r="M78" s="75">
        <f>+'Cons spec tot e finalizzati'!T78-'Cons spec tot e finalizzati'!U78</f>
        <v>55</v>
      </c>
      <c r="N78" s="75">
        <f>+'Cons spec tot e finalizzati'!V78-'Cons spec tot e finalizzati'!W78</f>
        <v>2</v>
      </c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</row>
    <row r="79" spans="1:35" s="2" customFormat="1" ht="12.75">
      <c r="A79" s="46"/>
      <c r="B79" s="40"/>
      <c r="C79" s="39" t="s">
        <v>29</v>
      </c>
      <c r="D79" s="47"/>
      <c r="F79" s="85">
        <f>+'Cons spec tot e finalizzati'!F79-'Cons spec tot e finalizzati'!G79</f>
        <v>384</v>
      </c>
      <c r="G79" s="85">
        <f>+'Cons spec tot e finalizzati'!H79-'Cons spec tot e finalizzati'!I79</f>
        <v>195</v>
      </c>
      <c r="H79" s="85">
        <f>+'Cons spec tot e finalizzati'!J79-'Cons spec tot e finalizzati'!K79</f>
        <v>298</v>
      </c>
      <c r="I79" s="85">
        <f>+'Cons spec tot e finalizzati'!L79-'Cons spec tot e finalizzati'!M79</f>
        <v>263</v>
      </c>
      <c r="J79" s="85">
        <f>+'Cons spec tot e finalizzati'!N79-'Cons spec tot e finalizzati'!O79</f>
        <v>979.2986463664674</v>
      </c>
      <c r="K79" s="85">
        <f>+'Cons spec tot e finalizzati'!P79-'Cons spec tot e finalizzati'!Q79</f>
        <v>830</v>
      </c>
      <c r="L79" s="85">
        <f>+'Cons spec tot e finalizzati'!R79-'Cons spec tot e finalizzati'!S79</f>
        <v>1959</v>
      </c>
      <c r="M79" s="85">
        <f>+'Cons spec tot e finalizzati'!T79-'Cons spec tot e finalizzati'!U79</f>
        <v>1896</v>
      </c>
      <c r="N79" s="85">
        <f>+'Cons spec tot e finalizzati'!V79-'Cons spec tot e finalizzati'!W79</f>
        <v>1247</v>
      </c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</row>
    <row r="80" spans="1:35" s="2" customFormat="1" ht="12.75">
      <c r="A80" s="46"/>
      <c r="B80" s="194" t="s">
        <v>140</v>
      </c>
      <c r="C80" s="170"/>
      <c r="D80" s="171"/>
      <c r="F80" s="108">
        <f>+'Cons spec tot e finalizzati'!F80-'Cons spec tot e finalizzati'!G80</f>
        <v>10709</v>
      </c>
      <c r="G80" s="108">
        <f>+'Cons spec tot e finalizzati'!H80-'Cons spec tot e finalizzati'!I80</f>
        <v>11502</v>
      </c>
      <c r="H80" s="108">
        <f>+'Cons spec tot e finalizzati'!J80-'Cons spec tot e finalizzati'!K80</f>
        <v>13645</v>
      </c>
      <c r="I80" s="108">
        <f>+'Cons spec tot e finalizzati'!L80-'Cons spec tot e finalizzati'!M80</f>
        <v>14867</v>
      </c>
      <c r="J80" s="108">
        <f>+'Cons spec tot e finalizzati'!N80-'Cons spec tot e finalizzati'!O80</f>
        <v>16019</v>
      </c>
      <c r="K80" s="108">
        <f>+'Cons spec tot e finalizzati'!P80-'Cons spec tot e finalizzati'!Q80</f>
        <v>15977</v>
      </c>
      <c r="L80" s="108">
        <f>+'Cons spec tot e finalizzati'!R80-'Cons spec tot e finalizzati'!S80</f>
        <v>17151</v>
      </c>
      <c r="M80" s="108">
        <f>+'Cons spec tot e finalizzati'!T80-'Cons spec tot e finalizzati'!U80</f>
        <v>21756</v>
      </c>
      <c r="N80" s="108">
        <f>+'Cons spec tot e finalizzati'!V80-'Cons spec tot e finalizzati'!W80</f>
        <v>18782</v>
      </c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</row>
    <row r="81" spans="1:35" s="2" customFormat="1" ht="12.75">
      <c r="A81" s="46"/>
      <c r="B81" s="40"/>
      <c r="C81" s="39" t="s">
        <v>28</v>
      </c>
      <c r="D81" s="47"/>
      <c r="F81" s="75">
        <f>+'Cons spec tot e finalizzati'!F81-'Cons spec tot e finalizzati'!G81</f>
        <v>385</v>
      </c>
      <c r="G81" s="75">
        <f>+'Cons spec tot e finalizzati'!H81-'Cons spec tot e finalizzati'!I81</f>
        <v>324</v>
      </c>
      <c r="H81" s="75">
        <f>+'Cons spec tot e finalizzati'!J81-'Cons spec tot e finalizzati'!K81</f>
        <v>395</v>
      </c>
      <c r="I81" s="85">
        <f>+'Cons spec tot e finalizzati'!L81-'Cons spec tot e finalizzati'!M81</f>
        <v>561</v>
      </c>
      <c r="J81" s="75">
        <f>+'Cons spec tot e finalizzati'!N81-'Cons spec tot e finalizzati'!O81</f>
        <v>833</v>
      </c>
      <c r="K81" s="75">
        <f>+'Cons spec tot e finalizzati'!P81-'Cons spec tot e finalizzati'!Q81</f>
        <v>472</v>
      </c>
      <c r="L81" s="75">
        <f>+'Cons spec tot e finalizzati'!R81-'Cons spec tot e finalizzati'!S81</f>
        <v>330</v>
      </c>
      <c r="M81" s="75">
        <f>+'Cons spec tot e finalizzati'!T81-'Cons spec tot e finalizzati'!U81</f>
        <v>322</v>
      </c>
      <c r="N81" s="75">
        <f>+'Cons spec tot e finalizzati'!V81-'Cons spec tot e finalizzati'!W81</f>
        <v>122</v>
      </c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</row>
    <row r="82" spans="1:35" s="2" customFormat="1" ht="12.75">
      <c r="A82" s="46"/>
      <c r="B82" s="40"/>
      <c r="C82" s="39" t="s">
        <v>30</v>
      </c>
      <c r="D82" s="47"/>
      <c r="F82" s="75">
        <f>+'Cons spec tot e finalizzati'!F82-'Cons spec tot e finalizzati'!G82</f>
        <v>4239</v>
      </c>
      <c r="G82" s="75">
        <f>+'Cons spec tot e finalizzati'!H82-'Cons spec tot e finalizzati'!I82</f>
        <v>4701</v>
      </c>
      <c r="H82" s="75">
        <f>+'Cons spec tot e finalizzati'!J82-'Cons spec tot e finalizzati'!K82</f>
        <v>5412</v>
      </c>
      <c r="I82" s="85">
        <f>+'Cons spec tot e finalizzati'!L82-'Cons spec tot e finalizzati'!M82</f>
        <v>5645</v>
      </c>
      <c r="J82" s="75">
        <f>+'Cons spec tot e finalizzati'!N82-'Cons spec tot e finalizzati'!O82</f>
        <v>5456</v>
      </c>
      <c r="K82" s="75">
        <f>+'Cons spec tot e finalizzati'!P82-'Cons spec tot e finalizzati'!Q82</f>
        <v>5293</v>
      </c>
      <c r="L82" s="75">
        <f>+'Cons spec tot e finalizzati'!R82-'Cons spec tot e finalizzati'!S82</f>
        <v>5262</v>
      </c>
      <c r="M82" s="75">
        <f>+'Cons spec tot e finalizzati'!T82-'Cons spec tot e finalizzati'!U82</f>
        <v>6864</v>
      </c>
      <c r="N82" s="75">
        <f>+'Cons spec tot e finalizzati'!V82-'Cons spec tot e finalizzati'!W82</f>
        <v>6554</v>
      </c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</row>
    <row r="83" spans="1:35" s="2" customFormat="1" ht="12.75">
      <c r="A83" s="46"/>
      <c r="B83" s="40"/>
      <c r="C83" s="39" t="s">
        <v>99</v>
      </c>
      <c r="D83" s="47"/>
      <c r="F83" s="75">
        <f>+'Cons spec tot e finalizzati'!F83-'Cons spec tot e finalizzati'!G83</f>
        <v>0</v>
      </c>
      <c r="G83" s="75">
        <f>+'Cons spec tot e finalizzati'!H83-'Cons spec tot e finalizzati'!I83</f>
        <v>0</v>
      </c>
      <c r="H83" s="75">
        <f>+'Cons spec tot e finalizzati'!J83-'Cons spec tot e finalizzati'!K83</f>
        <v>0</v>
      </c>
      <c r="I83" s="85">
        <f>+'Cons spec tot e finalizzati'!L83-'Cons spec tot e finalizzati'!M83</f>
        <v>0</v>
      </c>
      <c r="J83" s="75">
        <f>+'Cons spec tot e finalizzati'!N83-'Cons spec tot e finalizzati'!O83</f>
        <v>0</v>
      </c>
      <c r="K83" s="75">
        <f>+'Cons spec tot e finalizzati'!P83-'Cons spec tot e finalizzati'!Q83</f>
        <v>848</v>
      </c>
      <c r="L83" s="75">
        <f>+'Cons spec tot e finalizzati'!R83-'Cons spec tot e finalizzati'!S83</f>
        <v>1406</v>
      </c>
      <c r="M83" s="75">
        <f>+'Cons spec tot e finalizzati'!T83-'Cons spec tot e finalizzati'!U83</f>
        <v>1299</v>
      </c>
      <c r="N83" s="75">
        <f>+'Cons spec tot e finalizzati'!V83-'Cons spec tot e finalizzati'!W83</f>
        <v>373</v>
      </c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</row>
    <row r="84" spans="1:35" s="2" customFormat="1" ht="12.75">
      <c r="A84" s="46"/>
      <c r="B84" s="40"/>
      <c r="C84" s="39" t="s">
        <v>98</v>
      </c>
      <c r="D84" s="47"/>
      <c r="F84" s="75">
        <f>+'Cons spec tot e finalizzati'!F84-'Cons spec tot e finalizzati'!G84</f>
        <v>0</v>
      </c>
      <c r="G84" s="75">
        <f>+'Cons spec tot e finalizzati'!H84-'Cons spec tot e finalizzati'!I84</f>
        <v>0</v>
      </c>
      <c r="H84" s="75">
        <f>+'Cons spec tot e finalizzati'!J84-'Cons spec tot e finalizzati'!K84</f>
        <v>0</v>
      </c>
      <c r="I84" s="85">
        <f>+'Cons spec tot e finalizzati'!L84-'Cons spec tot e finalizzati'!M84</f>
        <v>0</v>
      </c>
      <c r="J84" s="75">
        <f>+'Cons spec tot e finalizzati'!N84-'Cons spec tot e finalizzati'!O84</f>
        <v>0</v>
      </c>
      <c r="K84" s="75">
        <f>+'Cons spec tot e finalizzati'!P84-'Cons spec tot e finalizzati'!Q84</f>
        <v>600</v>
      </c>
      <c r="L84" s="75">
        <f>+'Cons spec tot e finalizzati'!R84-'Cons spec tot e finalizzati'!S84</f>
        <v>832</v>
      </c>
      <c r="M84" s="75">
        <f>+'Cons spec tot e finalizzati'!T84-'Cons spec tot e finalizzati'!U84</f>
        <v>656</v>
      </c>
      <c r="N84" s="75">
        <f>+'Cons spec tot e finalizzati'!V84-'Cons spec tot e finalizzati'!W84</f>
        <v>685</v>
      </c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</row>
    <row r="85" spans="1:35" s="54" customFormat="1" ht="12.75">
      <c r="A85" s="167"/>
      <c r="B85" s="41"/>
      <c r="C85" s="41" t="s">
        <v>94</v>
      </c>
      <c r="D85" s="53"/>
      <c r="F85" s="135">
        <f>+'Cons spec tot e finalizzati'!F85-'Cons spec tot e finalizzati'!G85</f>
        <v>1021</v>
      </c>
      <c r="G85" s="135">
        <f>+'Cons spec tot e finalizzati'!H85-'Cons spec tot e finalizzati'!I85</f>
        <v>999</v>
      </c>
      <c r="H85" s="135">
        <f>+'Cons spec tot e finalizzati'!J85-'Cons spec tot e finalizzati'!K85</f>
        <v>950</v>
      </c>
      <c r="I85" s="141">
        <f>+'Cons spec tot e finalizzati'!L85-'Cons spec tot e finalizzati'!M85</f>
        <v>1126</v>
      </c>
      <c r="J85" s="135">
        <f>+'Cons spec tot e finalizzati'!N85-'Cons spec tot e finalizzati'!O85</f>
        <v>1576</v>
      </c>
      <c r="K85" s="135">
        <f>+'Cons spec tot e finalizzati'!P85-'Cons spec tot e finalizzati'!Q85</f>
        <v>0</v>
      </c>
      <c r="L85" s="135">
        <f>+'Cons spec tot e finalizzati'!R85-'Cons spec tot e finalizzati'!S85</f>
        <v>0</v>
      </c>
      <c r="M85" s="135">
        <f>+'Cons spec tot e finalizzati'!T85-'Cons spec tot e finalizzati'!U85</f>
        <v>0</v>
      </c>
      <c r="N85" s="135">
        <f>+'Cons spec tot e finalizzati'!V85-'Cons spec tot e finalizzati'!W85</f>
        <v>0</v>
      </c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</row>
    <row r="86" spans="1:35" s="2" customFormat="1" ht="12.75">
      <c r="A86" s="46"/>
      <c r="B86" s="40"/>
      <c r="C86" s="39" t="s">
        <v>31</v>
      </c>
      <c r="D86" s="47"/>
      <c r="F86" s="75">
        <f>+'Cons spec tot e finalizzati'!F86-'Cons spec tot e finalizzati'!G86</f>
        <v>1449</v>
      </c>
      <c r="G86" s="75">
        <f>+'Cons spec tot e finalizzati'!H86-'Cons spec tot e finalizzati'!I86</f>
        <v>1683</v>
      </c>
      <c r="H86" s="75">
        <f>+'Cons spec tot e finalizzati'!J86-'Cons spec tot e finalizzati'!K86</f>
        <v>2231</v>
      </c>
      <c r="I86" s="85">
        <f>+'Cons spec tot e finalizzati'!L86-'Cons spec tot e finalizzati'!M86</f>
        <v>2584</v>
      </c>
      <c r="J86" s="75">
        <f>+'Cons spec tot e finalizzati'!N86-'Cons spec tot e finalizzati'!O86</f>
        <v>2394</v>
      </c>
      <c r="K86" s="75">
        <f>+'Cons spec tot e finalizzati'!P86-'Cons spec tot e finalizzati'!Q86</f>
        <v>2604</v>
      </c>
      <c r="L86" s="75">
        <f>+'Cons spec tot e finalizzati'!R86-'Cons spec tot e finalizzati'!S86</f>
        <v>3044</v>
      </c>
      <c r="M86" s="75">
        <f>+'Cons spec tot e finalizzati'!T86-'Cons spec tot e finalizzati'!U86</f>
        <v>3287</v>
      </c>
      <c r="N86" s="75">
        <f>+'Cons spec tot e finalizzati'!V86-'Cons spec tot e finalizzati'!W86</f>
        <v>3732</v>
      </c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</row>
    <row r="87" spans="1:35" s="2" customFormat="1" ht="12.75">
      <c r="A87" s="46"/>
      <c r="B87" s="40"/>
      <c r="C87" s="39" t="s">
        <v>83</v>
      </c>
      <c r="D87" s="47"/>
      <c r="F87" s="75">
        <f>+'Cons spec tot e finalizzati'!F87-'Cons spec tot e finalizzati'!G87</f>
        <v>2582</v>
      </c>
      <c r="G87" s="75">
        <f>+'Cons spec tot e finalizzati'!H87-'Cons spec tot e finalizzati'!I87</f>
        <v>2659</v>
      </c>
      <c r="H87" s="75">
        <f>+'Cons spec tot e finalizzati'!J87-'Cons spec tot e finalizzati'!K87</f>
        <v>3495</v>
      </c>
      <c r="I87" s="85">
        <f>+'Cons spec tot e finalizzati'!L87-'Cons spec tot e finalizzati'!M87</f>
        <v>4036</v>
      </c>
      <c r="J87" s="75">
        <f>+'Cons spec tot e finalizzati'!N87-'Cons spec tot e finalizzati'!O87</f>
        <v>4063</v>
      </c>
      <c r="K87" s="75">
        <f>+'Cons spec tot e finalizzati'!P87-'Cons spec tot e finalizzati'!Q87</f>
        <v>4182</v>
      </c>
      <c r="L87" s="75">
        <f>+'Cons spec tot e finalizzati'!R87-'Cons spec tot e finalizzati'!S87</f>
        <v>4353</v>
      </c>
      <c r="M87" s="75">
        <f>+'Cons spec tot e finalizzati'!T87-'Cons spec tot e finalizzati'!U87</f>
        <v>7233</v>
      </c>
      <c r="N87" s="75">
        <f>+'Cons spec tot e finalizzati'!V87-'Cons spec tot e finalizzati'!W87</f>
        <v>4796</v>
      </c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</row>
    <row r="88" spans="1:35" s="2" customFormat="1" ht="12.75">
      <c r="A88" s="46"/>
      <c r="B88" s="40"/>
      <c r="C88" s="39" t="s">
        <v>100</v>
      </c>
      <c r="D88" s="47"/>
      <c r="F88" s="75">
        <f>+'Cons spec tot e finalizzati'!F88-'Cons spec tot e finalizzati'!G88</f>
        <v>1033</v>
      </c>
      <c r="G88" s="75">
        <f>+'Cons spec tot e finalizzati'!H88-'Cons spec tot e finalizzati'!I88</f>
        <v>1136</v>
      </c>
      <c r="H88" s="75">
        <f>+'Cons spec tot e finalizzati'!J88-'Cons spec tot e finalizzati'!K88</f>
        <v>1162</v>
      </c>
      <c r="I88" s="85">
        <f>+'Cons spec tot e finalizzati'!L88-'Cons spec tot e finalizzati'!M88</f>
        <v>915</v>
      </c>
      <c r="J88" s="75">
        <f>+'Cons spec tot e finalizzati'!N88-'Cons spec tot e finalizzati'!O88</f>
        <v>1697</v>
      </c>
      <c r="K88" s="75">
        <f>+'Cons spec tot e finalizzati'!P88-'Cons spec tot e finalizzati'!Q88</f>
        <v>1978</v>
      </c>
      <c r="L88" s="75">
        <f>+'Cons spec tot e finalizzati'!R88-'Cons spec tot e finalizzati'!S88</f>
        <v>1924</v>
      </c>
      <c r="M88" s="75">
        <f>+'Cons spec tot e finalizzati'!T88-'Cons spec tot e finalizzati'!U88</f>
        <v>2095</v>
      </c>
      <c r="N88" s="75">
        <f>+'Cons spec tot e finalizzati'!V88-'Cons spec tot e finalizzati'!W88</f>
        <v>2520</v>
      </c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</row>
    <row r="89" spans="1:35" s="2" customFormat="1" ht="12.75">
      <c r="A89" s="46"/>
      <c r="B89" s="170" t="s">
        <v>72</v>
      </c>
      <c r="C89" s="170"/>
      <c r="D89" s="171"/>
      <c r="F89" s="108">
        <f>+'Cons spec tot e finalizzati'!F89-'Cons spec tot e finalizzati'!G89</f>
        <v>1046</v>
      </c>
      <c r="G89" s="108">
        <f>+'Cons spec tot e finalizzati'!H89-'Cons spec tot e finalizzati'!I89</f>
        <v>1230</v>
      </c>
      <c r="H89" s="108">
        <f>+'Cons spec tot e finalizzati'!J89-'Cons spec tot e finalizzati'!K89</f>
        <v>1937</v>
      </c>
      <c r="I89" s="108">
        <f>+'Cons spec tot e finalizzati'!L89-'Cons spec tot e finalizzati'!M89</f>
        <v>2164</v>
      </c>
      <c r="J89" s="108">
        <f>+'Cons spec tot e finalizzati'!N89-'Cons spec tot e finalizzati'!O89</f>
        <v>2975</v>
      </c>
      <c r="K89" s="108">
        <f>+'Cons spec tot e finalizzati'!P89-'Cons spec tot e finalizzati'!Q89</f>
        <v>4116</v>
      </c>
      <c r="L89" s="108">
        <f>+'Cons spec tot e finalizzati'!R89-'Cons spec tot e finalizzati'!S89</f>
        <v>4305</v>
      </c>
      <c r="M89" s="108">
        <f>+'Cons spec tot e finalizzati'!T89-'Cons spec tot e finalizzati'!U89</f>
        <v>3354</v>
      </c>
      <c r="N89" s="108">
        <f>+'Cons spec tot e finalizzati'!V89-'Cons spec tot e finalizzati'!W89</f>
        <v>3710</v>
      </c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</row>
    <row r="90" spans="1:35" s="2" customFormat="1" ht="12.75">
      <c r="A90" s="46"/>
      <c r="B90" s="40"/>
      <c r="C90" s="39" t="s">
        <v>28</v>
      </c>
      <c r="D90" s="47"/>
      <c r="F90" s="75">
        <f>+'Cons spec tot e finalizzati'!F90-'Cons spec tot e finalizzati'!G90</f>
        <v>102</v>
      </c>
      <c r="G90" s="82">
        <f>+'Cons spec tot e finalizzati'!H90-'Cons spec tot e finalizzati'!I90</f>
        <v>142</v>
      </c>
      <c r="H90" s="75">
        <f>+'Cons spec tot e finalizzati'!J90-'Cons spec tot e finalizzati'!K90</f>
        <v>183</v>
      </c>
      <c r="I90" s="85">
        <f>+'Cons spec tot e finalizzati'!L90-'Cons spec tot e finalizzati'!M90</f>
        <v>519</v>
      </c>
      <c r="J90" s="82">
        <f>+'Cons spec tot e finalizzati'!N90-'Cons spec tot e finalizzati'!O90</f>
        <v>343</v>
      </c>
      <c r="K90" s="82">
        <f>+'Cons spec tot e finalizzati'!P90-'Cons spec tot e finalizzati'!Q90</f>
        <v>234</v>
      </c>
      <c r="L90" s="82">
        <f>+'Cons spec tot e finalizzati'!R90-'Cons spec tot e finalizzati'!S90</f>
        <v>99</v>
      </c>
      <c r="M90" s="82">
        <f>+'Cons spec tot e finalizzati'!T90-'Cons spec tot e finalizzati'!U90</f>
        <v>110</v>
      </c>
      <c r="N90" s="82">
        <f>+'Cons spec tot e finalizzati'!V90-'Cons spec tot e finalizzati'!W90</f>
        <v>48</v>
      </c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</row>
    <row r="91" spans="1:35" s="2" customFormat="1" ht="12.75">
      <c r="A91" s="46"/>
      <c r="B91" s="40"/>
      <c r="C91" s="40" t="s">
        <v>73</v>
      </c>
      <c r="D91" s="47"/>
      <c r="F91" s="75">
        <f>+'Cons spec tot e finalizzati'!F91-'Cons spec tot e finalizzati'!G91</f>
        <v>380</v>
      </c>
      <c r="G91" s="75">
        <f>+'Cons spec tot e finalizzati'!H91-'Cons spec tot e finalizzati'!I91</f>
        <v>132</v>
      </c>
      <c r="H91" s="75">
        <f>+'Cons spec tot e finalizzati'!J91-'Cons spec tot e finalizzati'!K91</f>
        <v>749</v>
      </c>
      <c r="I91" s="85">
        <f>+'Cons spec tot e finalizzati'!L91-'Cons spec tot e finalizzati'!M91</f>
        <v>693</v>
      </c>
      <c r="J91" s="82">
        <f>+'Cons spec tot e finalizzati'!N91-'Cons spec tot e finalizzati'!O91</f>
        <v>733</v>
      </c>
      <c r="K91" s="82">
        <f>+'Cons spec tot e finalizzati'!P91-'Cons spec tot e finalizzati'!Q91</f>
        <v>1671</v>
      </c>
      <c r="L91" s="82">
        <f>+'Cons spec tot e finalizzati'!R91-'Cons spec tot e finalizzati'!S91</f>
        <v>1664</v>
      </c>
      <c r="M91" s="82">
        <f>+'Cons spec tot e finalizzati'!T91-'Cons spec tot e finalizzati'!U91</f>
        <v>1923</v>
      </c>
      <c r="N91" s="82">
        <f>+'Cons spec tot e finalizzati'!V91-'Cons spec tot e finalizzati'!W91</f>
        <v>2809</v>
      </c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</row>
    <row r="92" spans="1:35" s="2" customFormat="1" ht="12.75">
      <c r="A92" s="46"/>
      <c r="B92" s="40"/>
      <c r="C92" s="39" t="s">
        <v>84</v>
      </c>
      <c r="D92" s="47"/>
      <c r="F92" s="75">
        <f>+'Cons spec tot e finalizzati'!F92-'Cons spec tot e finalizzati'!G92</f>
        <v>70</v>
      </c>
      <c r="G92" s="75">
        <f>+'Cons spec tot e finalizzati'!H92-'Cons spec tot e finalizzati'!I92</f>
        <v>114</v>
      </c>
      <c r="H92" s="75">
        <f>+'Cons spec tot e finalizzati'!J92-'Cons spec tot e finalizzati'!K92</f>
        <v>201</v>
      </c>
      <c r="I92" s="85">
        <f>+'Cons spec tot e finalizzati'!L92-'Cons spec tot e finalizzati'!M92</f>
        <v>178</v>
      </c>
      <c r="J92" s="82">
        <f>+'Cons spec tot e finalizzati'!N92-'Cons spec tot e finalizzati'!O92</f>
        <v>203</v>
      </c>
      <c r="K92" s="82">
        <f>+'Cons spec tot e finalizzati'!P92-'Cons spec tot e finalizzati'!Q92</f>
        <v>116</v>
      </c>
      <c r="L92" s="82">
        <f>+'Cons spec tot e finalizzati'!R92-'Cons spec tot e finalizzati'!S92</f>
        <v>147</v>
      </c>
      <c r="M92" s="82">
        <f>+'Cons spec tot e finalizzati'!T92-'Cons spec tot e finalizzati'!U92</f>
        <v>92</v>
      </c>
      <c r="N92" s="82">
        <f>+'Cons spec tot e finalizzati'!V92-'Cons spec tot e finalizzati'!W92</f>
        <v>86</v>
      </c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</row>
    <row r="93" spans="1:35" s="2" customFormat="1" ht="12.75">
      <c r="A93" s="46"/>
      <c r="B93" s="40"/>
      <c r="C93" s="39" t="s">
        <v>85</v>
      </c>
      <c r="D93" s="47"/>
      <c r="F93" s="75">
        <f>+'Cons spec tot e finalizzati'!F93-'Cons spec tot e finalizzati'!G93</f>
        <v>0</v>
      </c>
      <c r="G93" s="75">
        <f>+'Cons spec tot e finalizzati'!H93-'Cons spec tot e finalizzati'!I93</f>
        <v>339</v>
      </c>
      <c r="H93" s="75">
        <f>+'Cons spec tot e finalizzati'!J93-'Cons spec tot e finalizzati'!K93</f>
        <v>345</v>
      </c>
      <c r="I93" s="85">
        <f>+'Cons spec tot e finalizzati'!L93-'Cons spec tot e finalizzati'!M93</f>
        <v>350</v>
      </c>
      <c r="J93" s="82">
        <f>+'Cons spec tot e finalizzati'!N93-'Cons spec tot e finalizzati'!O93</f>
        <v>1269</v>
      </c>
      <c r="K93" s="82">
        <f>+'Cons spec tot e finalizzati'!P93-'Cons spec tot e finalizzati'!Q93</f>
        <v>1660</v>
      </c>
      <c r="L93" s="82">
        <f>+'Cons spec tot e finalizzati'!R93-'Cons spec tot e finalizzati'!S93</f>
        <v>1941</v>
      </c>
      <c r="M93" s="82">
        <f>+'Cons spec tot e finalizzati'!T93-'Cons spec tot e finalizzati'!U93</f>
        <v>815</v>
      </c>
      <c r="N93" s="82">
        <f>+'Cons spec tot e finalizzati'!V93-'Cons spec tot e finalizzati'!W93</f>
        <v>471</v>
      </c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</row>
    <row r="94" spans="1:35" s="2" customFormat="1" ht="12.75">
      <c r="A94" s="46"/>
      <c r="B94" s="40"/>
      <c r="C94" s="39" t="s">
        <v>91</v>
      </c>
      <c r="D94" s="47"/>
      <c r="F94" s="75">
        <f>+'Cons spec tot e finalizzati'!F94-'Cons spec tot e finalizzati'!G94</f>
        <v>393</v>
      </c>
      <c r="G94" s="75">
        <f>+'Cons spec tot e finalizzati'!H94-'Cons spec tot e finalizzati'!I94</f>
        <v>403</v>
      </c>
      <c r="H94" s="75">
        <f>+'Cons spec tot e finalizzati'!J94-'Cons spec tot e finalizzati'!K94</f>
        <v>402</v>
      </c>
      <c r="I94" s="85">
        <f>+'Cons spec tot e finalizzati'!L94-'Cons spec tot e finalizzati'!M94</f>
        <v>424</v>
      </c>
      <c r="J94" s="82">
        <f>+'Cons spec tot e finalizzati'!N94-'Cons spec tot e finalizzati'!O94</f>
        <v>427</v>
      </c>
      <c r="K94" s="82">
        <f>+'Cons spec tot e finalizzati'!P94-'Cons spec tot e finalizzati'!Q94</f>
        <v>435</v>
      </c>
      <c r="L94" s="82">
        <f>+'Cons spec tot e finalizzati'!R94-'Cons spec tot e finalizzati'!S94</f>
        <v>454</v>
      </c>
      <c r="M94" s="82">
        <f>+'Cons spec tot e finalizzati'!T94-'Cons spec tot e finalizzati'!U94</f>
        <v>414</v>
      </c>
      <c r="N94" s="82">
        <f>+'Cons spec tot e finalizzati'!V94-'Cons spec tot e finalizzati'!W94</f>
        <v>296</v>
      </c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</row>
    <row r="95" spans="1:35" s="2" customFormat="1" ht="12.75">
      <c r="A95" s="57"/>
      <c r="B95" s="58"/>
      <c r="C95" s="87" t="s">
        <v>74</v>
      </c>
      <c r="D95" s="88"/>
      <c r="E95" s="89"/>
      <c r="F95" s="147">
        <f>+'Cons spec tot e finalizzati'!F95-'Cons spec tot e finalizzati'!G95</f>
        <v>101</v>
      </c>
      <c r="G95" s="147">
        <f>+'Cons spec tot e finalizzati'!H95-'Cons spec tot e finalizzati'!I95</f>
        <v>100</v>
      </c>
      <c r="H95" s="147">
        <f>+'Cons spec tot e finalizzati'!J95-'Cons spec tot e finalizzati'!K95</f>
        <v>57</v>
      </c>
      <c r="I95" s="149">
        <f>+'Cons spec tot e finalizzati'!L95-'Cons spec tot e finalizzati'!M95</f>
        <v>0</v>
      </c>
      <c r="J95" s="90">
        <f>+'Cons spec tot e finalizzati'!N95-'Cons spec tot e finalizzati'!O95</f>
        <v>0</v>
      </c>
      <c r="K95" s="90">
        <f>+'Cons spec tot e finalizzati'!P95-'Cons spec tot e finalizzati'!Q95</f>
        <v>0</v>
      </c>
      <c r="L95" s="90">
        <f>+'Cons spec tot e finalizzati'!R95-'Cons spec tot e finalizzati'!S95</f>
        <v>0</v>
      </c>
      <c r="M95" s="90">
        <f>+'Cons spec tot e finalizzati'!T95-'Cons spec tot e finalizzati'!U95</f>
        <v>0</v>
      </c>
      <c r="N95" s="90">
        <f>+'Cons spec tot e finalizzati'!V95-'Cons spec tot e finalizzati'!W95</f>
        <v>0</v>
      </c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231"/>
      <c r="AI95" s="231"/>
    </row>
    <row r="96" spans="1:35" s="2" customFormat="1" ht="12.75">
      <c r="A96" s="188" t="s">
        <v>143</v>
      </c>
      <c r="B96" s="186"/>
      <c r="C96" s="186"/>
      <c r="D96" s="187"/>
      <c r="E96" s="86"/>
      <c r="F96" s="107">
        <f>+'Cons spec tot e finalizzati'!F96-'Cons spec tot e finalizzati'!G96</f>
        <v>12247</v>
      </c>
      <c r="G96" s="107">
        <f>+'Cons spec tot e finalizzati'!H96-'Cons spec tot e finalizzati'!I96</f>
        <v>17524</v>
      </c>
      <c r="H96" s="107">
        <f>+'Cons spec tot e finalizzati'!J96-'Cons spec tot e finalizzati'!K96</f>
        <v>13922</v>
      </c>
      <c r="I96" s="107">
        <f>+'Cons spec tot e finalizzati'!L96-'Cons spec tot e finalizzati'!M96</f>
        <v>16106</v>
      </c>
      <c r="J96" s="107">
        <f>+'Cons spec tot e finalizzati'!N96-'Cons spec tot e finalizzati'!O96</f>
        <v>15307</v>
      </c>
      <c r="K96" s="107">
        <f>+'Cons spec tot e finalizzati'!P96-'Cons spec tot e finalizzati'!Q96</f>
        <v>16297</v>
      </c>
      <c r="L96" s="107">
        <f>+'Cons spec tot e finalizzati'!R96-'Cons spec tot e finalizzati'!S96</f>
        <v>18562</v>
      </c>
      <c r="M96" s="107">
        <f>+'Cons spec tot e finalizzati'!T96-'Cons spec tot e finalizzati'!U96</f>
        <v>18410</v>
      </c>
      <c r="N96" s="107">
        <f>+'Cons spec tot e finalizzati'!V96-'Cons spec tot e finalizzati'!W96</f>
        <v>17205</v>
      </c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</row>
    <row r="97" spans="1:35" s="2" customFormat="1" ht="12.75">
      <c r="A97" s="46"/>
      <c r="B97" s="40"/>
      <c r="C97" s="40" t="s">
        <v>144</v>
      </c>
      <c r="D97" s="47"/>
      <c r="F97" s="82">
        <f>+'Cons spec tot e finalizzati'!F97-'Cons spec tot e finalizzati'!G97</f>
        <v>0</v>
      </c>
      <c r="G97" s="82">
        <f>+'Cons spec tot e finalizzati'!H97-'Cons spec tot e finalizzati'!I97</f>
        <v>0</v>
      </c>
      <c r="H97" s="76">
        <f>+'Cons spec tot e finalizzati'!J97-'Cons spec tot e finalizzati'!K97</f>
        <v>0</v>
      </c>
      <c r="I97" s="83">
        <f>+'Cons spec tot e finalizzati'!L97-'Cons spec tot e finalizzati'!M97</f>
        <v>0</v>
      </c>
      <c r="J97" s="76">
        <f>+'Cons spec tot e finalizzati'!N97-'Cons spec tot e finalizzati'!O97</f>
        <v>0</v>
      </c>
      <c r="K97" s="75">
        <f>+'Cons spec tot e finalizzati'!P97-'Cons spec tot e finalizzati'!Q97</f>
        <v>0</v>
      </c>
      <c r="L97" s="76">
        <f>+'Cons spec tot e finalizzati'!R97-'Cons spec tot e finalizzati'!S97</f>
        <v>0</v>
      </c>
      <c r="M97" s="76">
        <f>+'Cons spec tot e finalizzati'!T97-'Cons spec tot e finalizzati'!U97</f>
        <v>0</v>
      </c>
      <c r="N97" s="76">
        <f>+'Cons spec tot e finalizzati'!V97-'Cons spec tot e finalizzati'!W97</f>
        <v>0</v>
      </c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</row>
    <row r="98" spans="1:35" s="2" customFormat="1" ht="12.75">
      <c r="A98" s="46"/>
      <c r="B98" s="170" t="s">
        <v>156</v>
      </c>
      <c r="C98" s="177"/>
      <c r="D98" s="178"/>
      <c r="F98" s="111">
        <f>+'Cons spec tot e finalizzati'!F98-'Cons spec tot e finalizzati'!G98</f>
        <v>0</v>
      </c>
      <c r="G98" s="111">
        <f>+'Cons spec tot e finalizzati'!H98-'Cons spec tot e finalizzati'!I98</f>
        <v>0</v>
      </c>
      <c r="H98" s="111">
        <f>+'Cons spec tot e finalizzati'!J98-'Cons spec tot e finalizzati'!K98</f>
        <v>0</v>
      </c>
      <c r="I98" s="152">
        <f>+'Cons spec tot e finalizzati'!L98-'Cons spec tot e finalizzati'!M98</f>
        <v>21</v>
      </c>
      <c r="J98" s="111">
        <f>+'Cons spec tot e finalizzati'!N98-'Cons spec tot e finalizzati'!O98</f>
        <v>231</v>
      </c>
      <c r="K98" s="111">
        <f>+'Cons spec tot e finalizzati'!P98-'Cons spec tot e finalizzati'!Q98</f>
        <v>71</v>
      </c>
      <c r="L98" s="111">
        <f>+'Cons spec tot e finalizzati'!R98-'Cons spec tot e finalizzati'!S98</f>
        <v>269</v>
      </c>
      <c r="M98" s="111">
        <f>+'Cons spec tot e finalizzati'!T98-'Cons spec tot e finalizzati'!U98</f>
        <v>225</v>
      </c>
      <c r="N98" s="111">
        <f>+'Cons spec tot e finalizzati'!V98-'Cons spec tot e finalizzati'!W98</f>
        <v>160</v>
      </c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</row>
    <row r="99" spans="1:35" s="2" customFormat="1" ht="12.75">
      <c r="A99" s="46"/>
      <c r="B99" s="194" t="s">
        <v>157</v>
      </c>
      <c r="C99" s="177"/>
      <c r="D99" s="178"/>
      <c r="F99" s="111">
        <f>+'Cons spec tot e finalizzati'!F99-'Cons spec tot e finalizzati'!G99</f>
        <v>7589</v>
      </c>
      <c r="G99" s="111">
        <f>+'Cons spec tot e finalizzati'!H99-'Cons spec tot e finalizzati'!I99</f>
        <v>12740</v>
      </c>
      <c r="H99" s="111">
        <f>+'Cons spec tot e finalizzati'!J99-'Cons spec tot e finalizzati'!K99</f>
        <v>8824</v>
      </c>
      <c r="I99" s="111">
        <f>+'Cons spec tot e finalizzati'!L99-'Cons spec tot e finalizzati'!M99</f>
        <v>10763</v>
      </c>
      <c r="J99" s="111">
        <f>+'Cons spec tot e finalizzati'!N99-'Cons spec tot e finalizzati'!O99</f>
        <v>9711</v>
      </c>
      <c r="K99" s="111">
        <f>+'Cons spec tot e finalizzati'!P99-'Cons spec tot e finalizzati'!Q99</f>
        <v>10301</v>
      </c>
      <c r="L99" s="111">
        <f>+'Cons spec tot e finalizzati'!R99-'Cons spec tot e finalizzati'!S99</f>
        <v>12466</v>
      </c>
      <c r="M99" s="111">
        <f>+'Cons spec tot e finalizzati'!T99-'Cons spec tot e finalizzati'!U99</f>
        <v>12435</v>
      </c>
      <c r="N99" s="111">
        <f>+'Cons spec tot e finalizzati'!V99-'Cons spec tot e finalizzati'!W99</f>
        <v>11521</v>
      </c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</row>
    <row r="100" spans="1:35" s="2" customFormat="1" ht="12.75">
      <c r="A100" s="46"/>
      <c r="B100" s="52"/>
      <c r="C100" s="40" t="s">
        <v>9</v>
      </c>
      <c r="D100" s="19"/>
      <c r="F100" s="75">
        <f>+'Cons spec tot e finalizzati'!F100-'Cons spec tot e finalizzati'!G100</f>
        <v>166</v>
      </c>
      <c r="G100" s="82">
        <f>+'Cons spec tot e finalizzati'!H100-'Cons spec tot e finalizzati'!I100</f>
        <v>190</v>
      </c>
      <c r="H100" s="75">
        <f>+'Cons spec tot e finalizzati'!J100-'Cons spec tot e finalizzati'!K100</f>
        <v>169</v>
      </c>
      <c r="I100" s="85">
        <f>+'Cons spec tot e finalizzati'!L100-'Cons spec tot e finalizzati'!M100</f>
        <v>265</v>
      </c>
      <c r="J100" s="75">
        <f>+'Cons spec tot e finalizzati'!N100-'Cons spec tot e finalizzati'!O100</f>
        <v>289</v>
      </c>
      <c r="K100" s="75">
        <f>+'Cons spec tot e finalizzati'!P100-'Cons spec tot e finalizzati'!Q100</f>
        <v>113</v>
      </c>
      <c r="L100" s="75">
        <f>+'Cons spec tot e finalizzati'!R100-'Cons spec tot e finalizzati'!S100</f>
        <v>191</v>
      </c>
      <c r="M100" s="75">
        <f>+'Cons spec tot e finalizzati'!T100-'Cons spec tot e finalizzati'!U100</f>
        <v>126</v>
      </c>
      <c r="N100" s="75">
        <f>+'Cons spec tot e finalizzati'!V100-'Cons spec tot e finalizzati'!W100</f>
        <v>122</v>
      </c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</row>
    <row r="101" spans="1:35" s="2" customFormat="1" ht="12.75">
      <c r="A101" s="46"/>
      <c r="B101" s="52"/>
      <c r="C101" s="40" t="s">
        <v>101</v>
      </c>
      <c r="D101" s="19"/>
      <c r="F101" s="75">
        <f>+'Cons spec tot e finalizzati'!F101-'Cons spec tot e finalizzati'!G101</f>
        <v>1042</v>
      </c>
      <c r="G101" s="82">
        <f>+'Cons spec tot e finalizzati'!H101-'Cons spec tot e finalizzati'!I101</f>
        <v>4509</v>
      </c>
      <c r="H101" s="75">
        <f>+'Cons spec tot e finalizzati'!J101-'Cons spec tot e finalizzati'!K101</f>
        <v>805</v>
      </c>
      <c r="I101" s="85">
        <f>+'Cons spec tot e finalizzati'!L101-'Cons spec tot e finalizzati'!M101</f>
        <v>348</v>
      </c>
      <c r="J101" s="75">
        <f>+'Cons spec tot e finalizzati'!N101-'Cons spec tot e finalizzati'!O101</f>
        <v>1310</v>
      </c>
      <c r="K101" s="75">
        <f>+'Cons spec tot e finalizzati'!P101-'Cons spec tot e finalizzati'!Q101</f>
        <v>1856</v>
      </c>
      <c r="L101" s="75">
        <f>+'Cons spec tot e finalizzati'!R101-'Cons spec tot e finalizzati'!S101</f>
        <v>2776</v>
      </c>
      <c r="M101" s="75">
        <f>+'Cons spec tot e finalizzati'!T101-'Cons spec tot e finalizzati'!U101</f>
        <v>2574</v>
      </c>
      <c r="N101" s="75">
        <f>+'Cons spec tot e finalizzati'!V101-'Cons spec tot e finalizzati'!W101</f>
        <v>1536</v>
      </c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</row>
    <row r="102" spans="1:35" s="2" customFormat="1" ht="12.75">
      <c r="A102" s="46"/>
      <c r="B102" s="52"/>
      <c r="C102" s="40" t="s">
        <v>86</v>
      </c>
      <c r="D102" s="19"/>
      <c r="F102" s="75">
        <f>+'Cons spec tot e finalizzati'!F102-'Cons spec tot e finalizzati'!G102</f>
        <v>0</v>
      </c>
      <c r="G102" s="82">
        <f>+'Cons spec tot e finalizzati'!H102-'Cons spec tot e finalizzati'!I102</f>
        <v>1019</v>
      </c>
      <c r="H102" s="75">
        <f>+'Cons spec tot e finalizzati'!J102-'Cons spec tot e finalizzati'!K102</f>
        <v>451</v>
      </c>
      <c r="I102" s="85">
        <f>+'Cons spec tot e finalizzati'!L102-'Cons spec tot e finalizzati'!M102</f>
        <v>2143</v>
      </c>
      <c r="J102" s="75">
        <f>+'Cons spec tot e finalizzati'!N102-'Cons spec tot e finalizzati'!O102</f>
        <v>0</v>
      </c>
      <c r="K102" s="75">
        <f>+'Cons spec tot e finalizzati'!P102-'Cons spec tot e finalizzati'!Q102</f>
        <v>0</v>
      </c>
      <c r="L102" s="75">
        <f>+'Cons spec tot e finalizzati'!R102-'Cons spec tot e finalizzati'!S102</f>
        <v>0</v>
      </c>
      <c r="M102" s="75">
        <f>+'Cons spec tot e finalizzati'!T102-'Cons spec tot e finalizzati'!U102</f>
        <v>0</v>
      </c>
      <c r="N102" s="75">
        <f>+'Cons spec tot e finalizzati'!V102-'Cons spec tot e finalizzati'!W102</f>
        <v>0</v>
      </c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</row>
    <row r="103" spans="1:35" s="2" customFormat="1" ht="12.75">
      <c r="A103" s="46"/>
      <c r="B103" s="52"/>
      <c r="C103" s="40" t="s">
        <v>53</v>
      </c>
      <c r="D103" s="19"/>
      <c r="F103" s="75">
        <f>+'Cons spec tot e finalizzati'!F103-'Cons spec tot e finalizzati'!G103</f>
        <v>2549</v>
      </c>
      <c r="G103" s="82">
        <f>+'Cons spec tot e finalizzati'!H103-'Cons spec tot e finalizzati'!I103</f>
        <v>2861</v>
      </c>
      <c r="H103" s="75">
        <f>+'Cons spec tot e finalizzati'!J103-'Cons spec tot e finalizzati'!K103</f>
        <v>3001</v>
      </c>
      <c r="I103" s="85">
        <f>+'Cons spec tot e finalizzati'!L103-'Cons spec tot e finalizzati'!M103</f>
        <v>3321</v>
      </c>
      <c r="J103" s="75">
        <f>+'Cons spec tot e finalizzati'!N103-'Cons spec tot e finalizzati'!O103</f>
        <v>2893</v>
      </c>
      <c r="K103" s="75">
        <f>+'Cons spec tot e finalizzati'!P103-'Cons spec tot e finalizzati'!Q103</f>
        <v>2680</v>
      </c>
      <c r="L103" s="75">
        <f>+'Cons spec tot e finalizzati'!R103-'Cons spec tot e finalizzati'!S103</f>
        <v>2871</v>
      </c>
      <c r="M103" s="75">
        <f>+'Cons spec tot e finalizzati'!T103-'Cons spec tot e finalizzati'!U103</f>
        <v>2871</v>
      </c>
      <c r="N103" s="75">
        <f>+'Cons spec tot e finalizzati'!V103-'Cons spec tot e finalizzati'!W103</f>
        <v>3098</v>
      </c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</row>
    <row r="104" spans="1:35" s="2" customFormat="1" ht="12.75">
      <c r="A104" s="46"/>
      <c r="B104" s="52"/>
      <c r="C104" s="40" t="s">
        <v>19</v>
      </c>
      <c r="D104" s="19"/>
      <c r="F104" s="75">
        <f>+'Cons spec tot e finalizzati'!F104-'Cons spec tot e finalizzati'!G104</f>
        <v>476</v>
      </c>
      <c r="G104" s="82">
        <f>+'Cons spec tot e finalizzati'!H104-'Cons spec tot e finalizzati'!I104</f>
        <v>648</v>
      </c>
      <c r="H104" s="75">
        <f>+'Cons spec tot e finalizzati'!J104-'Cons spec tot e finalizzati'!K104</f>
        <v>725</v>
      </c>
      <c r="I104" s="85">
        <f>+'Cons spec tot e finalizzati'!L104-'Cons spec tot e finalizzati'!M104</f>
        <v>860</v>
      </c>
      <c r="J104" s="75">
        <f>+'Cons spec tot e finalizzati'!N104-'Cons spec tot e finalizzati'!O104</f>
        <v>755</v>
      </c>
      <c r="K104" s="75">
        <f>+'Cons spec tot e finalizzati'!P104-'Cons spec tot e finalizzati'!Q104</f>
        <v>766</v>
      </c>
      <c r="L104" s="75">
        <f>+'Cons spec tot e finalizzati'!R104-'Cons spec tot e finalizzati'!S104</f>
        <v>606</v>
      </c>
      <c r="M104" s="75">
        <f>+'Cons spec tot e finalizzati'!T104-'Cons spec tot e finalizzati'!U104</f>
        <v>642</v>
      </c>
      <c r="N104" s="75">
        <f>+'Cons spec tot e finalizzati'!V104-'Cons spec tot e finalizzati'!W104</f>
        <v>576</v>
      </c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</row>
    <row r="105" spans="1:35" s="2" customFormat="1" ht="12.75">
      <c r="A105" s="46"/>
      <c r="B105" s="52"/>
      <c r="C105" s="40" t="s">
        <v>145</v>
      </c>
      <c r="D105" s="19"/>
      <c r="F105" s="75">
        <f>+'Cons spec tot e finalizzati'!F105-'Cons spec tot e finalizzati'!G105</f>
        <v>0</v>
      </c>
      <c r="G105" s="82">
        <f>+'Cons spec tot e finalizzati'!H105-'Cons spec tot e finalizzati'!I105</f>
        <v>0</v>
      </c>
      <c r="H105" s="75">
        <f>+'Cons spec tot e finalizzati'!J105-'Cons spec tot e finalizzati'!K105</f>
        <v>0</v>
      </c>
      <c r="I105" s="85">
        <f>+'Cons spec tot e finalizzati'!L105-'Cons spec tot e finalizzati'!M105</f>
        <v>0</v>
      </c>
      <c r="J105" s="75">
        <f>+'Cons spec tot e finalizzati'!N105-'Cons spec tot e finalizzati'!O105</f>
        <v>0</v>
      </c>
      <c r="K105" s="75">
        <f>+'Cons spec tot e finalizzati'!P105-'Cons spec tot e finalizzati'!Q105</f>
        <v>76</v>
      </c>
      <c r="L105" s="75">
        <f>+'Cons spec tot e finalizzati'!R105-'Cons spec tot e finalizzati'!S105</f>
        <v>129</v>
      </c>
      <c r="M105" s="75">
        <f>+'Cons spec tot e finalizzati'!T105-'Cons spec tot e finalizzati'!U105</f>
        <v>420</v>
      </c>
      <c r="N105" s="75">
        <f>+'Cons spec tot e finalizzati'!V105-'Cons spec tot e finalizzati'!W105</f>
        <v>234</v>
      </c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</row>
    <row r="106" spans="1:35" s="2" customFormat="1" ht="12.75">
      <c r="A106" s="46"/>
      <c r="B106" s="52"/>
      <c r="C106" s="40" t="s">
        <v>87</v>
      </c>
      <c r="D106" s="19"/>
      <c r="F106" s="75">
        <f>+'Cons spec tot e finalizzati'!F106-'Cons spec tot e finalizzati'!G106</f>
        <v>363</v>
      </c>
      <c r="G106" s="82">
        <f>+'Cons spec tot e finalizzati'!H106-'Cons spec tot e finalizzati'!I106</f>
        <v>349</v>
      </c>
      <c r="H106" s="75">
        <f>+'Cons spec tot e finalizzati'!J106-'Cons spec tot e finalizzati'!K106</f>
        <v>588</v>
      </c>
      <c r="I106" s="85">
        <f>+'Cons spec tot e finalizzati'!L106-'Cons spec tot e finalizzati'!M106</f>
        <v>660</v>
      </c>
      <c r="J106" s="75">
        <f>+'Cons spec tot e finalizzati'!N106-'Cons spec tot e finalizzati'!O106</f>
        <v>1082</v>
      </c>
      <c r="K106" s="75">
        <f>+'Cons spec tot e finalizzati'!P106-'Cons spec tot e finalizzati'!Q106</f>
        <v>1509</v>
      </c>
      <c r="L106" s="75">
        <f>+'Cons spec tot e finalizzati'!R106-'Cons spec tot e finalizzati'!S106</f>
        <v>2431</v>
      </c>
      <c r="M106" s="75">
        <f>+'Cons spec tot e finalizzati'!T106-'Cons spec tot e finalizzati'!U106</f>
        <v>2063</v>
      </c>
      <c r="N106" s="75">
        <f>+'Cons spec tot e finalizzati'!V106-'Cons spec tot e finalizzati'!W106</f>
        <v>2324</v>
      </c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</row>
    <row r="107" spans="1:35" s="2" customFormat="1" ht="12.75">
      <c r="A107" s="46"/>
      <c r="B107" s="52"/>
      <c r="C107" s="40" t="s">
        <v>20</v>
      </c>
      <c r="D107" s="19"/>
      <c r="F107" s="75">
        <f>+'Cons spec tot e finalizzati'!F107-'Cons spec tot e finalizzati'!G107</f>
        <v>434</v>
      </c>
      <c r="G107" s="82">
        <f>+'Cons spec tot e finalizzati'!H107-'Cons spec tot e finalizzati'!I107</f>
        <v>500</v>
      </c>
      <c r="H107" s="75">
        <f>+'Cons spec tot e finalizzati'!J107-'Cons spec tot e finalizzati'!K107</f>
        <v>410</v>
      </c>
      <c r="I107" s="85">
        <f>+'Cons spec tot e finalizzati'!L107-'Cons spec tot e finalizzati'!M107</f>
        <v>386</v>
      </c>
      <c r="J107" s="75">
        <f>+'Cons spec tot e finalizzati'!N107-'Cons spec tot e finalizzati'!O107</f>
        <v>457</v>
      </c>
      <c r="K107" s="75">
        <f>+'Cons spec tot e finalizzati'!P107-'Cons spec tot e finalizzati'!Q107</f>
        <v>435</v>
      </c>
      <c r="L107" s="75">
        <f>+'Cons spec tot e finalizzati'!R107-'Cons spec tot e finalizzati'!S107</f>
        <v>432</v>
      </c>
      <c r="M107" s="75">
        <f>+'Cons spec tot e finalizzati'!T107-'Cons spec tot e finalizzati'!U107</f>
        <v>298</v>
      </c>
      <c r="N107" s="75">
        <f>+'Cons spec tot e finalizzati'!V107-'Cons spec tot e finalizzati'!W107</f>
        <v>305</v>
      </c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</row>
    <row r="108" spans="1:35" s="2" customFormat="1" ht="12.75">
      <c r="A108" s="46"/>
      <c r="B108" s="52"/>
      <c r="C108" s="40" t="s">
        <v>21</v>
      </c>
      <c r="D108" s="19"/>
      <c r="F108" s="75">
        <f>+'Cons spec tot e finalizzati'!F108-'Cons spec tot e finalizzati'!G108</f>
        <v>456</v>
      </c>
      <c r="G108" s="82">
        <f>+'Cons spec tot e finalizzati'!H108-'Cons spec tot e finalizzati'!I108</f>
        <v>605</v>
      </c>
      <c r="H108" s="75">
        <f>+'Cons spec tot e finalizzati'!J108-'Cons spec tot e finalizzati'!K108</f>
        <v>617</v>
      </c>
      <c r="I108" s="85">
        <f>+'Cons spec tot e finalizzati'!L108-'Cons spec tot e finalizzati'!M108</f>
        <v>617</v>
      </c>
      <c r="J108" s="75">
        <f>+'Cons spec tot e finalizzati'!N108-'Cons spec tot e finalizzati'!O108</f>
        <v>746</v>
      </c>
      <c r="K108" s="75">
        <f>+'Cons spec tot e finalizzati'!P108-'Cons spec tot e finalizzati'!Q108</f>
        <v>650</v>
      </c>
      <c r="L108" s="75">
        <f>+'Cons spec tot e finalizzati'!R108-'Cons spec tot e finalizzati'!S108</f>
        <v>620</v>
      </c>
      <c r="M108" s="75">
        <f>+'Cons spec tot e finalizzati'!T108-'Cons spec tot e finalizzati'!U108</f>
        <v>508</v>
      </c>
      <c r="N108" s="75">
        <f>+'Cons spec tot e finalizzati'!V108-'Cons spec tot e finalizzati'!W108</f>
        <v>570</v>
      </c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</row>
    <row r="109" spans="1:35" s="2" customFormat="1" ht="12.75">
      <c r="A109" s="46"/>
      <c r="B109" s="52"/>
      <c r="C109" s="40" t="s">
        <v>22</v>
      </c>
      <c r="D109" s="19"/>
      <c r="F109" s="75">
        <f>+'Cons spec tot e finalizzati'!F109-'Cons spec tot e finalizzati'!G109</f>
        <v>465</v>
      </c>
      <c r="G109" s="82">
        <f>+'Cons spec tot e finalizzati'!H109-'Cons spec tot e finalizzati'!I109</f>
        <v>491</v>
      </c>
      <c r="H109" s="75">
        <f>+'Cons spec tot e finalizzati'!J109-'Cons spec tot e finalizzati'!K109</f>
        <v>491</v>
      </c>
      <c r="I109" s="85">
        <f>+'Cons spec tot e finalizzati'!L109-'Cons spec tot e finalizzati'!M109</f>
        <v>496</v>
      </c>
      <c r="J109" s="75">
        <f>+'Cons spec tot e finalizzati'!N109-'Cons spec tot e finalizzati'!O109</f>
        <v>491</v>
      </c>
      <c r="K109" s="75">
        <f>+'Cons spec tot e finalizzati'!P109-'Cons spec tot e finalizzati'!Q109</f>
        <v>550</v>
      </c>
      <c r="L109" s="75">
        <f>+'Cons spec tot e finalizzati'!R109-'Cons spec tot e finalizzati'!S109</f>
        <v>641</v>
      </c>
      <c r="M109" s="75">
        <f>+'Cons spec tot e finalizzati'!T109-'Cons spec tot e finalizzati'!U109</f>
        <v>842</v>
      </c>
      <c r="N109" s="75">
        <f>+'Cons spec tot e finalizzati'!V109-'Cons spec tot e finalizzati'!W109</f>
        <v>670</v>
      </c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</row>
    <row r="110" spans="1:35" s="2" customFormat="1" ht="12.75">
      <c r="A110" s="46"/>
      <c r="B110" s="52"/>
      <c r="C110" s="40" t="s">
        <v>23</v>
      </c>
      <c r="D110" s="19"/>
      <c r="F110" s="75">
        <f>+'Cons spec tot e finalizzati'!F110-'Cons spec tot e finalizzati'!G110</f>
        <v>1211</v>
      </c>
      <c r="G110" s="82">
        <f>+'Cons spec tot e finalizzati'!H110-'Cons spec tot e finalizzati'!I110</f>
        <v>1149</v>
      </c>
      <c r="H110" s="75">
        <f>+'Cons spec tot e finalizzati'!J110-'Cons spec tot e finalizzati'!K110</f>
        <v>1136</v>
      </c>
      <c r="I110" s="85">
        <f>+'Cons spec tot e finalizzati'!L110-'Cons spec tot e finalizzati'!M110</f>
        <v>1134</v>
      </c>
      <c r="J110" s="75">
        <f>+'Cons spec tot e finalizzati'!N110-'Cons spec tot e finalizzati'!O110</f>
        <v>1134</v>
      </c>
      <c r="K110" s="75">
        <f>+'Cons spec tot e finalizzati'!P110-'Cons spec tot e finalizzati'!Q110</f>
        <v>1053</v>
      </c>
      <c r="L110" s="75">
        <f>+'Cons spec tot e finalizzati'!R110-'Cons spec tot e finalizzati'!S110</f>
        <v>1144</v>
      </c>
      <c r="M110" s="75">
        <f>+'Cons spec tot e finalizzati'!T110-'Cons spec tot e finalizzati'!U110</f>
        <v>1341</v>
      </c>
      <c r="N110" s="75">
        <f>+'Cons spec tot e finalizzati'!V110-'Cons spec tot e finalizzati'!W110</f>
        <v>1150</v>
      </c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</row>
    <row r="111" spans="1:35" s="2" customFormat="1" ht="12.75">
      <c r="A111" s="46"/>
      <c r="B111" s="52"/>
      <c r="C111" s="40" t="s">
        <v>24</v>
      </c>
      <c r="D111" s="19"/>
      <c r="F111" s="75">
        <f>+'Cons spec tot e finalizzati'!F111-'Cons spec tot e finalizzati'!G111</f>
        <v>76</v>
      </c>
      <c r="G111" s="82">
        <f>+'Cons spec tot e finalizzati'!H111-'Cons spec tot e finalizzati'!I111</f>
        <v>84</v>
      </c>
      <c r="H111" s="75">
        <f>+'Cons spec tot e finalizzati'!J111-'Cons spec tot e finalizzati'!K111</f>
        <v>97</v>
      </c>
      <c r="I111" s="85">
        <f>+'Cons spec tot e finalizzati'!L111-'Cons spec tot e finalizzati'!M111</f>
        <v>112</v>
      </c>
      <c r="J111" s="75">
        <f>+'Cons spec tot e finalizzati'!N111-'Cons spec tot e finalizzati'!O111</f>
        <v>134</v>
      </c>
      <c r="K111" s="75">
        <f>+'Cons spec tot e finalizzati'!P111-'Cons spec tot e finalizzati'!Q111</f>
        <v>150</v>
      </c>
      <c r="L111" s="75">
        <f>+'Cons spec tot e finalizzati'!R111-'Cons spec tot e finalizzati'!S111</f>
        <v>151</v>
      </c>
      <c r="M111" s="75">
        <f>+'Cons spec tot e finalizzati'!T111-'Cons spec tot e finalizzati'!U111</f>
        <v>141</v>
      </c>
      <c r="N111" s="75">
        <f>+'Cons spec tot e finalizzati'!V111-'Cons spec tot e finalizzati'!W111</f>
        <v>160</v>
      </c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</row>
    <row r="112" spans="1:35" s="2" customFormat="1" ht="12.75">
      <c r="A112" s="46"/>
      <c r="B112" s="52"/>
      <c r="C112" s="40" t="s">
        <v>25</v>
      </c>
      <c r="D112" s="19"/>
      <c r="F112" s="75">
        <f>+'Cons spec tot e finalizzati'!F112-'Cons spec tot e finalizzati'!G112</f>
        <v>134</v>
      </c>
      <c r="G112" s="82">
        <f>+'Cons spec tot e finalizzati'!H112-'Cons spec tot e finalizzati'!I112</f>
        <v>160</v>
      </c>
      <c r="H112" s="75">
        <f>+'Cons spec tot e finalizzati'!J112-'Cons spec tot e finalizzati'!K112</f>
        <v>142</v>
      </c>
      <c r="I112" s="85">
        <f>+'Cons spec tot e finalizzati'!L112-'Cons spec tot e finalizzati'!M112</f>
        <v>212</v>
      </c>
      <c r="J112" s="75">
        <f>+'Cons spec tot e finalizzati'!N112-'Cons spec tot e finalizzati'!O112</f>
        <v>167</v>
      </c>
      <c r="K112" s="75">
        <f>+'Cons spec tot e finalizzati'!P112-'Cons spec tot e finalizzati'!Q112</f>
        <v>177</v>
      </c>
      <c r="L112" s="75">
        <f>+'Cons spec tot e finalizzati'!R112-'Cons spec tot e finalizzati'!S112</f>
        <v>191</v>
      </c>
      <c r="M112" s="75">
        <f>+'Cons spec tot e finalizzati'!T112-'Cons spec tot e finalizzati'!U112</f>
        <v>303</v>
      </c>
      <c r="N112" s="75">
        <f>+'Cons spec tot e finalizzati'!V112-'Cons spec tot e finalizzati'!W112</f>
        <v>321</v>
      </c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</row>
    <row r="113" spans="1:35" s="2" customFormat="1" ht="12.75">
      <c r="A113" s="46"/>
      <c r="B113" s="52"/>
      <c r="C113" s="40" t="s">
        <v>88</v>
      </c>
      <c r="D113" s="19"/>
      <c r="F113" s="75">
        <f>+'Cons spec tot e finalizzati'!F113-'Cons spec tot e finalizzati'!G113</f>
        <v>0</v>
      </c>
      <c r="G113" s="82">
        <f>+'Cons spec tot e finalizzati'!H113-'Cons spec tot e finalizzati'!I113</f>
        <v>0</v>
      </c>
      <c r="H113" s="75">
        <f>+'Cons spec tot e finalizzati'!J113-'Cons spec tot e finalizzati'!K113</f>
        <v>0</v>
      </c>
      <c r="I113" s="85">
        <f>+'Cons spec tot e finalizzati'!L113-'Cons spec tot e finalizzati'!M113</f>
        <v>0</v>
      </c>
      <c r="J113" s="75">
        <f>+'Cons spec tot e finalizzati'!N113-'Cons spec tot e finalizzati'!O113</f>
        <v>79</v>
      </c>
      <c r="K113" s="75">
        <f>+'Cons spec tot e finalizzati'!P113-'Cons spec tot e finalizzati'!Q113</f>
        <v>164</v>
      </c>
      <c r="L113" s="75">
        <f>+'Cons spec tot e finalizzati'!R113-'Cons spec tot e finalizzati'!S113</f>
        <v>184</v>
      </c>
      <c r="M113" s="75">
        <f>+'Cons spec tot e finalizzati'!T113-'Cons spec tot e finalizzati'!U113</f>
        <v>252</v>
      </c>
      <c r="N113" s="75">
        <f>+'Cons spec tot e finalizzati'!V113-'Cons spec tot e finalizzati'!W113</f>
        <v>353</v>
      </c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</row>
    <row r="114" spans="1:35" s="2" customFormat="1" ht="12.75">
      <c r="A114" s="46"/>
      <c r="B114" s="52"/>
      <c r="C114" s="40" t="s">
        <v>89</v>
      </c>
      <c r="D114" s="19"/>
      <c r="F114" s="75">
        <f>+'Cons spec tot e finalizzati'!F114-'Cons spec tot e finalizzati'!G114</f>
        <v>217</v>
      </c>
      <c r="G114" s="82">
        <f>+'Cons spec tot e finalizzati'!H114-'Cons spec tot e finalizzati'!I114</f>
        <v>175</v>
      </c>
      <c r="H114" s="75">
        <f>+'Cons spec tot e finalizzati'!J114-'Cons spec tot e finalizzati'!K114</f>
        <v>192</v>
      </c>
      <c r="I114" s="85">
        <f>+'Cons spec tot e finalizzati'!L114-'Cons spec tot e finalizzati'!M114</f>
        <v>209</v>
      </c>
      <c r="J114" s="77">
        <f>+'Cons spec tot e finalizzati'!N114-'Cons spec tot e finalizzati'!O114</f>
        <v>174</v>
      </c>
      <c r="K114" s="82">
        <f>+'Cons spec tot e finalizzati'!P114-'Cons spec tot e finalizzati'!Q114</f>
        <v>122</v>
      </c>
      <c r="L114" s="77">
        <f>+'Cons spec tot e finalizzati'!R114-'Cons spec tot e finalizzati'!S114</f>
        <v>99</v>
      </c>
      <c r="M114" s="77">
        <f>+'Cons spec tot e finalizzati'!T114-'Cons spec tot e finalizzati'!U114</f>
        <v>54</v>
      </c>
      <c r="N114" s="77">
        <f>+'Cons spec tot e finalizzati'!V114-'Cons spec tot e finalizzati'!W114</f>
        <v>102</v>
      </c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</row>
    <row r="115" spans="1:35" s="2" customFormat="1" ht="12.75">
      <c r="A115" s="46"/>
      <c r="B115" s="195" t="s">
        <v>146</v>
      </c>
      <c r="C115" s="177"/>
      <c r="D115" s="178"/>
      <c r="F115" s="111">
        <f>+'Cons spec tot e finalizzati'!F115-'Cons spec tot e finalizzati'!G115</f>
        <v>543</v>
      </c>
      <c r="G115" s="111">
        <f>+'Cons spec tot e finalizzati'!H115-'Cons spec tot e finalizzati'!I115</f>
        <v>638</v>
      </c>
      <c r="H115" s="111">
        <f>+'Cons spec tot e finalizzati'!J115-'Cons spec tot e finalizzati'!K115</f>
        <v>774</v>
      </c>
      <c r="I115" s="111">
        <f>+'Cons spec tot e finalizzati'!L115-'Cons spec tot e finalizzati'!M115</f>
        <v>1239</v>
      </c>
      <c r="J115" s="111">
        <f>+'Cons spec tot e finalizzati'!N115-'Cons spec tot e finalizzati'!O115</f>
        <v>1251</v>
      </c>
      <c r="K115" s="111">
        <f>+'Cons spec tot e finalizzati'!P115-'Cons spec tot e finalizzati'!Q115</f>
        <v>1632</v>
      </c>
      <c r="L115" s="111">
        <f>+'Cons spec tot e finalizzati'!R115-'Cons spec tot e finalizzati'!S115</f>
        <v>1973</v>
      </c>
      <c r="M115" s="111">
        <f>+'Cons spec tot e finalizzati'!T115-'Cons spec tot e finalizzati'!U115</f>
        <v>1948</v>
      </c>
      <c r="N115" s="111">
        <f>+'Cons spec tot e finalizzati'!V115-'Cons spec tot e finalizzati'!W115</f>
        <v>1822</v>
      </c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</row>
    <row r="116" spans="1:35" s="2" customFormat="1" ht="12.75">
      <c r="A116" s="46"/>
      <c r="B116" s="52"/>
      <c r="C116" s="14" t="s">
        <v>9</v>
      </c>
      <c r="D116" s="19"/>
      <c r="F116" s="85">
        <f>+'Cons spec tot e finalizzati'!F116-'Cons spec tot e finalizzati'!G116</f>
        <v>0</v>
      </c>
      <c r="G116" s="85">
        <f>+'Cons spec tot e finalizzati'!H116-'Cons spec tot e finalizzati'!I116</f>
        <v>206</v>
      </c>
      <c r="H116" s="103">
        <f>+'Cons spec tot e finalizzati'!J116-'Cons spec tot e finalizzati'!K116</f>
        <v>412</v>
      </c>
      <c r="I116" s="85">
        <f>+'Cons spec tot e finalizzati'!L116-'Cons spec tot e finalizzati'!M116</f>
        <v>502</v>
      </c>
      <c r="J116" s="85">
        <f>+'Cons spec tot e finalizzati'!N116-'Cons spec tot e finalizzati'!O116</f>
        <v>451</v>
      </c>
      <c r="K116" s="85">
        <f>+'Cons spec tot e finalizzati'!P116-'Cons spec tot e finalizzati'!Q116</f>
        <v>391</v>
      </c>
      <c r="L116" s="85">
        <f>+'Cons spec tot e finalizzati'!R116-'Cons spec tot e finalizzati'!S116</f>
        <v>171</v>
      </c>
      <c r="M116" s="85">
        <f>+'Cons spec tot e finalizzati'!T116-'Cons spec tot e finalizzati'!U116</f>
        <v>192</v>
      </c>
      <c r="N116" s="85">
        <f>+'Cons spec tot e finalizzati'!V116-'Cons spec tot e finalizzati'!W116</f>
        <v>119</v>
      </c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</row>
    <row r="117" spans="1:35" s="2" customFormat="1" ht="12.75">
      <c r="A117" s="46"/>
      <c r="B117" s="52"/>
      <c r="C117" s="40" t="s">
        <v>173</v>
      </c>
      <c r="D117" s="19"/>
      <c r="F117" s="82">
        <f>+'Cons spec tot e finalizzati'!F117-'Cons spec tot e finalizzati'!G117</f>
        <v>314</v>
      </c>
      <c r="G117" s="82">
        <f>+'Cons spec tot e finalizzati'!H117-'Cons spec tot e finalizzati'!I117</f>
        <v>414</v>
      </c>
      <c r="H117" s="75">
        <f>+'Cons spec tot e finalizzati'!J117-'Cons spec tot e finalizzati'!K117</f>
        <v>362</v>
      </c>
      <c r="I117" s="85">
        <f>+'Cons spec tot e finalizzati'!L117-'Cons spec tot e finalizzati'!M117</f>
        <v>737</v>
      </c>
      <c r="J117" s="82">
        <f>+'Cons spec tot e finalizzati'!N117-'Cons spec tot e finalizzati'!O117</f>
        <v>197</v>
      </c>
      <c r="K117" s="82">
        <f>+'Cons spec tot e finalizzati'!P117-'Cons spec tot e finalizzati'!Q117</f>
        <v>68</v>
      </c>
      <c r="L117" s="82">
        <f>+'Cons spec tot e finalizzati'!R117-'Cons spec tot e finalizzati'!S117</f>
        <v>56</v>
      </c>
      <c r="M117" s="82">
        <f>+'Cons spec tot e finalizzati'!T117-'Cons spec tot e finalizzati'!U117</f>
        <v>211</v>
      </c>
      <c r="N117" s="82">
        <f>+'Cons spec tot e finalizzati'!V117-'Cons spec tot e finalizzati'!W117</f>
        <v>150</v>
      </c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</row>
    <row r="118" spans="1:35" s="2" customFormat="1" ht="12.75">
      <c r="A118" s="46"/>
      <c r="B118" s="52"/>
      <c r="C118" s="40" t="s">
        <v>174</v>
      </c>
      <c r="D118" s="19"/>
      <c r="F118" s="82">
        <f>+'Cons spec tot e finalizzati'!F118-'Cons spec tot e finalizzati'!G118</f>
        <v>229</v>
      </c>
      <c r="G118" s="82">
        <f>+'Cons spec tot e finalizzati'!H118-'Cons spec tot e finalizzati'!I118</f>
        <v>18</v>
      </c>
      <c r="H118" s="75">
        <f>+'Cons spec tot e finalizzati'!J118-'Cons spec tot e finalizzati'!K118</f>
        <v>0</v>
      </c>
      <c r="I118" s="85">
        <f>+'Cons spec tot e finalizzati'!L118-'Cons spec tot e finalizzati'!M118</f>
        <v>0</v>
      </c>
      <c r="J118" s="82">
        <f>+'Cons spec tot e finalizzati'!N118-'Cons spec tot e finalizzati'!O118</f>
        <v>0</v>
      </c>
      <c r="K118" s="82">
        <f>+'Cons spec tot e finalizzati'!P118-'Cons spec tot e finalizzati'!Q118</f>
        <v>260</v>
      </c>
      <c r="L118" s="82">
        <f>+'Cons spec tot e finalizzati'!R118-'Cons spec tot e finalizzati'!S118</f>
        <v>319</v>
      </c>
      <c r="M118" s="82">
        <f>+'Cons spec tot e finalizzati'!T118-'Cons spec tot e finalizzati'!U118</f>
        <v>337</v>
      </c>
      <c r="N118" s="82">
        <f>+'Cons spec tot e finalizzati'!V118-'Cons spec tot e finalizzati'!W118</f>
        <v>270</v>
      </c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</row>
    <row r="119" spans="1:35" s="2" customFormat="1" ht="12.75">
      <c r="A119" s="46"/>
      <c r="B119" s="52"/>
      <c r="C119" s="40" t="s">
        <v>175</v>
      </c>
      <c r="D119" s="19"/>
      <c r="F119" s="82">
        <f>+'Cons spec tot e finalizzati'!F119-'Cons spec tot e finalizzati'!G119</f>
        <v>0</v>
      </c>
      <c r="G119" s="82">
        <f>+'Cons spec tot e finalizzati'!H119-'Cons spec tot e finalizzati'!I119</f>
        <v>0</v>
      </c>
      <c r="H119" s="75">
        <f>+'Cons spec tot e finalizzati'!J119-'Cons spec tot e finalizzati'!K119</f>
        <v>0</v>
      </c>
      <c r="I119" s="85">
        <f>+'Cons spec tot e finalizzati'!L119-'Cons spec tot e finalizzati'!M119</f>
        <v>0</v>
      </c>
      <c r="J119" s="82">
        <f>+'Cons spec tot e finalizzati'!N119-'Cons spec tot e finalizzati'!O119</f>
        <v>0</v>
      </c>
      <c r="K119" s="82">
        <f>+'Cons spec tot e finalizzati'!P119-'Cons spec tot e finalizzati'!Q119</f>
        <v>276</v>
      </c>
      <c r="L119" s="82">
        <f>+'Cons spec tot e finalizzati'!R119-'Cons spec tot e finalizzati'!S119</f>
        <v>215</v>
      </c>
      <c r="M119" s="82">
        <f>+'Cons spec tot e finalizzati'!T119-'Cons spec tot e finalizzati'!U119</f>
        <v>143</v>
      </c>
      <c r="N119" s="82">
        <f>+'Cons spec tot e finalizzati'!V119-'Cons spec tot e finalizzati'!W119</f>
        <v>189</v>
      </c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</row>
    <row r="120" spans="1:35" s="2" customFormat="1" ht="12.75">
      <c r="A120" s="46"/>
      <c r="B120" s="52"/>
      <c r="C120" s="40" t="s">
        <v>176</v>
      </c>
      <c r="D120" s="19"/>
      <c r="F120" s="82">
        <f>+'Cons spec tot e finalizzati'!F120-'Cons spec tot e finalizzati'!G120</f>
        <v>0</v>
      </c>
      <c r="G120" s="82">
        <f>+'Cons spec tot e finalizzati'!H120-'Cons spec tot e finalizzati'!I120</f>
        <v>0</v>
      </c>
      <c r="H120" s="75">
        <f>+'Cons spec tot e finalizzati'!J120-'Cons spec tot e finalizzati'!K120</f>
        <v>0</v>
      </c>
      <c r="I120" s="85">
        <f>+'Cons spec tot e finalizzati'!L120-'Cons spec tot e finalizzati'!M120</f>
        <v>0</v>
      </c>
      <c r="J120" s="82">
        <f>+'Cons spec tot e finalizzati'!N120-'Cons spec tot e finalizzati'!O120</f>
        <v>603</v>
      </c>
      <c r="K120" s="82">
        <f>+'Cons spec tot e finalizzati'!P120-'Cons spec tot e finalizzati'!Q120</f>
        <v>637</v>
      </c>
      <c r="L120" s="82">
        <f>+'Cons spec tot e finalizzati'!R120-'Cons spec tot e finalizzati'!S120</f>
        <v>1212</v>
      </c>
      <c r="M120" s="82">
        <f>+'Cons spec tot e finalizzati'!T120-'Cons spec tot e finalizzati'!U120</f>
        <v>1065</v>
      </c>
      <c r="N120" s="82">
        <f>+'Cons spec tot e finalizzati'!V120-'Cons spec tot e finalizzati'!W120</f>
        <v>1094</v>
      </c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</row>
    <row r="121" spans="1:35" s="2" customFormat="1" ht="12.75">
      <c r="A121" s="46"/>
      <c r="B121" s="176" t="s">
        <v>75</v>
      </c>
      <c r="C121" s="170"/>
      <c r="D121" s="171"/>
      <c r="F121" s="108">
        <f>+'Cons spec tot e finalizzati'!F121-'Cons spec tot e finalizzati'!G121</f>
        <v>4115</v>
      </c>
      <c r="G121" s="108">
        <f>+'Cons spec tot e finalizzati'!H121-'Cons spec tot e finalizzati'!I121</f>
        <v>4146</v>
      </c>
      <c r="H121" s="108">
        <f>+'Cons spec tot e finalizzati'!J121-'Cons spec tot e finalizzati'!K121</f>
        <v>4324</v>
      </c>
      <c r="I121" s="108">
        <f>+'Cons spec tot e finalizzati'!L121-'Cons spec tot e finalizzati'!M121</f>
        <v>4083</v>
      </c>
      <c r="J121" s="108">
        <f>+'Cons spec tot e finalizzati'!N121-'Cons spec tot e finalizzati'!O121</f>
        <v>4114</v>
      </c>
      <c r="K121" s="108">
        <f>+'Cons spec tot e finalizzati'!P121-'Cons spec tot e finalizzati'!Q121</f>
        <v>4293</v>
      </c>
      <c r="L121" s="108">
        <f>+'Cons spec tot e finalizzati'!R121-'Cons spec tot e finalizzati'!S121</f>
        <v>3854</v>
      </c>
      <c r="M121" s="108">
        <f>+'Cons spec tot e finalizzati'!T121-'Cons spec tot e finalizzati'!U121</f>
        <v>3802</v>
      </c>
      <c r="N121" s="108">
        <f>+'Cons spec tot e finalizzati'!V121-'Cons spec tot e finalizzati'!W121</f>
        <v>3702</v>
      </c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</row>
    <row r="122" spans="1:35" s="2" customFormat="1" ht="12.75">
      <c r="A122" s="46"/>
      <c r="B122" s="40"/>
      <c r="C122" s="14" t="s">
        <v>9</v>
      </c>
      <c r="D122" s="47"/>
      <c r="F122" s="82">
        <f>+'Cons spec tot e finalizzati'!F122-'Cons spec tot e finalizzati'!G122</f>
        <v>0</v>
      </c>
      <c r="G122" s="82">
        <f>+'Cons spec tot e finalizzati'!H122-'Cons spec tot e finalizzati'!I122</f>
        <v>0</v>
      </c>
      <c r="H122" s="76">
        <f>+'Cons spec tot e finalizzati'!J122-'Cons spec tot e finalizzati'!K122</f>
        <v>0</v>
      </c>
      <c r="I122" s="83">
        <f>+'Cons spec tot e finalizzati'!L122-'Cons spec tot e finalizzati'!M122</f>
        <v>0</v>
      </c>
      <c r="J122" s="76">
        <f>+'Cons spec tot e finalizzati'!N122-'Cons spec tot e finalizzati'!O122</f>
        <v>0</v>
      </c>
      <c r="K122" s="75">
        <f>+'Cons spec tot e finalizzati'!P122-'Cons spec tot e finalizzati'!Q122</f>
        <v>98</v>
      </c>
      <c r="L122" s="76">
        <f>+'Cons spec tot e finalizzati'!R122-'Cons spec tot e finalizzati'!S122</f>
        <v>112</v>
      </c>
      <c r="M122" s="76">
        <f>+'Cons spec tot e finalizzati'!T122-'Cons spec tot e finalizzati'!U122</f>
        <v>67</v>
      </c>
      <c r="N122" s="76">
        <f>+'Cons spec tot e finalizzati'!V122-'Cons spec tot e finalizzati'!W122</f>
        <v>83</v>
      </c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</row>
    <row r="123" spans="1:35" s="2" customFormat="1" ht="12.75">
      <c r="A123" s="46"/>
      <c r="B123" s="40"/>
      <c r="C123" s="14" t="s">
        <v>102</v>
      </c>
      <c r="D123" s="47"/>
      <c r="F123" s="82">
        <f>+'Cons spec tot e finalizzati'!F123-'Cons spec tot e finalizzati'!G123</f>
        <v>0</v>
      </c>
      <c r="G123" s="82">
        <f>+'Cons spec tot e finalizzati'!H123-'Cons spec tot e finalizzati'!I123</f>
        <v>0</v>
      </c>
      <c r="H123" s="76">
        <f>+'Cons spec tot e finalizzati'!J123-'Cons spec tot e finalizzati'!K123</f>
        <v>0</v>
      </c>
      <c r="I123" s="83">
        <f>+'Cons spec tot e finalizzati'!L123-'Cons spec tot e finalizzati'!M123</f>
        <v>0</v>
      </c>
      <c r="J123" s="76">
        <f>+'Cons spec tot e finalizzati'!N123-'Cons spec tot e finalizzati'!O123</f>
        <v>0</v>
      </c>
      <c r="K123" s="75">
        <f>+'Cons spec tot e finalizzati'!P123-'Cons spec tot e finalizzati'!Q123</f>
        <v>694</v>
      </c>
      <c r="L123" s="76">
        <f>+'Cons spec tot e finalizzati'!R123-'Cons spec tot e finalizzati'!S123</f>
        <v>576</v>
      </c>
      <c r="M123" s="76">
        <f>+'Cons spec tot e finalizzati'!T123-'Cons spec tot e finalizzati'!U123</f>
        <v>495</v>
      </c>
      <c r="N123" s="76">
        <f>+'Cons spec tot e finalizzati'!V123-'Cons spec tot e finalizzati'!W123</f>
        <v>445</v>
      </c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</row>
    <row r="124" spans="1:35" s="2" customFormat="1" ht="12.75">
      <c r="A124" s="46"/>
      <c r="B124" s="40"/>
      <c r="C124" s="14" t="s">
        <v>103</v>
      </c>
      <c r="D124" s="47"/>
      <c r="F124" s="82">
        <f>+'Cons spec tot e finalizzati'!F124-'Cons spec tot e finalizzati'!G124</f>
        <v>0</v>
      </c>
      <c r="G124" s="82">
        <f>+'Cons spec tot e finalizzati'!H124-'Cons spec tot e finalizzati'!I124</f>
        <v>0</v>
      </c>
      <c r="H124" s="76">
        <f>+'Cons spec tot e finalizzati'!J124-'Cons spec tot e finalizzati'!K124</f>
        <v>0</v>
      </c>
      <c r="I124" s="83">
        <f>+'Cons spec tot e finalizzati'!L124-'Cons spec tot e finalizzati'!M124</f>
        <v>0</v>
      </c>
      <c r="J124" s="76">
        <f>+'Cons spec tot e finalizzati'!N124-'Cons spec tot e finalizzati'!O124</f>
        <v>0</v>
      </c>
      <c r="K124" s="75">
        <f>+'Cons spec tot e finalizzati'!P124-'Cons spec tot e finalizzati'!Q124</f>
        <v>484</v>
      </c>
      <c r="L124" s="76">
        <f>+'Cons spec tot e finalizzati'!R124-'Cons spec tot e finalizzati'!S124</f>
        <v>337</v>
      </c>
      <c r="M124" s="76">
        <f>+'Cons spec tot e finalizzati'!T124-'Cons spec tot e finalizzati'!U124</f>
        <v>500</v>
      </c>
      <c r="N124" s="76">
        <f>+'Cons spec tot e finalizzati'!V124-'Cons spec tot e finalizzati'!W124</f>
        <v>539</v>
      </c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</row>
    <row r="125" spans="1:35" s="54" customFormat="1" ht="12.75">
      <c r="A125" s="167"/>
      <c r="B125" s="41"/>
      <c r="C125" s="41" t="s">
        <v>92</v>
      </c>
      <c r="D125" s="53"/>
      <c r="F125" s="135">
        <f>+'Cons spec tot e finalizzati'!F125-'Cons spec tot e finalizzati'!G125</f>
        <v>939</v>
      </c>
      <c r="G125" s="135">
        <f>+'Cons spec tot e finalizzati'!H125-'Cons spec tot e finalizzati'!I125</f>
        <v>945</v>
      </c>
      <c r="H125" s="135">
        <f>+'Cons spec tot e finalizzati'!J125-'Cons spec tot e finalizzati'!K125</f>
        <v>924</v>
      </c>
      <c r="I125" s="141">
        <f>+'Cons spec tot e finalizzati'!L125-'Cons spec tot e finalizzati'!M125</f>
        <v>892</v>
      </c>
      <c r="J125" s="99">
        <f>+'Cons spec tot e finalizzati'!N125-'Cons spec tot e finalizzati'!O125</f>
        <v>988</v>
      </c>
      <c r="K125" s="99">
        <f>+'Cons spec tot e finalizzati'!P125-'Cons spec tot e finalizzati'!Q125</f>
        <v>0</v>
      </c>
      <c r="L125" s="99">
        <f>+'Cons spec tot e finalizzati'!R125-'Cons spec tot e finalizzati'!S125</f>
        <v>0</v>
      </c>
      <c r="M125" s="99">
        <f>+'Cons spec tot e finalizzati'!T125-'Cons spec tot e finalizzati'!U125</f>
        <v>0</v>
      </c>
      <c r="N125" s="99">
        <f>+'Cons spec tot e finalizzati'!V125-'Cons spec tot e finalizzati'!W125</f>
        <v>0</v>
      </c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</row>
    <row r="126" spans="1:35" s="2" customFormat="1" ht="12.75">
      <c r="A126" s="46"/>
      <c r="B126" s="40"/>
      <c r="C126" s="39" t="s">
        <v>26</v>
      </c>
      <c r="D126" s="47"/>
      <c r="F126" s="75">
        <f>+'Cons spec tot e finalizzati'!F126-'Cons spec tot e finalizzati'!G126</f>
        <v>3101</v>
      </c>
      <c r="G126" s="75">
        <f>+'Cons spec tot e finalizzati'!H126-'Cons spec tot e finalizzati'!I126</f>
        <v>2971</v>
      </c>
      <c r="H126" s="75">
        <f>+'Cons spec tot e finalizzati'!J126-'Cons spec tot e finalizzati'!K126</f>
        <v>3104</v>
      </c>
      <c r="I126" s="85">
        <f>+'Cons spec tot e finalizzati'!L126-'Cons spec tot e finalizzati'!M126</f>
        <v>2996</v>
      </c>
      <c r="J126" s="82">
        <f>+'Cons spec tot e finalizzati'!N126-'Cons spec tot e finalizzati'!O126</f>
        <v>2871</v>
      </c>
      <c r="K126" s="82">
        <f>+'Cons spec tot e finalizzati'!P126-'Cons spec tot e finalizzati'!Q126</f>
        <v>2737</v>
      </c>
      <c r="L126" s="82">
        <f>+'Cons spec tot e finalizzati'!R126-'Cons spec tot e finalizzati'!S126</f>
        <v>2543</v>
      </c>
      <c r="M126" s="82">
        <f>+'Cons spec tot e finalizzati'!T126-'Cons spec tot e finalizzati'!U126</f>
        <v>2454</v>
      </c>
      <c r="N126" s="82">
        <f>+'Cons spec tot e finalizzati'!V126-'Cons spec tot e finalizzati'!W126</f>
        <v>2379</v>
      </c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</row>
    <row r="127" spans="1:35" s="2" customFormat="1" ht="12.75">
      <c r="A127" s="57"/>
      <c r="B127" s="58"/>
      <c r="C127" s="228" t="s">
        <v>104</v>
      </c>
      <c r="D127" s="59"/>
      <c r="E127" s="62"/>
      <c r="F127" s="106">
        <f>+'Cons spec tot e finalizzati'!F127-'Cons spec tot e finalizzati'!G127</f>
        <v>75</v>
      </c>
      <c r="G127" s="106">
        <f>+'Cons spec tot e finalizzati'!H127-'Cons spec tot e finalizzati'!I127</f>
        <v>230</v>
      </c>
      <c r="H127" s="106">
        <f>+'Cons spec tot e finalizzati'!J127-'Cons spec tot e finalizzati'!K127</f>
        <v>296</v>
      </c>
      <c r="I127" s="100">
        <f>+'Cons spec tot e finalizzati'!L127-'Cons spec tot e finalizzati'!M127</f>
        <v>195</v>
      </c>
      <c r="J127" s="112">
        <f>+'Cons spec tot e finalizzati'!N127-'Cons spec tot e finalizzati'!O127</f>
        <v>255</v>
      </c>
      <c r="K127" s="112">
        <f>+'Cons spec tot e finalizzati'!P127-'Cons spec tot e finalizzati'!Q127</f>
        <v>280</v>
      </c>
      <c r="L127" s="112">
        <f>+'Cons spec tot e finalizzati'!R127-'Cons spec tot e finalizzati'!S127</f>
        <v>286</v>
      </c>
      <c r="M127" s="112">
        <f>+'Cons spec tot e finalizzati'!T127-'Cons spec tot e finalizzati'!U127</f>
        <v>286</v>
      </c>
      <c r="N127" s="112">
        <f>+'Cons spec tot e finalizzati'!V127-'Cons spec tot e finalizzati'!W127</f>
        <v>256</v>
      </c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</row>
    <row r="128" spans="1:35" s="86" customFormat="1" ht="12.75">
      <c r="A128" s="188" t="s">
        <v>147</v>
      </c>
      <c r="B128" s="186"/>
      <c r="C128" s="186"/>
      <c r="D128" s="187"/>
      <c r="F128" s="107">
        <f>+'Cons spec tot e finalizzati'!F128-'Cons spec tot e finalizzati'!G128</f>
        <v>8202</v>
      </c>
      <c r="G128" s="107">
        <f>+'Cons spec tot e finalizzati'!H128-'Cons spec tot e finalizzati'!I128</f>
        <v>9592</v>
      </c>
      <c r="H128" s="107">
        <f>+'Cons spec tot e finalizzati'!J128-'Cons spec tot e finalizzati'!K128</f>
        <v>9457</v>
      </c>
      <c r="I128" s="107">
        <f>+'Cons spec tot e finalizzati'!L128-'Cons spec tot e finalizzati'!M128</f>
        <v>9994.5</v>
      </c>
      <c r="J128" s="107">
        <f>+'Cons spec tot e finalizzati'!N128-'Cons spec tot e finalizzati'!O128</f>
        <v>8885</v>
      </c>
      <c r="K128" s="107">
        <f>+'Cons spec tot e finalizzati'!P128-'Cons spec tot e finalizzati'!Q128</f>
        <v>11443</v>
      </c>
      <c r="L128" s="107">
        <f>+'Cons spec tot e finalizzati'!R128-'Cons spec tot e finalizzati'!S128</f>
        <v>8702</v>
      </c>
      <c r="M128" s="107">
        <f>+'Cons spec tot e finalizzati'!T128-'Cons spec tot e finalizzati'!U128</f>
        <v>8218</v>
      </c>
      <c r="N128" s="107">
        <f>+'Cons spec tot e finalizzati'!V128-'Cons spec tot e finalizzati'!W128</f>
        <v>10315</v>
      </c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</row>
    <row r="129" spans="1:37" s="2" customFormat="1" ht="12.75">
      <c r="A129" s="46"/>
      <c r="B129" s="172" t="s">
        <v>148</v>
      </c>
      <c r="D129" s="178"/>
      <c r="F129" s="108">
        <f>+'Cons spec tot e finalizzati'!F129-'Cons spec tot e finalizzati'!G129</f>
        <v>251</v>
      </c>
      <c r="G129" s="108">
        <f>+'Cons spec tot e finalizzati'!H129-'Cons spec tot e finalizzati'!I129</f>
        <v>235</v>
      </c>
      <c r="H129" s="108">
        <f>+'Cons spec tot e finalizzati'!J129-'Cons spec tot e finalizzati'!K129</f>
        <v>306</v>
      </c>
      <c r="I129" s="108">
        <f>+'Cons spec tot e finalizzati'!L129-'Cons spec tot e finalizzati'!M129</f>
        <v>380</v>
      </c>
      <c r="J129" s="108">
        <f>+'Cons spec tot e finalizzati'!N129-'Cons spec tot e finalizzati'!O129</f>
        <v>331</v>
      </c>
      <c r="K129" s="108">
        <f>+'Cons spec tot e finalizzati'!P129-'Cons spec tot e finalizzati'!Q129</f>
        <v>841</v>
      </c>
      <c r="L129" s="108">
        <f>+'Cons spec tot e finalizzati'!R129-'Cons spec tot e finalizzati'!S129</f>
        <v>665</v>
      </c>
      <c r="M129" s="108">
        <f>+'Cons spec tot e finalizzati'!T129-'Cons spec tot e finalizzati'!U129</f>
        <v>300</v>
      </c>
      <c r="N129" s="108">
        <f>+'Cons spec tot e finalizzati'!V129-'Cons spec tot e finalizzati'!W129</f>
        <v>750</v>
      </c>
      <c r="O129" s="155"/>
      <c r="P129" s="155"/>
      <c r="Q129" s="155"/>
      <c r="R129" s="155"/>
      <c r="S129" s="155"/>
      <c r="T129" s="155"/>
      <c r="U129" s="155"/>
      <c r="V129" s="155"/>
      <c r="W129" s="154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63"/>
      <c r="AK129" s="63"/>
    </row>
    <row r="130" spans="1:35" s="2" customFormat="1" ht="12.75">
      <c r="A130" s="46"/>
      <c r="B130" s="40"/>
      <c r="C130" s="40" t="s">
        <v>28</v>
      </c>
      <c r="D130" s="47"/>
      <c r="F130" s="82">
        <f>+'Cons spec tot e finalizzati'!F130-'Cons spec tot e finalizzati'!G130</f>
        <v>0</v>
      </c>
      <c r="G130" s="82">
        <f>+'Cons spec tot e finalizzati'!H130-'Cons spec tot e finalizzati'!I130</f>
        <v>0</v>
      </c>
      <c r="H130" s="76">
        <f>+'Cons spec tot e finalizzati'!J130-'Cons spec tot e finalizzati'!K130</f>
        <v>0</v>
      </c>
      <c r="I130" s="83">
        <f>+'Cons spec tot e finalizzati'!L130-'Cons spec tot e finalizzati'!M130</f>
        <v>0</v>
      </c>
      <c r="J130" s="76">
        <f>+'Cons spec tot e finalizzati'!N130-'Cons spec tot e finalizzati'!O130</f>
        <v>0</v>
      </c>
      <c r="K130" s="75">
        <f>+'Cons spec tot e finalizzati'!P130-'Cons spec tot e finalizzati'!Q130</f>
        <v>0</v>
      </c>
      <c r="L130" s="76">
        <f>+'Cons spec tot e finalizzati'!R130-'Cons spec tot e finalizzati'!S130</f>
        <v>0</v>
      </c>
      <c r="M130" s="76">
        <f>+'Cons spec tot e finalizzati'!T130-'Cons spec tot e finalizzati'!U130</f>
        <v>0</v>
      </c>
      <c r="N130" s="76">
        <f>+'Cons spec tot e finalizzati'!V130-'Cons spec tot e finalizzati'!W130</f>
        <v>195</v>
      </c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</row>
    <row r="131" spans="1:35" s="2" customFormat="1" ht="12.75">
      <c r="A131" s="46"/>
      <c r="B131" s="40"/>
      <c r="C131" s="40" t="s">
        <v>177</v>
      </c>
      <c r="D131" s="47"/>
      <c r="F131" s="82">
        <f>+'Cons spec tot e finalizzati'!F131-'Cons spec tot e finalizzati'!G131</f>
        <v>0</v>
      </c>
      <c r="G131" s="82">
        <f>+'Cons spec tot e finalizzati'!H131-'Cons spec tot e finalizzati'!I131</f>
        <v>0</v>
      </c>
      <c r="H131" s="76">
        <f>+'Cons spec tot e finalizzati'!J131-'Cons spec tot e finalizzati'!K131</f>
        <v>0</v>
      </c>
      <c r="I131" s="83">
        <f>+'Cons spec tot e finalizzati'!L131-'Cons spec tot e finalizzati'!M131</f>
        <v>0</v>
      </c>
      <c r="J131" s="76">
        <f>+'Cons spec tot e finalizzati'!N131-'Cons spec tot e finalizzati'!O131</f>
        <v>0</v>
      </c>
      <c r="K131" s="75">
        <f>+'Cons spec tot e finalizzati'!P131-'Cons spec tot e finalizzati'!Q131</f>
        <v>506</v>
      </c>
      <c r="L131" s="76">
        <f>+'Cons spec tot e finalizzati'!R131-'Cons spec tot e finalizzati'!S131</f>
        <v>348</v>
      </c>
      <c r="M131" s="76">
        <f>+'Cons spec tot e finalizzati'!T131-'Cons spec tot e finalizzati'!U131</f>
        <v>53</v>
      </c>
      <c r="N131" s="76">
        <f>+'Cons spec tot e finalizzati'!V131-'Cons spec tot e finalizzati'!W131</f>
        <v>451</v>
      </c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</row>
    <row r="132" spans="1:35" s="2" customFormat="1" ht="12.75">
      <c r="A132" s="46"/>
      <c r="B132" s="18"/>
      <c r="C132" s="40" t="s">
        <v>32</v>
      </c>
      <c r="D132" s="47"/>
      <c r="F132" s="75">
        <f>+'Cons spec tot e finalizzati'!F132-'Cons spec tot e finalizzati'!G132</f>
        <v>251</v>
      </c>
      <c r="G132" s="75">
        <f>+'Cons spec tot e finalizzati'!H132-'Cons spec tot e finalizzati'!I132</f>
        <v>235</v>
      </c>
      <c r="H132" s="75">
        <f>+'Cons spec tot e finalizzati'!J132-'Cons spec tot e finalizzati'!K132</f>
        <v>306</v>
      </c>
      <c r="I132" s="85">
        <f>+'Cons spec tot e finalizzati'!L132-'Cons spec tot e finalizzati'!M132</f>
        <v>380</v>
      </c>
      <c r="J132" s="75">
        <f>+'Cons spec tot e finalizzati'!N132-'Cons spec tot e finalizzati'!O132</f>
        <v>331</v>
      </c>
      <c r="K132" s="75">
        <f>+'Cons spec tot e finalizzati'!P132-'Cons spec tot e finalizzati'!Q132</f>
        <v>335</v>
      </c>
      <c r="L132" s="75">
        <f>+'Cons spec tot e finalizzati'!R132-'Cons spec tot e finalizzati'!S132</f>
        <v>317</v>
      </c>
      <c r="M132" s="75">
        <f>+'Cons spec tot e finalizzati'!T132-'Cons spec tot e finalizzati'!U132</f>
        <v>247</v>
      </c>
      <c r="N132" s="75">
        <f>+'Cons spec tot e finalizzati'!V132-'Cons spec tot e finalizzati'!W132</f>
        <v>104</v>
      </c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</row>
    <row r="133" spans="1:37" s="2" customFormat="1" ht="12.75">
      <c r="A133" s="46"/>
      <c r="B133" s="172" t="s">
        <v>149</v>
      </c>
      <c r="C133" s="172"/>
      <c r="D133" s="178"/>
      <c r="F133" s="108">
        <f>+'Cons spec tot e finalizzati'!F133-'Cons spec tot e finalizzati'!G133</f>
        <v>2265</v>
      </c>
      <c r="G133" s="108">
        <f>+'Cons spec tot e finalizzati'!H133-'Cons spec tot e finalizzati'!I133</f>
        <v>2044</v>
      </c>
      <c r="H133" s="108">
        <f>+'Cons spec tot e finalizzati'!J133-'Cons spec tot e finalizzati'!K133</f>
        <v>1740</v>
      </c>
      <c r="I133" s="108">
        <f>+'Cons spec tot e finalizzati'!L133-'Cons spec tot e finalizzati'!M133</f>
        <v>1268</v>
      </c>
      <c r="J133" s="108">
        <f>+'Cons spec tot e finalizzati'!N133-'Cons spec tot e finalizzati'!O133</f>
        <v>1018</v>
      </c>
      <c r="K133" s="108">
        <f>+'Cons spec tot e finalizzati'!P133-'Cons spec tot e finalizzati'!Q133</f>
        <v>946</v>
      </c>
      <c r="L133" s="108">
        <f>+'Cons spec tot e finalizzati'!R133-'Cons spec tot e finalizzati'!S133</f>
        <v>589</v>
      </c>
      <c r="M133" s="108">
        <f>+'Cons spec tot e finalizzati'!T133-'Cons spec tot e finalizzati'!U133</f>
        <v>539</v>
      </c>
      <c r="N133" s="108">
        <f>+'Cons spec tot e finalizzati'!V133-'Cons spec tot e finalizzati'!W133</f>
        <v>529</v>
      </c>
      <c r="O133" s="155"/>
      <c r="P133" s="155"/>
      <c r="Q133" s="155"/>
      <c r="R133" s="155"/>
      <c r="S133" s="155"/>
      <c r="T133" s="155"/>
      <c r="U133" s="155"/>
      <c r="V133" s="155"/>
      <c r="W133" s="154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63"/>
      <c r="AK133" s="63"/>
    </row>
    <row r="134" spans="1:35" s="2" customFormat="1" ht="12.75">
      <c r="A134" s="46"/>
      <c r="B134" s="18"/>
      <c r="C134" s="40" t="s">
        <v>28</v>
      </c>
      <c r="D134" s="47"/>
      <c r="F134" s="75">
        <f>+'Cons spec tot e finalizzati'!F134-'Cons spec tot e finalizzati'!G134</f>
        <v>59</v>
      </c>
      <c r="G134" s="75">
        <f>+'Cons spec tot e finalizzati'!H134-'Cons spec tot e finalizzati'!I134</f>
        <v>67</v>
      </c>
      <c r="H134" s="75">
        <f>+'Cons spec tot e finalizzati'!J134-'Cons spec tot e finalizzati'!K134</f>
        <v>171</v>
      </c>
      <c r="I134" s="85">
        <f>+'Cons spec tot e finalizzati'!L134-'Cons spec tot e finalizzati'!M134</f>
        <v>72</v>
      </c>
      <c r="J134" s="75">
        <f>+'Cons spec tot e finalizzati'!N134-'Cons spec tot e finalizzati'!O134</f>
        <v>103</v>
      </c>
      <c r="K134" s="75">
        <f>+'Cons spec tot e finalizzati'!P134-'Cons spec tot e finalizzati'!Q134</f>
        <v>120</v>
      </c>
      <c r="L134" s="75">
        <f>+'Cons spec tot e finalizzati'!R134-'Cons spec tot e finalizzati'!S134</f>
        <v>99</v>
      </c>
      <c r="M134" s="75">
        <f>+'Cons spec tot e finalizzati'!T134-'Cons spec tot e finalizzati'!U134</f>
        <v>192</v>
      </c>
      <c r="N134" s="75">
        <f>+'Cons spec tot e finalizzati'!V134-'Cons spec tot e finalizzati'!W134</f>
        <v>180</v>
      </c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</row>
    <row r="135" spans="1:35" s="50" customFormat="1" ht="12.75">
      <c r="A135" s="199"/>
      <c r="B135" s="18"/>
      <c r="C135" s="39" t="s">
        <v>60</v>
      </c>
      <c r="D135" s="229"/>
      <c r="F135" s="75">
        <f>+'Cons spec tot e finalizzati'!F135-'Cons spec tot e finalizzati'!G135</f>
        <v>16</v>
      </c>
      <c r="G135" s="75">
        <f>+'Cons spec tot e finalizzati'!H135-'Cons spec tot e finalizzati'!I135</f>
        <v>33</v>
      </c>
      <c r="H135" s="75">
        <f>+'Cons spec tot e finalizzati'!J135-'Cons spec tot e finalizzati'!K135</f>
        <v>25</v>
      </c>
      <c r="I135" s="85">
        <f>+'Cons spec tot e finalizzati'!L135-'Cons spec tot e finalizzati'!M135</f>
        <v>0</v>
      </c>
      <c r="J135" s="75">
        <f>+'Cons spec tot e finalizzati'!N135-'Cons spec tot e finalizzati'!O135</f>
        <v>0</v>
      </c>
      <c r="K135" s="75">
        <f>+'Cons spec tot e finalizzati'!P135-'Cons spec tot e finalizzati'!Q135</f>
        <v>0</v>
      </c>
      <c r="L135" s="75">
        <f>+'Cons spec tot e finalizzati'!R135-'Cons spec tot e finalizzati'!S135</f>
        <v>0</v>
      </c>
      <c r="M135" s="75">
        <f>+'Cons spec tot e finalizzati'!T135-'Cons spec tot e finalizzati'!U135</f>
        <v>0</v>
      </c>
      <c r="N135" s="75">
        <f>+'Cons spec tot e finalizzati'!V135-'Cons spec tot e finalizzati'!W135</f>
        <v>0</v>
      </c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</row>
    <row r="136" spans="1:35" s="2" customFormat="1" ht="12.75">
      <c r="A136" s="46"/>
      <c r="B136" s="18"/>
      <c r="C136" s="40" t="s">
        <v>106</v>
      </c>
      <c r="D136" s="47"/>
      <c r="F136" s="75">
        <f>+'Cons spec tot e finalizzati'!F136-'Cons spec tot e finalizzati'!G136</f>
        <v>176</v>
      </c>
      <c r="G136" s="75">
        <f>+'Cons spec tot e finalizzati'!H136-'Cons spec tot e finalizzati'!I136</f>
        <v>131</v>
      </c>
      <c r="H136" s="75">
        <f>+'Cons spec tot e finalizzati'!J136-'Cons spec tot e finalizzati'!K136</f>
        <v>350</v>
      </c>
      <c r="I136" s="85">
        <f>+'Cons spec tot e finalizzati'!L136-'Cons spec tot e finalizzati'!M136</f>
        <v>983</v>
      </c>
      <c r="J136" s="75">
        <f>+'Cons spec tot e finalizzati'!N136-'Cons spec tot e finalizzati'!O136</f>
        <v>744</v>
      </c>
      <c r="K136" s="75">
        <f>+'Cons spec tot e finalizzati'!P136-'Cons spec tot e finalizzati'!Q136</f>
        <v>655</v>
      </c>
      <c r="L136" s="75">
        <f>+'Cons spec tot e finalizzati'!R136-'Cons spec tot e finalizzati'!S136</f>
        <v>296</v>
      </c>
      <c r="M136" s="75">
        <f>+'Cons spec tot e finalizzati'!T136-'Cons spec tot e finalizzati'!U136</f>
        <v>80</v>
      </c>
      <c r="N136" s="75">
        <f>+'Cons spec tot e finalizzati'!V136-'Cons spec tot e finalizzati'!W136</f>
        <v>11</v>
      </c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  <c r="AH136" s="231"/>
      <c r="AI136" s="231"/>
    </row>
    <row r="137" spans="1:35" s="2" customFormat="1" ht="12.75">
      <c r="A137" s="46"/>
      <c r="B137" s="18"/>
      <c r="C137" s="40" t="s">
        <v>61</v>
      </c>
      <c r="D137" s="47"/>
      <c r="F137" s="75">
        <f>+'Cons spec tot e finalizzati'!F137-'Cons spec tot e finalizzati'!G137</f>
        <v>2014</v>
      </c>
      <c r="G137" s="75">
        <f>+'Cons spec tot e finalizzati'!H137-'Cons spec tot e finalizzati'!I137</f>
        <v>1813</v>
      </c>
      <c r="H137" s="75">
        <f>+'Cons spec tot e finalizzati'!J137-'Cons spec tot e finalizzati'!K137</f>
        <v>1194</v>
      </c>
      <c r="I137" s="85">
        <f>+'Cons spec tot e finalizzati'!L137-'Cons spec tot e finalizzati'!M137</f>
        <v>213</v>
      </c>
      <c r="J137" s="75">
        <f>+'Cons spec tot e finalizzati'!N137-'Cons spec tot e finalizzati'!O137</f>
        <v>171</v>
      </c>
      <c r="K137" s="75">
        <f>+'Cons spec tot e finalizzati'!P137-'Cons spec tot e finalizzati'!Q137</f>
        <v>171</v>
      </c>
      <c r="L137" s="75">
        <f>+'Cons spec tot e finalizzati'!R137-'Cons spec tot e finalizzati'!S137</f>
        <v>194</v>
      </c>
      <c r="M137" s="75">
        <f>+'Cons spec tot e finalizzati'!T137-'Cons spec tot e finalizzati'!U137</f>
        <v>267</v>
      </c>
      <c r="N137" s="75">
        <f>+'Cons spec tot e finalizzati'!V137-'Cons spec tot e finalizzati'!W137</f>
        <v>338</v>
      </c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</row>
    <row r="138" spans="1:35" s="2" customFormat="1" ht="12.75">
      <c r="A138" s="46"/>
      <c r="B138" s="177" t="s">
        <v>129</v>
      </c>
      <c r="C138" s="170"/>
      <c r="D138" s="171"/>
      <c r="F138" s="108">
        <f>+'Cons spec tot e finalizzati'!F138-'Cons spec tot e finalizzati'!G138</f>
        <v>1197</v>
      </c>
      <c r="G138" s="108">
        <f>+'Cons spec tot e finalizzati'!H138-'Cons spec tot e finalizzati'!I138</f>
        <v>1155</v>
      </c>
      <c r="H138" s="108">
        <f>+'Cons spec tot e finalizzati'!J138-'Cons spec tot e finalizzati'!K138</f>
        <v>1559</v>
      </c>
      <c r="I138" s="108">
        <f>+'Cons spec tot e finalizzati'!L138-'Cons spec tot e finalizzati'!M138</f>
        <v>2720.5</v>
      </c>
      <c r="J138" s="108">
        <f>+'Cons spec tot e finalizzati'!N138-'Cons spec tot e finalizzati'!O138</f>
        <v>2095</v>
      </c>
      <c r="K138" s="108">
        <f>+'Cons spec tot e finalizzati'!P138-'Cons spec tot e finalizzati'!Q138</f>
        <v>3629</v>
      </c>
      <c r="L138" s="108">
        <f>+'Cons spec tot e finalizzati'!R138-'Cons spec tot e finalizzati'!S138</f>
        <v>2231</v>
      </c>
      <c r="M138" s="108">
        <f>+'Cons spec tot e finalizzati'!T138-'Cons spec tot e finalizzati'!U138</f>
        <v>1745</v>
      </c>
      <c r="N138" s="108">
        <f>+'Cons spec tot e finalizzati'!V138-'Cons spec tot e finalizzati'!W138</f>
        <v>2805</v>
      </c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</row>
    <row r="139" spans="1:35" s="2" customFormat="1" ht="12.75">
      <c r="A139" s="46"/>
      <c r="B139" s="18"/>
      <c r="C139" s="14" t="s">
        <v>130</v>
      </c>
      <c r="D139" s="47"/>
      <c r="F139" s="103">
        <f>+'Cons spec tot e finalizzati'!F139-'Cons spec tot e finalizzati'!G139</f>
        <v>127</v>
      </c>
      <c r="G139" s="85">
        <f>+'Cons spec tot e finalizzati'!H139-'Cons spec tot e finalizzati'!I139</f>
        <v>106</v>
      </c>
      <c r="H139" s="103">
        <f>+'Cons spec tot e finalizzati'!J139-'Cons spec tot e finalizzati'!K139</f>
        <v>144</v>
      </c>
      <c r="I139" s="85">
        <f>+'Cons spec tot e finalizzati'!L139-'Cons spec tot e finalizzati'!M139</f>
        <v>444</v>
      </c>
      <c r="J139" s="85">
        <f>+'Cons spec tot e finalizzati'!N139-'Cons spec tot e finalizzati'!O139</f>
        <v>428</v>
      </c>
      <c r="K139" s="85">
        <f>+'Cons spec tot e finalizzati'!P139-'Cons spec tot e finalizzati'!Q139</f>
        <v>207</v>
      </c>
      <c r="L139" s="85">
        <f>+'Cons spec tot e finalizzati'!R139-'Cons spec tot e finalizzati'!S139</f>
        <v>221</v>
      </c>
      <c r="M139" s="85">
        <f>+'Cons spec tot e finalizzati'!T139-'Cons spec tot e finalizzati'!U139</f>
        <v>92</v>
      </c>
      <c r="N139" s="85">
        <f>+'Cons spec tot e finalizzati'!V139-'Cons spec tot e finalizzati'!W139</f>
        <v>109</v>
      </c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</row>
    <row r="140" spans="1:35" s="2" customFormat="1" ht="12.75">
      <c r="A140" s="46"/>
      <c r="B140" s="18"/>
      <c r="C140" s="14" t="s">
        <v>110</v>
      </c>
      <c r="D140" s="47"/>
      <c r="F140" s="103">
        <f>+'Cons spec tot e finalizzati'!F140-'Cons spec tot e finalizzati'!G140</f>
        <v>0</v>
      </c>
      <c r="G140" s="85">
        <f>+'Cons spec tot e finalizzati'!H140-'Cons spec tot e finalizzati'!I140</f>
        <v>0</v>
      </c>
      <c r="H140" s="103">
        <f>+'Cons spec tot e finalizzati'!J140-'Cons spec tot e finalizzati'!K140</f>
        <v>0</v>
      </c>
      <c r="I140" s="85">
        <f>+'Cons spec tot e finalizzati'!L140-'Cons spec tot e finalizzati'!M140</f>
        <v>0</v>
      </c>
      <c r="J140" s="85">
        <f>+'Cons spec tot e finalizzati'!N140-'Cons spec tot e finalizzati'!O140</f>
        <v>0</v>
      </c>
      <c r="K140" s="85">
        <f>+'Cons spec tot e finalizzati'!P140-'Cons spec tot e finalizzati'!Q140</f>
        <v>63</v>
      </c>
      <c r="L140" s="85">
        <f>+'Cons spec tot e finalizzati'!R140-'Cons spec tot e finalizzati'!S140</f>
        <v>34</v>
      </c>
      <c r="M140" s="85">
        <f>+'Cons spec tot e finalizzati'!T140-'Cons spec tot e finalizzati'!U140</f>
        <v>0</v>
      </c>
      <c r="N140" s="85">
        <f>+'Cons spec tot e finalizzati'!V140-'Cons spec tot e finalizzati'!W140</f>
        <v>0</v>
      </c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</row>
    <row r="141" spans="1:35" s="2" customFormat="1" ht="12.75">
      <c r="A141" s="46"/>
      <c r="B141" s="18"/>
      <c r="C141" s="40" t="s">
        <v>107</v>
      </c>
      <c r="D141" s="47"/>
      <c r="F141" s="75">
        <f>+'Cons spec tot e finalizzati'!F141-'Cons spec tot e finalizzati'!G141</f>
        <v>141</v>
      </c>
      <c r="G141" s="75">
        <f>+'Cons spec tot e finalizzati'!H141-'Cons spec tot e finalizzati'!I141</f>
        <v>39</v>
      </c>
      <c r="H141" s="75">
        <f>+'Cons spec tot e finalizzati'!J141-'Cons spec tot e finalizzati'!K141</f>
        <v>15</v>
      </c>
      <c r="I141" s="85">
        <f>+'Cons spec tot e finalizzati'!L141-'Cons spec tot e finalizzati'!M141</f>
        <v>49</v>
      </c>
      <c r="J141" s="82">
        <f>+'Cons spec tot e finalizzati'!N141-'Cons spec tot e finalizzati'!O141</f>
        <v>17</v>
      </c>
      <c r="K141" s="82">
        <f>+'Cons spec tot e finalizzati'!P141-'Cons spec tot e finalizzati'!Q141</f>
        <v>1</v>
      </c>
      <c r="L141" s="82">
        <f>+'Cons spec tot e finalizzati'!R141-'Cons spec tot e finalizzati'!S141</f>
        <v>12</v>
      </c>
      <c r="M141" s="82">
        <f>+'Cons spec tot e finalizzati'!T141-'Cons spec tot e finalizzati'!U141</f>
        <v>21</v>
      </c>
      <c r="N141" s="82">
        <f>+'Cons spec tot e finalizzati'!V141-'Cons spec tot e finalizzati'!W141</f>
        <v>163</v>
      </c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I141" s="231"/>
    </row>
    <row r="142" spans="1:35" s="2" customFormat="1" ht="12.75">
      <c r="A142" s="46"/>
      <c r="B142" s="18"/>
      <c r="C142" s="40" t="s">
        <v>109</v>
      </c>
      <c r="D142" s="47"/>
      <c r="F142" s="158">
        <f>+'Cons spec tot e finalizzati'!F142-'Cons spec tot e finalizzati'!G142</f>
        <v>0</v>
      </c>
      <c r="G142" s="158">
        <f>+'Cons spec tot e finalizzati'!H142-'Cons spec tot e finalizzati'!I142</f>
        <v>0</v>
      </c>
      <c r="H142" s="158">
        <f>+'Cons spec tot e finalizzati'!J142-'Cons spec tot e finalizzati'!K142</f>
        <v>0</v>
      </c>
      <c r="I142" s="85">
        <f>+'Cons spec tot e finalizzati'!L142-'Cons spec tot e finalizzati'!M142</f>
        <v>131</v>
      </c>
      <c r="J142" s="82">
        <f>+'Cons spec tot e finalizzati'!N142-'Cons spec tot e finalizzati'!O142</f>
        <v>81</v>
      </c>
      <c r="K142" s="82">
        <f>+'Cons spec tot e finalizzati'!P142-'Cons spec tot e finalizzati'!Q142</f>
        <v>331</v>
      </c>
      <c r="L142" s="82">
        <f>+'Cons spec tot e finalizzati'!R142-'Cons spec tot e finalizzati'!S142</f>
        <v>245</v>
      </c>
      <c r="M142" s="82">
        <f>+'Cons spec tot e finalizzati'!T142-'Cons spec tot e finalizzati'!U142</f>
        <v>164</v>
      </c>
      <c r="N142" s="82">
        <f>+'Cons spec tot e finalizzati'!V142-'Cons spec tot e finalizzati'!W142</f>
        <v>170</v>
      </c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</row>
    <row r="143" spans="1:35" s="2" customFormat="1" ht="12.75">
      <c r="A143" s="46"/>
      <c r="B143" s="18"/>
      <c r="C143" s="40" t="s">
        <v>111</v>
      </c>
      <c r="D143" s="47"/>
      <c r="F143" s="158">
        <f>+'Cons spec tot e finalizzati'!F143-'Cons spec tot e finalizzati'!G143</f>
        <v>0</v>
      </c>
      <c r="G143" s="158">
        <f>+'Cons spec tot e finalizzati'!H143-'Cons spec tot e finalizzati'!I143</f>
        <v>0</v>
      </c>
      <c r="H143" s="158">
        <f>+'Cons spec tot e finalizzati'!J143-'Cons spec tot e finalizzati'!K143</f>
        <v>0</v>
      </c>
      <c r="I143" s="85">
        <f>+'Cons spec tot e finalizzati'!L143-'Cons spec tot e finalizzati'!M143</f>
        <v>0</v>
      </c>
      <c r="J143" s="82">
        <f>+'Cons spec tot e finalizzati'!N143-'Cons spec tot e finalizzati'!O143</f>
        <v>0</v>
      </c>
      <c r="K143" s="82">
        <f>+'Cons spec tot e finalizzati'!P143-'Cons spec tot e finalizzati'!Q143</f>
        <v>27</v>
      </c>
      <c r="L143" s="82">
        <f>+'Cons spec tot e finalizzati'!R143-'Cons spec tot e finalizzati'!S143</f>
        <v>44</v>
      </c>
      <c r="M143" s="82">
        <f>+'Cons spec tot e finalizzati'!T143-'Cons spec tot e finalizzati'!U143</f>
        <v>31</v>
      </c>
      <c r="N143" s="82">
        <f>+'Cons spec tot e finalizzati'!V143-'Cons spec tot e finalizzati'!W143</f>
        <v>0</v>
      </c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</row>
    <row r="144" spans="1:35" s="2" customFormat="1" ht="12.75">
      <c r="A144" s="46"/>
      <c r="B144" s="18"/>
      <c r="C144" s="40" t="s">
        <v>112</v>
      </c>
      <c r="D144" s="47"/>
      <c r="F144" s="158">
        <f>+'Cons spec tot e finalizzati'!F144-'Cons spec tot e finalizzati'!G144</f>
        <v>0</v>
      </c>
      <c r="G144" s="158">
        <f>+'Cons spec tot e finalizzati'!H144-'Cons spec tot e finalizzati'!I144</f>
        <v>0</v>
      </c>
      <c r="H144" s="158">
        <f>+'Cons spec tot e finalizzati'!J144-'Cons spec tot e finalizzati'!K144</f>
        <v>0</v>
      </c>
      <c r="I144" s="85">
        <f>+'Cons spec tot e finalizzati'!L144-'Cons spec tot e finalizzati'!M144</f>
        <v>0</v>
      </c>
      <c r="J144" s="82">
        <f>+'Cons spec tot e finalizzati'!N144-'Cons spec tot e finalizzati'!O144</f>
        <v>0</v>
      </c>
      <c r="K144" s="82">
        <f>+'Cons spec tot e finalizzati'!P144-'Cons spec tot e finalizzati'!Q144</f>
        <v>1820</v>
      </c>
      <c r="L144" s="82">
        <f>+'Cons spec tot e finalizzati'!R144-'Cons spec tot e finalizzati'!S144</f>
        <v>1187</v>
      </c>
      <c r="M144" s="82">
        <f>+'Cons spec tot e finalizzati'!T144-'Cons spec tot e finalizzati'!U144</f>
        <v>1209</v>
      </c>
      <c r="N144" s="82">
        <f>+'Cons spec tot e finalizzati'!V144-'Cons spec tot e finalizzati'!W144</f>
        <v>2174</v>
      </c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  <c r="AH144" s="231"/>
      <c r="AI144" s="231"/>
    </row>
    <row r="145" spans="1:35" s="2" customFormat="1" ht="12.75">
      <c r="A145" s="46"/>
      <c r="B145" s="18"/>
      <c r="C145" s="39" t="s">
        <v>108</v>
      </c>
      <c r="D145" s="47"/>
      <c r="F145" s="158">
        <f>+'Cons spec tot e finalizzati'!F145-'Cons spec tot e finalizzati'!G145</f>
        <v>0</v>
      </c>
      <c r="G145" s="158">
        <f>+'Cons spec tot e finalizzati'!H145-'Cons spec tot e finalizzati'!I145</f>
        <v>0</v>
      </c>
      <c r="H145" s="158">
        <f>+'Cons spec tot e finalizzati'!J145-'Cons spec tot e finalizzati'!K145</f>
        <v>0</v>
      </c>
      <c r="I145" s="85">
        <f>+'Cons spec tot e finalizzati'!L145-'Cons spec tot e finalizzati'!M145</f>
        <v>0</v>
      </c>
      <c r="J145" s="82">
        <f>+'Cons spec tot e finalizzati'!N145-'Cons spec tot e finalizzati'!O145</f>
        <v>178</v>
      </c>
      <c r="K145" s="82">
        <f>+'Cons spec tot e finalizzati'!P145-'Cons spec tot e finalizzati'!Q145</f>
        <v>147</v>
      </c>
      <c r="L145" s="82">
        <f>+'Cons spec tot e finalizzati'!R145-'Cons spec tot e finalizzati'!S145</f>
        <v>293</v>
      </c>
      <c r="M145" s="82">
        <f>+'Cons spec tot e finalizzati'!T145-'Cons spec tot e finalizzati'!U145</f>
        <v>144</v>
      </c>
      <c r="N145" s="82">
        <f>+'Cons spec tot e finalizzati'!V145-'Cons spec tot e finalizzati'!W145</f>
        <v>61</v>
      </c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  <c r="AI145" s="231"/>
    </row>
    <row r="146" spans="1:35" s="2" customFormat="1" ht="12.75">
      <c r="A146" s="46"/>
      <c r="B146" s="18"/>
      <c r="C146" s="40" t="s">
        <v>96</v>
      </c>
      <c r="D146" s="60"/>
      <c r="E146" s="47"/>
      <c r="F146" s="82">
        <f>+'Cons spec tot e finalizzati'!F146-'Cons spec tot e finalizzati'!G146</f>
        <v>77</v>
      </c>
      <c r="G146" s="82">
        <f>+'Cons spec tot e finalizzati'!H146-'Cons spec tot e finalizzati'!I146</f>
        <v>147</v>
      </c>
      <c r="H146" s="82">
        <f>+'Cons spec tot e finalizzati'!J146-'Cons spec tot e finalizzati'!K146</f>
        <v>124</v>
      </c>
      <c r="I146" s="85">
        <f>+'Cons spec tot e finalizzati'!L146-'Cons spec tot e finalizzati'!M146</f>
        <v>472</v>
      </c>
      <c r="J146" s="109">
        <f>+'Cons spec tot e finalizzati'!N146-'Cons spec tot e finalizzati'!O146</f>
        <v>587</v>
      </c>
      <c r="K146" s="109">
        <f>+'Cons spec tot e finalizzati'!P146-'Cons spec tot e finalizzati'!Q146</f>
        <v>1033</v>
      </c>
      <c r="L146" s="109">
        <f>+'Cons spec tot e finalizzati'!R146-'Cons spec tot e finalizzati'!S146</f>
        <v>195</v>
      </c>
      <c r="M146" s="109">
        <f>+'Cons spec tot e finalizzati'!T146-'Cons spec tot e finalizzati'!U146</f>
        <v>84</v>
      </c>
      <c r="N146" s="109">
        <f>+'Cons spec tot e finalizzati'!V146-'Cons spec tot e finalizzati'!W146</f>
        <v>128</v>
      </c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  <c r="AH146" s="231"/>
      <c r="AI146" s="231"/>
    </row>
    <row r="147" spans="1:35" s="54" customFormat="1" ht="12.75">
      <c r="A147" s="167"/>
      <c r="B147" s="169"/>
      <c r="C147" s="41" t="s">
        <v>63</v>
      </c>
      <c r="D147" s="53"/>
      <c r="F147" s="135">
        <f>+'Cons spec tot e finalizzati'!F147-'Cons spec tot e finalizzati'!G147</f>
        <v>168</v>
      </c>
      <c r="G147" s="135">
        <f>+'Cons spec tot e finalizzati'!H147-'Cons spec tot e finalizzati'!I147</f>
        <v>155</v>
      </c>
      <c r="H147" s="135">
        <f>+'Cons spec tot e finalizzati'!J147-'Cons spec tot e finalizzati'!K147</f>
        <v>284</v>
      </c>
      <c r="I147" s="141">
        <f>+'Cons spec tot e finalizzati'!L147-'Cons spec tot e finalizzati'!M147</f>
        <v>262</v>
      </c>
      <c r="J147" s="99">
        <f>+'Cons spec tot e finalizzati'!N147-'Cons spec tot e finalizzati'!O147</f>
        <v>48</v>
      </c>
      <c r="K147" s="99">
        <f>+'Cons spec tot e finalizzati'!P147-'Cons spec tot e finalizzati'!Q147</f>
        <v>0</v>
      </c>
      <c r="L147" s="99">
        <f>+'Cons spec tot e finalizzati'!R147-'Cons spec tot e finalizzati'!S147</f>
        <v>0</v>
      </c>
      <c r="M147" s="99">
        <f>+'Cons spec tot e finalizzati'!T147-'Cons spec tot e finalizzati'!U147</f>
        <v>0</v>
      </c>
      <c r="N147" s="99">
        <f>+'Cons spec tot e finalizzati'!V147-'Cons spec tot e finalizzati'!W147</f>
        <v>0</v>
      </c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</row>
    <row r="148" spans="1:35" s="54" customFormat="1" ht="12.75">
      <c r="A148" s="167"/>
      <c r="B148" s="169"/>
      <c r="C148" s="41" t="s">
        <v>27</v>
      </c>
      <c r="D148" s="53"/>
      <c r="F148" s="135">
        <f>+'Cons spec tot e finalizzati'!F148-'Cons spec tot e finalizzati'!G148</f>
        <v>663</v>
      </c>
      <c r="G148" s="135">
        <f>+'Cons spec tot e finalizzati'!H148-'Cons spec tot e finalizzati'!I148</f>
        <v>708</v>
      </c>
      <c r="H148" s="135">
        <f>+'Cons spec tot e finalizzati'!J148-'Cons spec tot e finalizzati'!K148</f>
        <v>727</v>
      </c>
      <c r="I148" s="141">
        <f>+'Cons spec tot e finalizzati'!L148-'Cons spec tot e finalizzati'!M148</f>
        <v>1362.5</v>
      </c>
      <c r="J148" s="99">
        <f>+'Cons spec tot e finalizzati'!N148-'Cons spec tot e finalizzati'!O148</f>
        <v>756</v>
      </c>
      <c r="K148" s="99">
        <f>+'Cons spec tot e finalizzati'!P148-'Cons spec tot e finalizzati'!Q148</f>
        <v>0</v>
      </c>
      <c r="L148" s="99">
        <f>+'Cons spec tot e finalizzati'!R148-'Cons spec tot e finalizzati'!S148</f>
        <v>0</v>
      </c>
      <c r="M148" s="99">
        <f>+'Cons spec tot e finalizzati'!T148-'Cons spec tot e finalizzati'!U148</f>
        <v>0</v>
      </c>
      <c r="N148" s="99">
        <f>+'Cons spec tot e finalizzati'!V148-'Cons spec tot e finalizzati'!W148</f>
        <v>0</v>
      </c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</row>
    <row r="149" spans="1:35" s="54" customFormat="1" ht="12.75">
      <c r="A149" s="91"/>
      <c r="B149" s="92"/>
      <c r="C149" s="41" t="s">
        <v>55</v>
      </c>
      <c r="D149" s="53"/>
      <c r="F149" s="135">
        <f>+'Cons spec tot e finalizzati'!F149-'Cons spec tot e finalizzati'!G149</f>
        <v>21</v>
      </c>
      <c r="G149" s="135">
        <f>+'Cons spec tot e finalizzati'!H149-'Cons spec tot e finalizzati'!I149</f>
        <v>0</v>
      </c>
      <c r="H149" s="135">
        <f>+'Cons spec tot e finalizzati'!J149-'Cons spec tot e finalizzati'!K149</f>
        <v>265</v>
      </c>
      <c r="I149" s="150">
        <f>+'Cons spec tot e finalizzati'!L149-'Cons spec tot e finalizzati'!M149</f>
        <v>0</v>
      </c>
      <c r="J149" s="99">
        <f>+'Cons spec tot e finalizzati'!N149-'Cons spec tot e finalizzati'!O149</f>
        <v>0</v>
      </c>
      <c r="K149" s="99">
        <f>+'Cons spec tot e finalizzati'!P149-'Cons spec tot e finalizzati'!Q149</f>
        <v>0</v>
      </c>
      <c r="L149" s="99">
        <f>+'Cons spec tot e finalizzati'!R149-'Cons spec tot e finalizzati'!S149</f>
        <v>0</v>
      </c>
      <c r="M149" s="99">
        <f>+'Cons spec tot e finalizzati'!T149-'Cons spec tot e finalizzati'!U149</f>
        <v>0</v>
      </c>
      <c r="N149" s="99">
        <f>+'Cons spec tot e finalizzati'!V149-'Cons spec tot e finalizzati'!W149</f>
        <v>0</v>
      </c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</row>
    <row r="150" spans="1:35" s="2" customFormat="1" ht="12.75">
      <c r="A150" s="46"/>
      <c r="B150" s="194" t="s">
        <v>163</v>
      </c>
      <c r="C150" s="170"/>
      <c r="D150" s="171"/>
      <c r="F150" s="113">
        <f>+'Cons spec tot e finalizzati'!F150-'Cons spec tot e finalizzati'!G150</f>
        <v>47</v>
      </c>
      <c r="G150" s="113">
        <f>+'Cons spec tot e finalizzati'!H150-'Cons spec tot e finalizzati'!I150</f>
        <v>568</v>
      </c>
      <c r="H150" s="113">
        <f>+'Cons spec tot e finalizzati'!J150-'Cons spec tot e finalizzati'!K150</f>
        <v>553</v>
      </c>
      <c r="I150" s="113">
        <f>+'Cons spec tot e finalizzati'!L150-'Cons spec tot e finalizzati'!M150</f>
        <v>963</v>
      </c>
      <c r="J150" s="113">
        <f>+'Cons spec tot e finalizzati'!N150-'Cons spec tot e finalizzati'!O150</f>
        <v>974</v>
      </c>
      <c r="K150" s="113">
        <f>+'Cons spec tot e finalizzati'!P150-'Cons spec tot e finalizzati'!Q150</f>
        <v>64</v>
      </c>
      <c r="L150" s="113">
        <f>+'Cons spec tot e finalizzati'!R150-'Cons spec tot e finalizzati'!S150</f>
        <v>34</v>
      </c>
      <c r="M150" s="113">
        <f>+'Cons spec tot e finalizzati'!T150-'Cons spec tot e finalizzati'!U150</f>
        <v>168</v>
      </c>
      <c r="N150" s="113">
        <f>+'Cons spec tot e finalizzati'!V150-'Cons spec tot e finalizzati'!W150</f>
        <v>99</v>
      </c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</row>
    <row r="151" spans="1:35" s="2" customFormat="1" ht="12.75">
      <c r="A151" s="46"/>
      <c r="B151" s="170" t="s">
        <v>150</v>
      </c>
      <c r="C151" s="170"/>
      <c r="D151" s="171"/>
      <c r="F151" s="113">
        <f>+'Cons spec tot e finalizzati'!F151-'Cons spec tot e finalizzati'!G151</f>
        <v>4442</v>
      </c>
      <c r="G151" s="113">
        <f>+'Cons spec tot e finalizzati'!H151-'Cons spec tot e finalizzati'!I151</f>
        <v>5590</v>
      </c>
      <c r="H151" s="113">
        <f>+'Cons spec tot e finalizzati'!J151-'Cons spec tot e finalizzati'!K151</f>
        <v>5299</v>
      </c>
      <c r="I151" s="113">
        <f>+'Cons spec tot e finalizzati'!L151-'Cons spec tot e finalizzati'!M151</f>
        <v>4663</v>
      </c>
      <c r="J151" s="113">
        <f>+'Cons spec tot e finalizzati'!N151-'Cons spec tot e finalizzati'!O151</f>
        <v>4467</v>
      </c>
      <c r="K151" s="113">
        <f>+'Cons spec tot e finalizzati'!P151-'Cons spec tot e finalizzati'!Q151</f>
        <v>5963</v>
      </c>
      <c r="L151" s="113">
        <f>+'Cons spec tot e finalizzati'!R151-'Cons spec tot e finalizzati'!S151</f>
        <v>5183</v>
      </c>
      <c r="M151" s="113">
        <f>+'Cons spec tot e finalizzati'!T151-'Cons spec tot e finalizzati'!U151</f>
        <v>5466</v>
      </c>
      <c r="N151" s="113">
        <f>+'Cons spec tot e finalizzati'!V151-'Cons spec tot e finalizzati'!W151</f>
        <v>6132</v>
      </c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</row>
    <row r="152" spans="1:35" s="2" customFormat="1" ht="12.75">
      <c r="A152" s="46"/>
      <c r="B152" s="40"/>
      <c r="C152" s="40" t="s">
        <v>105</v>
      </c>
      <c r="D152" s="47"/>
      <c r="F152" s="75">
        <f>+'Cons spec tot e finalizzati'!F152-'Cons spec tot e finalizzati'!G152</f>
        <v>819</v>
      </c>
      <c r="G152" s="75">
        <f>+'Cons spec tot e finalizzati'!H152-'Cons spec tot e finalizzati'!I152</f>
        <v>948</v>
      </c>
      <c r="H152" s="75">
        <f>+'Cons spec tot e finalizzati'!J152-'Cons spec tot e finalizzati'!K152</f>
        <v>940</v>
      </c>
      <c r="I152" s="85">
        <f>+'Cons spec tot e finalizzati'!L152-'Cons spec tot e finalizzati'!M152</f>
        <v>965</v>
      </c>
      <c r="J152" s="75">
        <f>+'Cons spec tot e finalizzati'!N152-'Cons spec tot e finalizzati'!O152</f>
        <v>498</v>
      </c>
      <c r="K152" s="75">
        <f>+'Cons spec tot e finalizzati'!P152-'Cons spec tot e finalizzati'!Q152</f>
        <v>962</v>
      </c>
      <c r="L152" s="75">
        <f>+'Cons spec tot e finalizzati'!R152-'Cons spec tot e finalizzati'!S152</f>
        <v>973</v>
      </c>
      <c r="M152" s="75">
        <f>+'Cons spec tot e finalizzati'!T152-'Cons spec tot e finalizzati'!U152</f>
        <v>1137</v>
      </c>
      <c r="N152" s="75">
        <f>+'Cons spec tot e finalizzati'!V152-'Cons spec tot e finalizzati'!W152</f>
        <v>825</v>
      </c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  <c r="AH152" s="231"/>
      <c r="AI152" s="231"/>
    </row>
    <row r="153" spans="1:35" s="2" customFormat="1" ht="12.75">
      <c r="A153" s="57"/>
      <c r="B153" s="58"/>
      <c r="C153" s="28" t="s">
        <v>13</v>
      </c>
      <c r="D153" s="59"/>
      <c r="E153" s="62"/>
      <c r="F153" s="100">
        <f>+'Cons spec tot e finalizzati'!F153-'Cons spec tot e finalizzati'!G153</f>
        <v>3623</v>
      </c>
      <c r="G153" s="100">
        <f>+'Cons spec tot e finalizzati'!H153-'Cons spec tot e finalizzati'!I153</f>
        <v>4642</v>
      </c>
      <c r="H153" s="100">
        <f>+'Cons spec tot e finalizzati'!J153-'Cons spec tot e finalizzati'!K153</f>
        <v>4359</v>
      </c>
      <c r="I153" s="100">
        <f>+'Cons spec tot e finalizzati'!L153-'Cons spec tot e finalizzati'!M153</f>
        <v>3698</v>
      </c>
      <c r="J153" s="100">
        <f>+'Cons spec tot e finalizzati'!N153-'Cons spec tot e finalizzati'!O153</f>
        <v>3969</v>
      </c>
      <c r="K153" s="100">
        <f>+'Cons spec tot e finalizzati'!P153-'Cons spec tot e finalizzati'!Q153</f>
        <v>5001</v>
      </c>
      <c r="L153" s="100">
        <f>+'Cons spec tot e finalizzati'!R153-'Cons spec tot e finalizzati'!S153</f>
        <v>4210</v>
      </c>
      <c r="M153" s="100">
        <f>+'Cons spec tot e finalizzati'!T153-'Cons spec tot e finalizzati'!U153</f>
        <v>4329</v>
      </c>
      <c r="N153" s="100">
        <f>+'Cons spec tot e finalizzati'!V153-'Cons spec tot e finalizzati'!W153</f>
        <v>5307</v>
      </c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</row>
    <row r="154" spans="1:35" s="86" customFormat="1" ht="12.75">
      <c r="A154" s="188" t="s">
        <v>76</v>
      </c>
      <c r="B154" s="186"/>
      <c r="C154" s="186"/>
      <c r="D154" s="187"/>
      <c r="F154" s="107">
        <f>+'Cons spec tot e finalizzati'!F154-'Cons spec tot e finalizzati'!G154</f>
        <v>1350</v>
      </c>
      <c r="G154" s="107">
        <f>+'Cons spec tot e finalizzati'!H154-'Cons spec tot e finalizzati'!I154</f>
        <v>1545</v>
      </c>
      <c r="H154" s="107">
        <f>+'Cons spec tot e finalizzati'!J154-'Cons spec tot e finalizzati'!K154</f>
        <v>1692</v>
      </c>
      <c r="I154" s="107">
        <f>+'Cons spec tot e finalizzati'!L154-'Cons spec tot e finalizzati'!M154</f>
        <v>1557</v>
      </c>
      <c r="J154" s="107">
        <f>+'Cons spec tot e finalizzati'!N154-'Cons spec tot e finalizzati'!O154</f>
        <v>1766.769603412747</v>
      </c>
      <c r="K154" s="107">
        <f>+'Cons spec tot e finalizzati'!P154-'Cons spec tot e finalizzati'!Q154</f>
        <v>1729</v>
      </c>
      <c r="L154" s="107">
        <f>+'Cons spec tot e finalizzati'!R154-'Cons spec tot e finalizzati'!S154</f>
        <v>1466</v>
      </c>
      <c r="M154" s="107">
        <f>+'Cons spec tot e finalizzati'!T154-'Cons spec tot e finalizzati'!U154</f>
        <v>1214</v>
      </c>
      <c r="N154" s="107">
        <f>+'Cons spec tot e finalizzati'!V154-'Cons spec tot e finalizzati'!W154</f>
        <v>1108</v>
      </c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33"/>
    </row>
    <row r="155" spans="1:35" s="2" customFormat="1" ht="12.75">
      <c r="A155" s="46"/>
      <c r="B155" s="170" t="s">
        <v>151</v>
      </c>
      <c r="C155" s="170"/>
      <c r="D155" s="171"/>
      <c r="F155" s="113">
        <f>+'Cons spec tot e finalizzati'!F155-'Cons spec tot e finalizzati'!G155</f>
        <v>999</v>
      </c>
      <c r="G155" s="113">
        <f>+'Cons spec tot e finalizzati'!H155-'Cons spec tot e finalizzati'!I155</f>
        <v>1330</v>
      </c>
      <c r="H155" s="113">
        <f>+'Cons spec tot e finalizzati'!J155-'Cons spec tot e finalizzati'!K155</f>
        <v>1417</v>
      </c>
      <c r="I155" s="113">
        <f>+'Cons spec tot e finalizzati'!L155-'Cons spec tot e finalizzati'!M155</f>
        <v>1272</v>
      </c>
      <c r="J155" s="113">
        <f>+'Cons spec tot e finalizzati'!N155-'Cons spec tot e finalizzati'!O155</f>
        <v>1568.769603412747</v>
      </c>
      <c r="K155" s="113">
        <f>+'Cons spec tot e finalizzati'!P155-'Cons spec tot e finalizzati'!Q155</f>
        <v>1060</v>
      </c>
      <c r="L155" s="113">
        <f>+'Cons spec tot e finalizzati'!R155-'Cons spec tot e finalizzati'!S155</f>
        <v>863</v>
      </c>
      <c r="M155" s="113">
        <f>+'Cons spec tot e finalizzati'!T155-'Cons spec tot e finalizzati'!U155</f>
        <v>724</v>
      </c>
      <c r="N155" s="113">
        <f>+'Cons spec tot e finalizzati'!V155-'Cons spec tot e finalizzati'!W155</f>
        <v>728</v>
      </c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</row>
    <row r="156" spans="1:35" s="2" customFormat="1" ht="12.75">
      <c r="A156" s="13"/>
      <c r="B156" s="14"/>
      <c r="C156" s="14" t="s">
        <v>9</v>
      </c>
      <c r="D156" s="30"/>
      <c r="E156"/>
      <c r="F156" s="103">
        <f>+'Cons spec tot e finalizzati'!F156-'Cons spec tot e finalizzati'!G156</f>
        <v>790</v>
      </c>
      <c r="G156" s="85">
        <f>+'Cons spec tot e finalizzati'!H156-'Cons spec tot e finalizzati'!I156</f>
        <v>891</v>
      </c>
      <c r="H156" s="103">
        <f>+'Cons spec tot e finalizzati'!J156-'Cons spec tot e finalizzati'!K156</f>
        <v>1127</v>
      </c>
      <c r="I156" s="85">
        <f>+'Cons spec tot e finalizzati'!L156-'Cons spec tot e finalizzati'!M156</f>
        <v>604</v>
      </c>
      <c r="J156" s="103">
        <f>+'Cons spec tot e finalizzati'!N156-'Cons spec tot e finalizzati'!O156</f>
        <v>559</v>
      </c>
      <c r="K156" s="103">
        <f>+'Cons spec tot e finalizzati'!P156-'Cons spec tot e finalizzati'!Q156</f>
        <v>33</v>
      </c>
      <c r="L156" s="103">
        <f>+'Cons spec tot e finalizzati'!R156-'Cons spec tot e finalizzati'!S156</f>
        <v>5</v>
      </c>
      <c r="M156" s="103">
        <f>+'Cons spec tot e finalizzati'!T156-'Cons spec tot e finalizzati'!U156</f>
        <v>36</v>
      </c>
      <c r="N156" s="103">
        <f>+'Cons spec tot e finalizzati'!V156-'Cons spec tot e finalizzati'!W156</f>
        <v>86</v>
      </c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  <c r="AI156" s="231"/>
    </row>
    <row r="157" spans="1:35" s="2" customFormat="1" ht="12.75">
      <c r="A157" s="13"/>
      <c r="B157" s="14"/>
      <c r="C157" s="14" t="s">
        <v>116</v>
      </c>
      <c r="D157" s="30"/>
      <c r="E157"/>
      <c r="F157" s="103">
        <f>+'Cons spec tot e finalizzati'!F157-'Cons spec tot e finalizzati'!G157</f>
        <v>0</v>
      </c>
      <c r="G157" s="85">
        <f>+'Cons spec tot e finalizzati'!H157-'Cons spec tot e finalizzati'!I157</f>
        <v>0</v>
      </c>
      <c r="H157" s="103">
        <f>+'Cons spec tot e finalizzati'!J157-'Cons spec tot e finalizzati'!K157</f>
        <v>0</v>
      </c>
      <c r="I157" s="85">
        <f>+'Cons spec tot e finalizzati'!L157-'Cons spec tot e finalizzati'!M157</f>
        <v>491</v>
      </c>
      <c r="J157" s="103">
        <f>+'Cons spec tot e finalizzati'!N157-'Cons spec tot e finalizzati'!O157</f>
        <v>694.7696034127472</v>
      </c>
      <c r="K157" s="103">
        <f>+'Cons spec tot e finalizzati'!P157-'Cons spec tot e finalizzati'!Q157</f>
        <v>709</v>
      </c>
      <c r="L157" s="103">
        <f>+'Cons spec tot e finalizzati'!R157-'Cons spec tot e finalizzati'!S157</f>
        <v>587</v>
      </c>
      <c r="M157" s="103">
        <f>+'Cons spec tot e finalizzati'!T157-'Cons spec tot e finalizzati'!U157</f>
        <v>439</v>
      </c>
      <c r="N157" s="103">
        <f>+'Cons spec tot e finalizzati'!V157-'Cons spec tot e finalizzati'!W157</f>
        <v>552</v>
      </c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  <c r="AH157" s="231"/>
      <c r="AI157" s="231"/>
    </row>
    <row r="158" spans="1:35" s="2" customFormat="1" ht="12.75">
      <c r="A158" s="48"/>
      <c r="C158" s="40" t="s">
        <v>2</v>
      </c>
      <c r="D158" s="47"/>
      <c r="F158" s="75">
        <f>+'Cons spec tot e finalizzati'!F158-'Cons spec tot e finalizzati'!G158</f>
        <v>209</v>
      </c>
      <c r="G158" s="75">
        <f>+'Cons spec tot e finalizzati'!H158-'Cons spec tot e finalizzati'!I158</f>
        <v>439</v>
      </c>
      <c r="H158" s="75">
        <f>+'Cons spec tot e finalizzati'!J158-'Cons spec tot e finalizzati'!K158</f>
        <v>290</v>
      </c>
      <c r="I158" s="85">
        <f>+'Cons spec tot e finalizzati'!L158-'Cons spec tot e finalizzati'!M158</f>
        <v>177</v>
      </c>
      <c r="J158" s="82">
        <f>+'Cons spec tot e finalizzati'!N158-'Cons spec tot e finalizzati'!O158</f>
        <v>315</v>
      </c>
      <c r="K158" s="82">
        <f>+'Cons spec tot e finalizzati'!P158-'Cons spec tot e finalizzati'!Q158</f>
        <v>318</v>
      </c>
      <c r="L158" s="82">
        <f>+'Cons spec tot e finalizzati'!R158-'Cons spec tot e finalizzati'!S158</f>
        <v>271</v>
      </c>
      <c r="M158" s="82">
        <f>+'Cons spec tot e finalizzati'!T158-'Cons spec tot e finalizzati'!U158</f>
        <v>249</v>
      </c>
      <c r="N158" s="82">
        <f>+'Cons spec tot e finalizzati'!V158-'Cons spec tot e finalizzati'!W158</f>
        <v>90</v>
      </c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</row>
    <row r="159" spans="1:35" s="2" customFormat="1" ht="12.75">
      <c r="A159" s="13"/>
      <c r="B159" s="193" t="s">
        <v>153</v>
      </c>
      <c r="C159" s="177"/>
      <c r="D159" s="178"/>
      <c r="E159"/>
      <c r="F159" s="115">
        <f>+'Cons spec tot e finalizzati'!F159-'Cons spec tot e finalizzati'!G159</f>
        <v>0</v>
      </c>
      <c r="G159" s="115">
        <f>+'Cons spec tot e finalizzati'!H159-'Cons spec tot e finalizzati'!I159</f>
        <v>0</v>
      </c>
      <c r="H159" s="115">
        <f>+'Cons spec tot e finalizzati'!J159-'Cons spec tot e finalizzati'!K159</f>
        <v>0</v>
      </c>
      <c r="I159" s="115">
        <f>+'Cons spec tot e finalizzati'!L159-'Cons spec tot e finalizzati'!M159</f>
        <v>0</v>
      </c>
      <c r="J159" s="115">
        <f>+'Cons spec tot e finalizzati'!N159-'Cons spec tot e finalizzati'!O159</f>
        <v>0</v>
      </c>
      <c r="K159" s="115">
        <f>+'Cons spec tot e finalizzati'!P159-'Cons spec tot e finalizzati'!Q159</f>
        <v>212</v>
      </c>
      <c r="L159" s="115">
        <f>+'Cons spec tot e finalizzati'!R159-'Cons spec tot e finalizzati'!S159</f>
        <v>85</v>
      </c>
      <c r="M159" s="115">
        <f>+'Cons spec tot e finalizzati'!T159-'Cons spec tot e finalizzati'!U159</f>
        <v>43</v>
      </c>
      <c r="N159" s="115">
        <f>+'Cons spec tot e finalizzati'!V159-'Cons spec tot e finalizzati'!W159</f>
        <v>52</v>
      </c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  <c r="AI159" s="231"/>
    </row>
    <row r="160" spans="1:35" s="2" customFormat="1" ht="12.75">
      <c r="A160" s="13"/>
      <c r="B160" s="8"/>
      <c r="C160" s="40" t="s">
        <v>9</v>
      </c>
      <c r="D160" s="30"/>
      <c r="E160"/>
      <c r="F160" s="82">
        <f>+'Cons spec tot e finalizzati'!F160-'Cons spec tot e finalizzati'!G160</f>
        <v>0</v>
      </c>
      <c r="G160" s="82">
        <f>+'Cons spec tot e finalizzati'!H160-'Cons spec tot e finalizzati'!I160</f>
        <v>0</v>
      </c>
      <c r="H160" s="75">
        <f>+'Cons spec tot e finalizzati'!J160-'Cons spec tot e finalizzati'!K160</f>
        <v>0</v>
      </c>
      <c r="I160" s="85">
        <f>+'Cons spec tot e finalizzati'!L160-'Cons spec tot e finalizzati'!M160</f>
        <v>0</v>
      </c>
      <c r="J160" s="82">
        <f>+'Cons spec tot e finalizzati'!N160-'Cons spec tot e finalizzati'!O160</f>
        <v>0</v>
      </c>
      <c r="K160" s="82">
        <f>+'Cons spec tot e finalizzati'!P160-'Cons spec tot e finalizzati'!Q160</f>
        <v>190</v>
      </c>
      <c r="L160" s="82">
        <f>+'Cons spec tot e finalizzati'!R160-'Cons spec tot e finalizzati'!S160</f>
        <v>80</v>
      </c>
      <c r="M160" s="82">
        <f>+'Cons spec tot e finalizzati'!T160-'Cons spec tot e finalizzati'!U160</f>
        <v>41</v>
      </c>
      <c r="N160" s="82">
        <f>+'Cons spec tot e finalizzati'!V160-'Cons spec tot e finalizzati'!W160</f>
        <v>52</v>
      </c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  <c r="AH160" s="231"/>
      <c r="AI160" s="231"/>
    </row>
    <row r="161" spans="1:35" s="2" customFormat="1" ht="12.75">
      <c r="A161" s="13"/>
      <c r="B161" s="8"/>
      <c r="C161" s="40" t="s">
        <v>118</v>
      </c>
      <c r="D161" s="30"/>
      <c r="E161"/>
      <c r="F161" s="82">
        <f>+'Cons spec tot e finalizzati'!F161-'Cons spec tot e finalizzati'!G161</f>
        <v>0</v>
      </c>
      <c r="G161" s="82">
        <f>+'Cons spec tot e finalizzati'!H161-'Cons spec tot e finalizzati'!I161</f>
        <v>0</v>
      </c>
      <c r="H161" s="75">
        <f>+'Cons spec tot e finalizzati'!J161-'Cons spec tot e finalizzati'!K161</f>
        <v>0</v>
      </c>
      <c r="I161" s="85">
        <f>+'Cons spec tot e finalizzati'!L161-'Cons spec tot e finalizzati'!M161</f>
        <v>0</v>
      </c>
      <c r="J161" s="82">
        <f>+'Cons spec tot e finalizzati'!N161-'Cons spec tot e finalizzati'!O161</f>
        <v>0</v>
      </c>
      <c r="K161" s="82">
        <f>+'Cons spec tot e finalizzati'!P161-'Cons spec tot e finalizzati'!Q161</f>
        <v>22</v>
      </c>
      <c r="L161" s="82">
        <f>+'Cons spec tot e finalizzati'!R161-'Cons spec tot e finalizzati'!S161</f>
        <v>5</v>
      </c>
      <c r="M161" s="82">
        <f>+'Cons spec tot e finalizzati'!T161-'Cons spec tot e finalizzati'!U161</f>
        <v>2</v>
      </c>
      <c r="N161" s="82">
        <f>+'Cons spec tot e finalizzati'!V161-'Cons spec tot e finalizzati'!W161</f>
        <v>0</v>
      </c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  <c r="AH161" s="231"/>
      <c r="AI161" s="231"/>
    </row>
    <row r="162" spans="1:35" s="2" customFormat="1" ht="12.75">
      <c r="A162" s="13"/>
      <c r="B162" s="193" t="s">
        <v>152</v>
      </c>
      <c r="C162"/>
      <c r="D162" s="204"/>
      <c r="E162"/>
      <c r="F162" s="115">
        <f>+'Cons spec tot e finalizzati'!F162-'Cons spec tot e finalizzati'!G162</f>
        <v>351</v>
      </c>
      <c r="G162" s="115">
        <f>+'Cons spec tot e finalizzati'!H162-'Cons spec tot e finalizzati'!I162</f>
        <v>215</v>
      </c>
      <c r="H162" s="115">
        <f>+'Cons spec tot e finalizzati'!J162-'Cons spec tot e finalizzati'!K162</f>
        <v>275</v>
      </c>
      <c r="I162" s="115">
        <f>+'Cons spec tot e finalizzati'!L162-'Cons spec tot e finalizzati'!M162</f>
        <v>285</v>
      </c>
      <c r="J162" s="115">
        <f>+'Cons spec tot e finalizzati'!N162-'Cons spec tot e finalizzati'!O162</f>
        <v>198</v>
      </c>
      <c r="K162" s="115">
        <f>+'Cons spec tot e finalizzati'!P162-'Cons spec tot e finalizzati'!Q162</f>
        <v>457</v>
      </c>
      <c r="L162" s="115">
        <f>+'Cons spec tot e finalizzati'!R162-'Cons spec tot e finalizzati'!S162</f>
        <v>518</v>
      </c>
      <c r="M162" s="115">
        <f>+'Cons spec tot e finalizzati'!T162-'Cons spec tot e finalizzati'!U162</f>
        <v>447</v>
      </c>
      <c r="N162" s="115">
        <f>+'Cons spec tot e finalizzati'!V162-'Cons spec tot e finalizzati'!W162</f>
        <v>328</v>
      </c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231"/>
      <c r="AC162" s="231"/>
      <c r="AD162" s="231"/>
      <c r="AE162" s="231"/>
      <c r="AF162" s="231"/>
      <c r="AG162" s="231"/>
      <c r="AH162" s="231"/>
      <c r="AI162" s="231"/>
    </row>
    <row r="163" spans="1:35" s="2" customFormat="1" ht="12.75">
      <c r="A163" s="13"/>
      <c r="B163" s="8"/>
      <c r="C163" s="40" t="s">
        <v>9</v>
      </c>
      <c r="D163" s="30"/>
      <c r="E163"/>
      <c r="F163" s="82">
        <f>+'Cons spec tot e finalizzati'!F163-'Cons spec tot e finalizzati'!G163</f>
        <v>0</v>
      </c>
      <c r="G163" s="82">
        <f>+'Cons spec tot e finalizzati'!H163-'Cons spec tot e finalizzati'!I163</f>
        <v>0</v>
      </c>
      <c r="H163" s="75">
        <f>+'Cons spec tot e finalizzati'!J163-'Cons spec tot e finalizzati'!K163</f>
        <v>0</v>
      </c>
      <c r="I163" s="85">
        <f>+'Cons spec tot e finalizzati'!L163-'Cons spec tot e finalizzati'!M163</f>
        <v>0</v>
      </c>
      <c r="J163" s="82">
        <f>+'Cons spec tot e finalizzati'!N163-'Cons spec tot e finalizzati'!O163</f>
        <v>0</v>
      </c>
      <c r="K163" s="82">
        <f>+'Cons spec tot e finalizzati'!P163-'Cons spec tot e finalizzati'!Q163</f>
        <v>115</v>
      </c>
      <c r="L163" s="82">
        <f>+'Cons spec tot e finalizzati'!R163-'Cons spec tot e finalizzati'!S163</f>
        <v>158</v>
      </c>
      <c r="M163" s="82">
        <f>+'Cons spec tot e finalizzati'!T163-'Cons spec tot e finalizzati'!U163</f>
        <v>163</v>
      </c>
      <c r="N163" s="82">
        <f>+'Cons spec tot e finalizzati'!V163-'Cons spec tot e finalizzati'!W163</f>
        <v>139</v>
      </c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231"/>
      <c r="AH163" s="231"/>
      <c r="AI163" s="231"/>
    </row>
    <row r="164" spans="1:35" s="2" customFormat="1" ht="12.75">
      <c r="A164" s="13"/>
      <c r="B164" s="8"/>
      <c r="C164" s="40" t="s">
        <v>33</v>
      </c>
      <c r="D164" s="30"/>
      <c r="E164"/>
      <c r="F164" s="82">
        <f>+'Cons spec tot e finalizzati'!F164-'Cons spec tot e finalizzati'!G164</f>
        <v>193</v>
      </c>
      <c r="G164" s="82">
        <f>+'Cons spec tot e finalizzati'!H164-'Cons spec tot e finalizzati'!I164</f>
        <v>187</v>
      </c>
      <c r="H164" s="75">
        <f>+'Cons spec tot e finalizzati'!J164-'Cons spec tot e finalizzati'!K164</f>
        <v>262</v>
      </c>
      <c r="I164" s="85">
        <f>+'Cons spec tot e finalizzati'!L164-'Cons spec tot e finalizzati'!M164</f>
        <v>275</v>
      </c>
      <c r="J164" s="82">
        <f>+'Cons spec tot e finalizzati'!N164-'Cons spec tot e finalizzati'!O164</f>
        <v>187</v>
      </c>
      <c r="K164" s="82">
        <f>+'Cons spec tot e finalizzati'!P164-'Cons spec tot e finalizzati'!Q164</f>
        <v>233</v>
      </c>
      <c r="L164" s="82">
        <f>+'Cons spec tot e finalizzati'!R164-'Cons spec tot e finalizzati'!S164</f>
        <v>185</v>
      </c>
      <c r="M164" s="82">
        <f>+'Cons spec tot e finalizzati'!T164-'Cons spec tot e finalizzati'!U164</f>
        <v>145</v>
      </c>
      <c r="N164" s="82">
        <f>+'Cons spec tot e finalizzati'!V164-'Cons spec tot e finalizzati'!W164</f>
        <v>19</v>
      </c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1"/>
    </row>
    <row r="165" spans="1:35" s="2" customFormat="1" ht="12.75">
      <c r="A165" s="13"/>
      <c r="B165" s="8"/>
      <c r="C165" s="40" t="s">
        <v>34</v>
      </c>
      <c r="D165" s="30"/>
      <c r="E165"/>
      <c r="F165" s="82">
        <f>+'Cons spec tot e finalizzati'!F165-'Cons spec tot e finalizzati'!G165</f>
        <v>10</v>
      </c>
      <c r="G165" s="82">
        <f>+'Cons spec tot e finalizzati'!H165-'Cons spec tot e finalizzati'!I165</f>
        <v>11</v>
      </c>
      <c r="H165" s="75">
        <f>+'Cons spec tot e finalizzati'!J165-'Cons spec tot e finalizzati'!K165</f>
        <v>13</v>
      </c>
      <c r="I165" s="85">
        <f>+'Cons spec tot e finalizzati'!L165-'Cons spec tot e finalizzati'!M165</f>
        <v>10</v>
      </c>
      <c r="J165" s="82">
        <f>+'Cons spec tot e finalizzati'!N165-'Cons spec tot e finalizzati'!O165</f>
        <v>11</v>
      </c>
      <c r="K165" s="82">
        <f>+'Cons spec tot e finalizzati'!P165-'Cons spec tot e finalizzati'!Q165</f>
        <v>7</v>
      </c>
      <c r="L165" s="82">
        <f>+'Cons spec tot e finalizzati'!R165-'Cons spec tot e finalizzati'!S165</f>
        <v>7</v>
      </c>
      <c r="M165" s="82">
        <f>+'Cons spec tot e finalizzati'!T165-'Cons spec tot e finalizzati'!U165</f>
        <v>8</v>
      </c>
      <c r="N165" s="82">
        <f>+'Cons spec tot e finalizzati'!V165-'Cons spec tot e finalizzati'!W165</f>
        <v>11</v>
      </c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31"/>
      <c r="AH165" s="231"/>
      <c r="AI165" s="231"/>
    </row>
    <row r="166" spans="1:35" s="2" customFormat="1" ht="12.75">
      <c r="A166" s="13"/>
      <c r="B166" s="8"/>
      <c r="C166" s="40" t="s">
        <v>117</v>
      </c>
      <c r="D166" s="30"/>
      <c r="E166"/>
      <c r="F166" s="82">
        <f>+'Cons spec tot e finalizzati'!F166-'Cons spec tot e finalizzati'!G166</f>
        <v>148</v>
      </c>
      <c r="G166" s="82">
        <f>+'Cons spec tot e finalizzati'!H166-'Cons spec tot e finalizzati'!I166</f>
        <v>17</v>
      </c>
      <c r="H166" s="75">
        <f>+'Cons spec tot e finalizzati'!J166-'Cons spec tot e finalizzati'!K166</f>
        <v>0</v>
      </c>
      <c r="I166" s="85">
        <f>+'Cons spec tot e finalizzati'!L166-'Cons spec tot e finalizzati'!M166</f>
        <v>0</v>
      </c>
      <c r="J166" s="82">
        <f>+'Cons spec tot e finalizzati'!N166-'Cons spec tot e finalizzati'!O166</f>
        <v>0</v>
      </c>
      <c r="K166" s="82">
        <f>+'Cons spec tot e finalizzati'!P166-'Cons spec tot e finalizzati'!Q166</f>
        <v>102</v>
      </c>
      <c r="L166" s="82">
        <f>+'Cons spec tot e finalizzati'!R166-'Cons spec tot e finalizzati'!S166</f>
        <v>168</v>
      </c>
      <c r="M166" s="82">
        <f>+'Cons spec tot e finalizzati'!T166-'Cons spec tot e finalizzati'!U166</f>
        <v>131</v>
      </c>
      <c r="N166" s="82">
        <f>+'Cons spec tot e finalizzati'!V166-'Cons spec tot e finalizzati'!W166</f>
        <v>159</v>
      </c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  <c r="AI166" s="231"/>
    </row>
    <row r="167" spans="1:35" s="2" customFormat="1" ht="12.75">
      <c r="A167" s="192" t="s">
        <v>139</v>
      </c>
      <c r="B167" s="174"/>
      <c r="C167" s="174"/>
      <c r="D167" s="175"/>
      <c r="E167" s="38"/>
      <c r="F167" s="98">
        <f>+'Cons spec tot e finalizzati'!F167-'Cons spec tot e finalizzati'!G167</f>
        <v>1855</v>
      </c>
      <c r="G167" s="98">
        <f>+'Cons spec tot e finalizzati'!H167-'Cons spec tot e finalizzati'!I167</f>
        <v>2306</v>
      </c>
      <c r="H167" s="98">
        <f>+'Cons spec tot e finalizzati'!J167-'Cons spec tot e finalizzati'!K167</f>
        <v>2535</v>
      </c>
      <c r="I167" s="98">
        <f>+'Cons spec tot e finalizzati'!L167-'Cons spec tot e finalizzati'!M167</f>
        <v>3345</v>
      </c>
      <c r="J167" s="98">
        <f>+'Cons spec tot e finalizzati'!N167-'Cons spec tot e finalizzati'!O167</f>
        <v>3101</v>
      </c>
      <c r="K167" s="98">
        <f>+'Cons spec tot e finalizzati'!P167-'Cons spec tot e finalizzati'!Q167</f>
        <v>3006</v>
      </c>
      <c r="L167" s="98">
        <f>+'Cons spec tot e finalizzati'!R167-'Cons spec tot e finalizzati'!S167</f>
        <v>4384</v>
      </c>
      <c r="M167" s="98">
        <f>+'Cons spec tot e finalizzati'!T167-'Cons spec tot e finalizzati'!U167</f>
        <v>6668</v>
      </c>
      <c r="N167" s="98">
        <f>+'Cons spec tot e finalizzati'!V167-'Cons spec tot e finalizzati'!W167</f>
        <v>6523</v>
      </c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</row>
    <row r="168" spans="1:35" s="2" customFormat="1" ht="12.75">
      <c r="A168" s="68"/>
      <c r="B168" s="14" t="s">
        <v>28</v>
      </c>
      <c r="C168" s="15"/>
      <c r="D168" s="16"/>
      <c r="E168"/>
      <c r="F168" s="85">
        <f>+'Cons spec tot e finalizzati'!F168-'Cons spec tot e finalizzati'!G168</f>
        <v>529</v>
      </c>
      <c r="G168" s="85">
        <f>+'Cons spec tot e finalizzati'!H168-'Cons spec tot e finalizzati'!I168</f>
        <v>969</v>
      </c>
      <c r="H168" s="103">
        <f>+'Cons spec tot e finalizzati'!J168-'Cons spec tot e finalizzati'!K168</f>
        <v>754</v>
      </c>
      <c r="I168" s="85">
        <f>+'Cons spec tot e finalizzati'!L168-'Cons spec tot e finalizzati'!M168</f>
        <v>711</v>
      </c>
      <c r="J168" s="85">
        <f>+'Cons spec tot e finalizzati'!N168-'Cons spec tot e finalizzati'!O168</f>
        <v>1413</v>
      </c>
      <c r="K168" s="85">
        <f>+'Cons spec tot e finalizzati'!P168-'Cons spec tot e finalizzati'!Q168</f>
        <v>1010</v>
      </c>
      <c r="L168" s="85">
        <f>+'Cons spec tot e finalizzati'!R168-'Cons spec tot e finalizzati'!S168</f>
        <v>1281</v>
      </c>
      <c r="M168" s="85">
        <f>+'Cons spec tot e finalizzati'!T168-'Cons spec tot e finalizzati'!U168</f>
        <v>1251</v>
      </c>
      <c r="N168" s="85">
        <f>+'Cons spec tot e finalizzati'!V168-'Cons spec tot e finalizzati'!W168</f>
        <v>1313</v>
      </c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  <c r="AH168" s="231"/>
      <c r="AI168" s="231"/>
    </row>
    <row r="169" spans="1:35" s="2" customFormat="1" ht="12.75">
      <c r="A169" s="68"/>
      <c r="B169" s="14" t="s">
        <v>5</v>
      </c>
      <c r="C169" s="15"/>
      <c r="D169" s="16"/>
      <c r="E169"/>
      <c r="F169" s="85">
        <f>+'Cons spec tot e finalizzati'!F169-'Cons spec tot e finalizzati'!G169</f>
        <v>98</v>
      </c>
      <c r="G169" s="85">
        <f>+'Cons spec tot e finalizzati'!H169-'Cons spec tot e finalizzati'!I169</f>
        <v>98</v>
      </c>
      <c r="H169" s="103">
        <f>+'Cons spec tot e finalizzati'!J169-'Cons spec tot e finalizzati'!K169</f>
        <v>160</v>
      </c>
      <c r="I169" s="85">
        <f>+'Cons spec tot e finalizzati'!L169-'Cons spec tot e finalizzati'!M169</f>
        <v>124</v>
      </c>
      <c r="J169" s="85">
        <f>+'Cons spec tot e finalizzati'!N169-'Cons spec tot e finalizzati'!O169</f>
        <v>115</v>
      </c>
      <c r="K169" s="85">
        <f>+'Cons spec tot e finalizzati'!P169-'Cons spec tot e finalizzati'!Q169</f>
        <v>92</v>
      </c>
      <c r="L169" s="85">
        <f>+'Cons spec tot e finalizzati'!R169-'Cons spec tot e finalizzati'!S169</f>
        <v>87</v>
      </c>
      <c r="M169" s="85">
        <f>+'Cons spec tot e finalizzati'!T169-'Cons spec tot e finalizzati'!U169</f>
        <v>90</v>
      </c>
      <c r="N169" s="85">
        <f>+'Cons spec tot e finalizzati'!V169-'Cons spec tot e finalizzati'!W169</f>
        <v>89</v>
      </c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</row>
    <row r="170" spans="1:35" s="2" customFormat="1" ht="12.75">
      <c r="A170" s="23"/>
      <c r="B170" s="14" t="s">
        <v>123</v>
      </c>
      <c r="C170" s="15"/>
      <c r="D170" s="16"/>
      <c r="E170"/>
      <c r="F170" s="85">
        <f>+'Cons spec tot e finalizzati'!F170-'Cons spec tot e finalizzati'!G170</f>
        <v>0</v>
      </c>
      <c r="G170" s="85">
        <f>+'Cons spec tot e finalizzati'!H170-'Cons spec tot e finalizzati'!I170</f>
        <v>0</v>
      </c>
      <c r="H170" s="103">
        <f>+'Cons spec tot e finalizzati'!J170-'Cons spec tot e finalizzati'!K170</f>
        <v>0</v>
      </c>
      <c r="I170" s="85">
        <f>+'Cons spec tot e finalizzati'!L170-'Cons spec tot e finalizzati'!M170</f>
        <v>0</v>
      </c>
      <c r="J170" s="85">
        <f>+'Cons spec tot e finalizzati'!N170-'Cons spec tot e finalizzati'!O170</f>
        <v>0</v>
      </c>
      <c r="K170" s="85">
        <f>+'Cons spec tot e finalizzati'!P170-'Cons spec tot e finalizzati'!Q170</f>
        <v>142</v>
      </c>
      <c r="L170" s="85">
        <f>+'Cons spec tot e finalizzati'!R170-'Cons spec tot e finalizzati'!S170</f>
        <v>77</v>
      </c>
      <c r="M170" s="85">
        <f>+'Cons spec tot e finalizzati'!T170-'Cons spec tot e finalizzati'!U170</f>
        <v>120</v>
      </c>
      <c r="N170" s="85">
        <f>+'Cons spec tot e finalizzati'!V170-'Cons spec tot e finalizzati'!W170</f>
        <v>130</v>
      </c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  <c r="AH170" s="231"/>
      <c r="AI170" s="231"/>
    </row>
    <row r="171" spans="1:35" s="2" customFormat="1" ht="12.75">
      <c r="A171" s="43"/>
      <c r="B171" s="40" t="s">
        <v>124</v>
      </c>
      <c r="C171" s="44"/>
      <c r="D171" s="45"/>
      <c r="F171" s="82">
        <f>+'Cons spec tot e finalizzati'!F171-'Cons spec tot e finalizzati'!G171</f>
        <v>0</v>
      </c>
      <c r="G171" s="82">
        <f>+'Cons spec tot e finalizzati'!H171-'Cons spec tot e finalizzati'!I171</f>
        <v>723</v>
      </c>
      <c r="H171" s="75">
        <f>+'Cons spec tot e finalizzati'!J171-'Cons spec tot e finalizzati'!K171</f>
        <v>1163</v>
      </c>
      <c r="I171" s="85">
        <f>+'Cons spec tot e finalizzati'!L171-'Cons spec tot e finalizzati'!M171</f>
        <v>1963</v>
      </c>
      <c r="J171" s="82">
        <f>+'Cons spec tot e finalizzati'!N171-'Cons spec tot e finalizzati'!O171</f>
        <v>659</v>
      </c>
      <c r="K171" s="82">
        <f>+'Cons spec tot e finalizzati'!P171-'Cons spec tot e finalizzati'!Q171</f>
        <v>1085</v>
      </c>
      <c r="L171" s="82">
        <f>+'Cons spec tot e finalizzati'!R171-'Cons spec tot e finalizzati'!S171</f>
        <v>2072</v>
      </c>
      <c r="M171" s="82">
        <f>+'Cons spec tot e finalizzati'!T171-'Cons spec tot e finalizzati'!U171</f>
        <v>4200</v>
      </c>
      <c r="N171" s="82">
        <f>+'Cons spec tot e finalizzati'!V171-'Cons spec tot e finalizzati'!W171</f>
        <v>3789</v>
      </c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</row>
    <row r="172" spans="1:35" s="2" customFormat="1" ht="12.75">
      <c r="A172" s="93"/>
      <c r="B172" s="58" t="s">
        <v>125</v>
      </c>
      <c r="C172" s="55"/>
      <c r="D172" s="56"/>
      <c r="F172" s="112">
        <f>+'Cons spec tot e finalizzati'!F172-'Cons spec tot e finalizzati'!G172</f>
        <v>1228</v>
      </c>
      <c r="G172" s="112">
        <f>+'Cons spec tot e finalizzati'!H172-'Cons spec tot e finalizzati'!I172</f>
        <v>516</v>
      </c>
      <c r="H172" s="106">
        <f>+'Cons spec tot e finalizzati'!J172-'Cons spec tot e finalizzati'!K172</f>
        <v>459</v>
      </c>
      <c r="I172" s="100">
        <f>+'Cons spec tot e finalizzati'!L172-'Cons spec tot e finalizzati'!M172</f>
        <v>547</v>
      </c>
      <c r="J172" s="112">
        <f>+'Cons spec tot e finalizzati'!N172-'Cons spec tot e finalizzati'!O172</f>
        <v>914</v>
      </c>
      <c r="K172" s="112">
        <f>+'Cons spec tot e finalizzati'!P172-'Cons spec tot e finalizzati'!Q172</f>
        <v>677</v>
      </c>
      <c r="L172" s="112">
        <f>+'Cons spec tot e finalizzati'!R172-'Cons spec tot e finalizzati'!S172</f>
        <v>867</v>
      </c>
      <c r="M172" s="112">
        <f>+'Cons spec tot e finalizzati'!T172-'Cons spec tot e finalizzati'!U172</f>
        <v>1007</v>
      </c>
      <c r="N172" s="112">
        <f>+'Cons spec tot e finalizzati'!V172-'Cons spec tot e finalizzati'!W172</f>
        <v>1202</v>
      </c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</row>
    <row r="173" spans="1:35" s="2" customFormat="1" ht="12.75">
      <c r="A173" s="173" t="s">
        <v>77</v>
      </c>
      <c r="B173" s="35"/>
      <c r="C173" s="35"/>
      <c r="D173" s="36"/>
      <c r="E173" s="38"/>
      <c r="F173" s="98">
        <f>+'Cons spec tot e finalizzati'!F173-'Cons spec tot e finalizzati'!G173</f>
        <v>20865</v>
      </c>
      <c r="G173" s="98">
        <f>+'Cons spec tot e finalizzati'!H173-'Cons spec tot e finalizzati'!I173</f>
        <v>23377</v>
      </c>
      <c r="H173" s="98">
        <f>+'Cons spec tot e finalizzati'!J173-'Cons spec tot e finalizzati'!K173</f>
        <v>25259</v>
      </c>
      <c r="I173" s="98">
        <f>+'Cons spec tot e finalizzati'!L173-'Cons spec tot e finalizzati'!M173</f>
        <v>26872.5</v>
      </c>
      <c r="J173" s="98">
        <f>+'Cons spec tot e finalizzati'!N173-'Cons spec tot e finalizzati'!O173</f>
        <v>28607.891094733688</v>
      </c>
      <c r="K173" s="98">
        <f>+'Cons spec tot e finalizzati'!P173-'Cons spec tot e finalizzati'!Q173</f>
        <v>30082</v>
      </c>
      <c r="L173" s="98">
        <f>+'Cons spec tot e finalizzati'!R173-'Cons spec tot e finalizzati'!S173</f>
        <v>31730</v>
      </c>
      <c r="M173" s="98">
        <f>+'Cons spec tot e finalizzati'!T173-'Cons spec tot e finalizzati'!U173</f>
        <v>31966</v>
      </c>
      <c r="N173" s="98">
        <f>+'Cons spec tot e finalizzati'!V173-'Cons spec tot e finalizzati'!W173</f>
        <v>33222</v>
      </c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31"/>
      <c r="AH173" s="231"/>
      <c r="AI173" s="231"/>
    </row>
    <row r="174" spans="1:35" s="2" customFormat="1" ht="12.75">
      <c r="A174" s="22"/>
      <c r="B174" s="17" t="s">
        <v>35</v>
      </c>
      <c r="C174" s="14"/>
      <c r="D174" s="21"/>
      <c r="E174"/>
      <c r="F174" s="117">
        <f>+'Cons spec tot e finalizzati'!F174-'Cons spec tot e finalizzati'!G174</f>
        <v>1315</v>
      </c>
      <c r="G174" s="117">
        <f>+'Cons spec tot e finalizzati'!H174-'Cons spec tot e finalizzati'!I174</f>
        <v>1477</v>
      </c>
      <c r="H174" s="117">
        <f>+'Cons spec tot e finalizzati'!J174-'Cons spec tot e finalizzati'!K174</f>
        <v>1496</v>
      </c>
      <c r="I174" s="117">
        <f>+'Cons spec tot e finalizzati'!L174-'Cons spec tot e finalizzati'!M174</f>
        <v>1577</v>
      </c>
      <c r="J174" s="117">
        <f>+'Cons spec tot e finalizzati'!N174-'Cons spec tot e finalizzati'!O174</f>
        <v>1657</v>
      </c>
      <c r="K174" s="117">
        <f>+'Cons spec tot e finalizzati'!P174-'Cons spec tot e finalizzati'!Q174</f>
        <v>1762</v>
      </c>
      <c r="L174" s="117">
        <f>+'Cons spec tot e finalizzati'!R174-'Cons spec tot e finalizzati'!S174</f>
        <v>1864</v>
      </c>
      <c r="M174" s="117">
        <f>+'Cons spec tot e finalizzati'!T174-'Cons spec tot e finalizzati'!U174</f>
        <v>1893</v>
      </c>
      <c r="N174" s="117">
        <f>+'Cons spec tot e finalizzati'!V174-'Cons spec tot e finalizzati'!W174</f>
        <v>2163</v>
      </c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  <c r="AH174" s="231"/>
      <c r="AI174" s="231"/>
    </row>
    <row r="175" spans="1:35" s="2" customFormat="1" ht="12.75">
      <c r="A175" s="22"/>
      <c r="B175" s="14"/>
      <c r="C175" s="14" t="s">
        <v>36</v>
      </c>
      <c r="D175" s="21"/>
      <c r="E175"/>
      <c r="F175" s="118">
        <f>+'Cons spec tot e finalizzati'!F175-'Cons spec tot e finalizzati'!G175</f>
        <v>50</v>
      </c>
      <c r="G175" s="118">
        <f>+'Cons spec tot e finalizzati'!H175-'Cons spec tot e finalizzati'!I175</f>
        <v>146</v>
      </c>
      <c r="H175" s="118">
        <f>+'Cons spec tot e finalizzati'!J175-'Cons spec tot e finalizzati'!K175</f>
        <v>156</v>
      </c>
      <c r="I175" s="118">
        <f>+'Cons spec tot e finalizzati'!L175-'Cons spec tot e finalizzati'!M175</f>
        <v>245</v>
      </c>
      <c r="J175" s="118">
        <f>+'Cons spec tot e finalizzati'!N175-'Cons spec tot e finalizzati'!O175</f>
        <v>262</v>
      </c>
      <c r="K175" s="118">
        <f>+'Cons spec tot e finalizzati'!P175-'Cons spec tot e finalizzati'!Q175</f>
        <v>281</v>
      </c>
      <c r="L175" s="118">
        <f>+'Cons spec tot e finalizzati'!R175-'Cons spec tot e finalizzati'!S175</f>
        <v>229</v>
      </c>
      <c r="M175" s="118">
        <f>+'Cons spec tot e finalizzati'!T175-'Cons spec tot e finalizzati'!U175</f>
        <v>259</v>
      </c>
      <c r="N175" s="118">
        <f>+'Cons spec tot e finalizzati'!V175-'Cons spec tot e finalizzati'!W175</f>
        <v>306</v>
      </c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31"/>
      <c r="AH175" s="231"/>
      <c r="AI175" s="231"/>
    </row>
    <row r="176" spans="1:35" s="2" customFormat="1" ht="12.75">
      <c r="A176" s="22"/>
      <c r="B176" s="14"/>
      <c r="C176" s="14" t="s">
        <v>37</v>
      </c>
      <c r="D176" s="21"/>
      <c r="E176"/>
      <c r="F176" s="118">
        <f>+'Cons spec tot e finalizzati'!F176-'Cons spec tot e finalizzati'!G176</f>
        <v>951</v>
      </c>
      <c r="G176" s="118">
        <f>+'Cons spec tot e finalizzati'!H176-'Cons spec tot e finalizzati'!I176</f>
        <v>972</v>
      </c>
      <c r="H176" s="118">
        <f>+'Cons spec tot e finalizzati'!J176-'Cons spec tot e finalizzati'!K176</f>
        <v>965</v>
      </c>
      <c r="I176" s="118">
        <f>+'Cons spec tot e finalizzati'!L176-'Cons spec tot e finalizzati'!M176</f>
        <v>943</v>
      </c>
      <c r="J176" s="118">
        <f>+'Cons spec tot e finalizzati'!N176-'Cons spec tot e finalizzati'!O176</f>
        <v>947</v>
      </c>
      <c r="K176" s="118">
        <f>+'Cons spec tot e finalizzati'!P176-'Cons spec tot e finalizzati'!Q176</f>
        <v>959</v>
      </c>
      <c r="L176" s="118">
        <f>+'Cons spec tot e finalizzati'!R176-'Cons spec tot e finalizzati'!S176</f>
        <v>1093</v>
      </c>
      <c r="M176" s="118">
        <f>+'Cons spec tot e finalizzati'!T176-'Cons spec tot e finalizzati'!U176</f>
        <v>1088</v>
      </c>
      <c r="N176" s="118">
        <f>+'Cons spec tot e finalizzati'!V176-'Cons spec tot e finalizzati'!W176</f>
        <v>1286</v>
      </c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  <c r="AH176" s="231"/>
      <c r="AI176" s="231"/>
    </row>
    <row r="177" spans="1:35" s="2" customFormat="1" ht="12.75">
      <c r="A177" s="22"/>
      <c r="B177" s="14"/>
      <c r="C177" s="14" t="s">
        <v>38</v>
      </c>
      <c r="D177" s="21"/>
      <c r="E177"/>
      <c r="F177" s="118">
        <f>+'Cons spec tot e finalizzati'!F177-'Cons spec tot e finalizzati'!G177</f>
        <v>0</v>
      </c>
      <c r="G177" s="118">
        <f>+'Cons spec tot e finalizzati'!H177-'Cons spec tot e finalizzati'!I177</f>
        <v>0</v>
      </c>
      <c r="H177" s="118">
        <f>+'Cons spec tot e finalizzati'!J177-'Cons spec tot e finalizzati'!K177</f>
        <v>0</v>
      </c>
      <c r="I177" s="118">
        <f>+'Cons spec tot e finalizzati'!L177-'Cons spec tot e finalizzati'!M177</f>
        <v>0</v>
      </c>
      <c r="J177" s="118">
        <f>+'Cons spec tot e finalizzati'!N177-'Cons spec tot e finalizzati'!O177</f>
        <v>0</v>
      </c>
      <c r="K177" s="118">
        <f>+'Cons spec tot e finalizzati'!P177-'Cons spec tot e finalizzati'!Q177</f>
        <v>7</v>
      </c>
      <c r="L177" s="118">
        <f>+'Cons spec tot e finalizzati'!R177-'Cons spec tot e finalizzati'!S177</f>
        <v>7</v>
      </c>
      <c r="M177" s="118">
        <f>+'Cons spec tot e finalizzati'!T177-'Cons spec tot e finalizzati'!U177</f>
        <v>1</v>
      </c>
      <c r="N177" s="118">
        <f>+'Cons spec tot e finalizzati'!V177-'Cons spec tot e finalizzati'!W177</f>
        <v>7</v>
      </c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</row>
    <row r="178" spans="1:35" s="2" customFormat="1" ht="13.5" customHeight="1">
      <c r="A178" s="22"/>
      <c r="B178" s="14"/>
      <c r="C178" s="14" t="s">
        <v>39</v>
      </c>
      <c r="D178" s="21"/>
      <c r="E178"/>
      <c r="F178" s="118">
        <f>+'Cons spec tot e finalizzati'!F178-'Cons spec tot e finalizzati'!G178</f>
        <v>13</v>
      </c>
      <c r="G178" s="118">
        <f>+'Cons spec tot e finalizzati'!H178-'Cons spec tot e finalizzati'!I178</f>
        <v>3</v>
      </c>
      <c r="H178" s="118">
        <f>+'Cons spec tot e finalizzati'!J178-'Cons spec tot e finalizzati'!K178</f>
        <v>18</v>
      </c>
      <c r="I178" s="118">
        <f>+'Cons spec tot e finalizzati'!L178-'Cons spec tot e finalizzati'!M178</f>
        <v>14</v>
      </c>
      <c r="J178" s="118">
        <f>+'Cons spec tot e finalizzati'!N178-'Cons spec tot e finalizzati'!O178</f>
        <v>15</v>
      </c>
      <c r="K178" s="118">
        <f>+'Cons spec tot e finalizzati'!P178-'Cons spec tot e finalizzati'!Q178</f>
        <v>15</v>
      </c>
      <c r="L178" s="118">
        <f>+'Cons spec tot e finalizzati'!R178-'Cons spec tot e finalizzati'!S178</f>
        <v>63</v>
      </c>
      <c r="M178" s="118">
        <f>+'Cons spec tot e finalizzati'!T178-'Cons spec tot e finalizzati'!U178</f>
        <v>66</v>
      </c>
      <c r="N178" s="118">
        <f>+'Cons spec tot e finalizzati'!V178-'Cons spec tot e finalizzati'!W178</f>
        <v>63</v>
      </c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</row>
    <row r="179" spans="1:35" s="2" customFormat="1" ht="12.75">
      <c r="A179" s="22"/>
      <c r="B179" s="14"/>
      <c r="C179" s="14" t="s">
        <v>154</v>
      </c>
      <c r="D179" s="21"/>
      <c r="E179"/>
      <c r="F179" s="118">
        <f>+'Cons spec tot e finalizzati'!F179-'Cons spec tot e finalizzati'!G179</f>
        <v>253</v>
      </c>
      <c r="G179" s="118">
        <f>+'Cons spec tot e finalizzati'!H179-'Cons spec tot e finalizzati'!I179</f>
        <v>282</v>
      </c>
      <c r="H179" s="118">
        <f>+'Cons spec tot e finalizzati'!J179-'Cons spec tot e finalizzati'!K179</f>
        <v>290</v>
      </c>
      <c r="I179" s="118">
        <f>+'Cons spec tot e finalizzati'!L179-'Cons spec tot e finalizzati'!M179</f>
        <v>297</v>
      </c>
      <c r="J179" s="118">
        <f>+'Cons spec tot e finalizzati'!N179-'Cons spec tot e finalizzati'!O179</f>
        <v>343</v>
      </c>
      <c r="K179" s="118">
        <f>+'Cons spec tot e finalizzati'!P179-'Cons spec tot e finalizzati'!Q179</f>
        <v>262</v>
      </c>
      <c r="L179" s="118">
        <f>+'Cons spec tot e finalizzati'!R179-'Cons spec tot e finalizzati'!S179</f>
        <v>256</v>
      </c>
      <c r="M179" s="118">
        <f>+'Cons spec tot e finalizzati'!T179-'Cons spec tot e finalizzati'!U179</f>
        <v>311</v>
      </c>
      <c r="N179" s="118">
        <f>+'Cons spec tot e finalizzati'!V179-'Cons spec tot e finalizzati'!W179</f>
        <v>330</v>
      </c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231"/>
      <c r="AC179" s="231"/>
      <c r="AD179" s="231"/>
      <c r="AE179" s="231"/>
      <c r="AF179" s="231"/>
      <c r="AG179" s="231"/>
      <c r="AH179" s="231"/>
      <c r="AI179" s="231"/>
    </row>
    <row r="180" spans="1:35" s="2" customFormat="1" ht="12.75">
      <c r="A180" s="22"/>
      <c r="B180" s="14"/>
      <c r="C180" s="14" t="s">
        <v>155</v>
      </c>
      <c r="D180" s="21"/>
      <c r="E180"/>
      <c r="F180" s="118">
        <f>+'Cons spec tot e finalizzati'!F180-'Cons spec tot e finalizzati'!G180</f>
        <v>48</v>
      </c>
      <c r="G180" s="118">
        <f>+'Cons spec tot e finalizzati'!H180-'Cons spec tot e finalizzati'!I180</f>
        <v>74</v>
      </c>
      <c r="H180" s="118">
        <f>+'Cons spec tot e finalizzati'!J180-'Cons spec tot e finalizzati'!K180</f>
        <v>67</v>
      </c>
      <c r="I180" s="118">
        <f>+'Cons spec tot e finalizzati'!L180-'Cons spec tot e finalizzati'!M180</f>
        <v>78</v>
      </c>
      <c r="J180" s="118">
        <f>+'Cons spec tot e finalizzati'!N180-'Cons spec tot e finalizzati'!O180</f>
        <v>89</v>
      </c>
      <c r="K180" s="118">
        <f>+'Cons spec tot e finalizzati'!P180-'Cons spec tot e finalizzati'!Q180</f>
        <v>238</v>
      </c>
      <c r="L180" s="118">
        <f>+'Cons spec tot e finalizzati'!R180-'Cons spec tot e finalizzati'!S180</f>
        <v>216</v>
      </c>
      <c r="M180" s="118">
        <f>+'Cons spec tot e finalizzati'!T180-'Cons spec tot e finalizzati'!U180</f>
        <v>168</v>
      </c>
      <c r="N180" s="118">
        <f>+'Cons spec tot e finalizzati'!V180-'Cons spec tot e finalizzati'!W180</f>
        <v>171</v>
      </c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  <c r="AA180" s="231"/>
      <c r="AB180" s="231"/>
      <c r="AC180" s="231"/>
      <c r="AD180" s="231"/>
      <c r="AE180" s="231"/>
      <c r="AF180" s="231"/>
      <c r="AG180" s="231"/>
      <c r="AH180" s="231"/>
      <c r="AI180" s="231"/>
    </row>
    <row r="181" spans="1:14" ht="12.75">
      <c r="A181" s="71"/>
      <c r="B181" s="72" t="s">
        <v>40</v>
      </c>
      <c r="C181" s="73"/>
      <c r="D181" s="74"/>
      <c r="E181" s="34"/>
      <c r="F181" s="119">
        <f>+'Cons spec tot e finalizzati'!F181-'Cons spec tot e finalizzati'!G181</f>
        <v>3348</v>
      </c>
      <c r="G181" s="119">
        <f>+'Cons spec tot e finalizzati'!H181-'Cons spec tot e finalizzati'!I181</f>
        <v>3704</v>
      </c>
      <c r="H181" s="119">
        <f>+'Cons spec tot e finalizzati'!J181-'Cons spec tot e finalizzati'!K181</f>
        <v>4133</v>
      </c>
      <c r="I181" s="119">
        <f>+'Cons spec tot e finalizzati'!L181-'Cons spec tot e finalizzati'!M181</f>
        <v>4395</v>
      </c>
      <c r="J181" s="119">
        <f>+'Cons spec tot e finalizzati'!N181-'Cons spec tot e finalizzati'!O181</f>
        <v>4774.384801706374</v>
      </c>
      <c r="K181" s="119">
        <f>+'Cons spec tot e finalizzati'!P181-'Cons spec tot e finalizzati'!Q181</f>
        <v>5164</v>
      </c>
      <c r="L181" s="119">
        <f>+'Cons spec tot e finalizzati'!R181-'Cons spec tot e finalizzati'!S181</f>
        <v>5396</v>
      </c>
      <c r="M181" s="119">
        <f>+'Cons spec tot e finalizzati'!T181-'Cons spec tot e finalizzati'!U181</f>
        <v>5352</v>
      </c>
      <c r="N181" s="119">
        <f>+'Cons spec tot e finalizzati'!V181-'Cons spec tot e finalizzati'!W181</f>
        <v>5560</v>
      </c>
    </row>
    <row r="182" spans="1:14" ht="12.75">
      <c r="A182" s="22"/>
      <c r="B182" s="14"/>
      <c r="C182" s="14" t="s">
        <v>36</v>
      </c>
      <c r="D182" s="21"/>
      <c r="F182" s="118">
        <f>+'Cons spec tot e finalizzati'!F182-'Cons spec tot e finalizzati'!G182</f>
        <v>97</v>
      </c>
      <c r="G182" s="118">
        <f>+'Cons spec tot e finalizzati'!H182-'Cons spec tot e finalizzati'!I182</f>
        <v>178</v>
      </c>
      <c r="H182" s="118">
        <f>+'Cons spec tot e finalizzati'!J182-'Cons spec tot e finalizzati'!K182</f>
        <v>233</v>
      </c>
      <c r="I182" s="118">
        <f>+'Cons spec tot e finalizzati'!L182-'Cons spec tot e finalizzati'!M182</f>
        <v>194</v>
      </c>
      <c r="J182" s="118">
        <f>+'Cons spec tot e finalizzati'!N182-'Cons spec tot e finalizzati'!O182</f>
        <v>264.3848017063736</v>
      </c>
      <c r="K182" s="118">
        <f>+'Cons spec tot e finalizzati'!P182-'Cons spec tot e finalizzati'!Q182</f>
        <v>205</v>
      </c>
      <c r="L182" s="118">
        <f>+'Cons spec tot e finalizzati'!R182-'Cons spec tot e finalizzati'!S182</f>
        <v>155</v>
      </c>
      <c r="M182" s="118">
        <f>+'Cons spec tot e finalizzati'!T182-'Cons spec tot e finalizzati'!U182</f>
        <v>165</v>
      </c>
      <c r="N182" s="118">
        <f>+'Cons spec tot e finalizzati'!V182-'Cons spec tot e finalizzati'!W182</f>
        <v>163</v>
      </c>
    </row>
    <row r="183" spans="1:14" ht="12.75">
      <c r="A183" s="22"/>
      <c r="B183" s="14"/>
      <c r="C183" s="14" t="s">
        <v>37</v>
      </c>
      <c r="D183" s="21"/>
      <c r="F183" s="118">
        <f>+'Cons spec tot e finalizzati'!F183-'Cons spec tot e finalizzati'!G183</f>
        <v>2500</v>
      </c>
      <c r="G183" s="118">
        <f>+'Cons spec tot e finalizzati'!H183-'Cons spec tot e finalizzati'!I183</f>
        <v>2723</v>
      </c>
      <c r="H183" s="118">
        <f>+'Cons spec tot e finalizzati'!J183-'Cons spec tot e finalizzati'!K183</f>
        <v>2837</v>
      </c>
      <c r="I183" s="118">
        <f>+'Cons spec tot e finalizzati'!L183-'Cons spec tot e finalizzati'!M183</f>
        <v>3173</v>
      </c>
      <c r="J183" s="118">
        <f>+'Cons spec tot e finalizzati'!N183-'Cons spec tot e finalizzati'!O183</f>
        <v>3300</v>
      </c>
      <c r="K183" s="118">
        <f>+'Cons spec tot e finalizzati'!P183-'Cons spec tot e finalizzati'!Q183</f>
        <v>3244</v>
      </c>
      <c r="L183" s="118">
        <f>+'Cons spec tot e finalizzati'!R183-'Cons spec tot e finalizzati'!S183</f>
        <v>3393</v>
      </c>
      <c r="M183" s="118">
        <f>+'Cons spec tot e finalizzati'!T183-'Cons spec tot e finalizzati'!U183</f>
        <v>3171</v>
      </c>
      <c r="N183" s="118">
        <f>+'Cons spec tot e finalizzati'!V183-'Cons spec tot e finalizzati'!W183</f>
        <v>3290</v>
      </c>
    </row>
    <row r="184" spans="1:14" ht="12.75">
      <c r="A184" s="22"/>
      <c r="B184" s="14"/>
      <c r="C184" s="14" t="s">
        <v>38</v>
      </c>
      <c r="D184" s="21"/>
      <c r="F184" s="118">
        <f>+'Cons spec tot e finalizzati'!F184-'Cons spec tot e finalizzati'!G184</f>
        <v>0</v>
      </c>
      <c r="G184" s="118">
        <f>+'Cons spec tot e finalizzati'!H184-'Cons spec tot e finalizzati'!I184</f>
        <v>0</v>
      </c>
      <c r="H184" s="118">
        <f>+'Cons spec tot e finalizzati'!J184-'Cons spec tot e finalizzati'!K184</f>
        <v>0</v>
      </c>
      <c r="I184" s="118">
        <f>+'Cons spec tot e finalizzati'!L184-'Cons spec tot e finalizzati'!M184</f>
        <v>0</v>
      </c>
      <c r="J184" s="118">
        <f>+'Cons spec tot e finalizzati'!N184-'Cons spec tot e finalizzati'!O184</f>
        <v>0</v>
      </c>
      <c r="K184" s="118">
        <f>+'Cons spec tot e finalizzati'!P184-'Cons spec tot e finalizzati'!Q184</f>
        <v>22</v>
      </c>
      <c r="L184" s="118">
        <f>+'Cons spec tot e finalizzati'!R184-'Cons spec tot e finalizzati'!S184</f>
        <v>26</v>
      </c>
      <c r="M184" s="118">
        <f>+'Cons spec tot e finalizzati'!T184-'Cons spec tot e finalizzati'!U184</f>
        <v>36</v>
      </c>
      <c r="N184" s="118">
        <f>+'Cons spec tot e finalizzati'!V184-'Cons spec tot e finalizzati'!W184</f>
        <v>43</v>
      </c>
    </row>
    <row r="185" spans="1:14" ht="12.75">
      <c r="A185" s="22"/>
      <c r="B185" s="14"/>
      <c r="C185" s="14" t="s">
        <v>39</v>
      </c>
      <c r="D185" s="21"/>
      <c r="F185" s="118">
        <f>+'Cons spec tot e finalizzati'!F185-'Cons spec tot e finalizzati'!G185</f>
        <v>46</v>
      </c>
      <c r="G185" s="118">
        <f>+'Cons spec tot e finalizzati'!H185-'Cons spec tot e finalizzati'!I185</f>
        <v>11</v>
      </c>
      <c r="H185" s="118">
        <f>+'Cons spec tot e finalizzati'!J185-'Cons spec tot e finalizzati'!K185</f>
        <v>61</v>
      </c>
      <c r="I185" s="118">
        <f>+'Cons spec tot e finalizzati'!L185-'Cons spec tot e finalizzati'!M185</f>
        <v>51</v>
      </c>
      <c r="J185" s="118">
        <f>+'Cons spec tot e finalizzati'!N185-'Cons spec tot e finalizzati'!O185</f>
        <v>51</v>
      </c>
      <c r="K185" s="118">
        <f>+'Cons spec tot e finalizzati'!P185-'Cons spec tot e finalizzati'!Q185</f>
        <v>97</v>
      </c>
      <c r="L185" s="118">
        <f>+'Cons spec tot e finalizzati'!R185-'Cons spec tot e finalizzati'!S185</f>
        <v>66</v>
      </c>
      <c r="M185" s="118">
        <f>+'Cons spec tot e finalizzati'!T185-'Cons spec tot e finalizzati'!U185</f>
        <v>76</v>
      </c>
      <c r="N185" s="118">
        <f>+'Cons spec tot e finalizzati'!V185-'Cons spec tot e finalizzati'!W185</f>
        <v>85</v>
      </c>
    </row>
    <row r="186" spans="1:14" ht="12.75">
      <c r="A186" s="22"/>
      <c r="B186" s="14"/>
      <c r="C186" s="14" t="s">
        <v>154</v>
      </c>
      <c r="D186" s="21"/>
      <c r="F186" s="118">
        <f>+'Cons spec tot e finalizzati'!F186-'Cons spec tot e finalizzati'!G186</f>
        <v>666</v>
      </c>
      <c r="G186" s="118">
        <f>+'Cons spec tot e finalizzati'!H186-'Cons spec tot e finalizzati'!I186</f>
        <v>731</v>
      </c>
      <c r="H186" s="118">
        <f>+'Cons spec tot e finalizzati'!J186-'Cons spec tot e finalizzati'!K186</f>
        <v>855</v>
      </c>
      <c r="I186" s="118">
        <f>+'Cons spec tot e finalizzati'!L186-'Cons spec tot e finalizzati'!M186</f>
        <v>798</v>
      </c>
      <c r="J186" s="118">
        <f>+'Cons spec tot e finalizzati'!N186-'Cons spec tot e finalizzati'!O186</f>
        <v>948</v>
      </c>
      <c r="K186" s="118">
        <f>+'Cons spec tot e finalizzati'!P186-'Cons spec tot e finalizzati'!Q186</f>
        <v>1085</v>
      </c>
      <c r="L186" s="118">
        <f>+'Cons spec tot e finalizzati'!R186-'Cons spec tot e finalizzati'!S186</f>
        <v>1128</v>
      </c>
      <c r="M186" s="118">
        <f>+'Cons spec tot e finalizzati'!T186-'Cons spec tot e finalizzati'!U186</f>
        <v>1324</v>
      </c>
      <c r="N186" s="118">
        <f>+'Cons spec tot e finalizzati'!V186-'Cons spec tot e finalizzati'!W186</f>
        <v>1397</v>
      </c>
    </row>
    <row r="187" spans="1:14" ht="12.75">
      <c r="A187" s="22"/>
      <c r="B187" s="14"/>
      <c r="C187" s="14" t="s">
        <v>155</v>
      </c>
      <c r="D187" s="21"/>
      <c r="F187" s="118">
        <f>+'Cons spec tot e finalizzati'!F187-'Cons spec tot e finalizzati'!G187</f>
        <v>39</v>
      </c>
      <c r="G187" s="118">
        <f>+'Cons spec tot e finalizzati'!H187-'Cons spec tot e finalizzati'!I187</f>
        <v>61</v>
      </c>
      <c r="H187" s="118">
        <f>+'Cons spec tot e finalizzati'!J187-'Cons spec tot e finalizzati'!K187</f>
        <v>147</v>
      </c>
      <c r="I187" s="118">
        <f>+'Cons spec tot e finalizzati'!L187-'Cons spec tot e finalizzati'!M187</f>
        <v>179</v>
      </c>
      <c r="J187" s="118">
        <f>+'Cons spec tot e finalizzati'!N187-'Cons spec tot e finalizzati'!O187</f>
        <v>211</v>
      </c>
      <c r="K187" s="118">
        <f>+'Cons spec tot e finalizzati'!P187-'Cons spec tot e finalizzati'!Q187</f>
        <v>511</v>
      </c>
      <c r="L187" s="118">
        <f>+'Cons spec tot e finalizzati'!R187-'Cons spec tot e finalizzati'!S187</f>
        <v>628</v>
      </c>
      <c r="M187" s="118">
        <f>+'Cons spec tot e finalizzati'!T187-'Cons spec tot e finalizzati'!U187</f>
        <v>580</v>
      </c>
      <c r="N187" s="118">
        <f>+'Cons spec tot e finalizzati'!V187-'Cons spec tot e finalizzati'!W187</f>
        <v>582</v>
      </c>
    </row>
    <row r="188" spans="1:14" ht="12.75">
      <c r="A188" s="71"/>
      <c r="B188" s="72" t="s">
        <v>41</v>
      </c>
      <c r="C188" s="73"/>
      <c r="D188" s="74"/>
      <c r="F188" s="119">
        <f>+'Cons spec tot e finalizzati'!F188-'Cons spec tot e finalizzati'!G188</f>
        <v>2080</v>
      </c>
      <c r="G188" s="119">
        <f>+'Cons spec tot e finalizzati'!H188-'Cons spec tot e finalizzati'!I188</f>
        <v>2417</v>
      </c>
      <c r="H188" s="119">
        <f>+'Cons spec tot e finalizzati'!J188-'Cons spec tot e finalizzati'!K188</f>
        <v>2523</v>
      </c>
      <c r="I188" s="119">
        <f>+'Cons spec tot e finalizzati'!L188-'Cons spec tot e finalizzati'!M188</f>
        <v>2656</v>
      </c>
      <c r="J188" s="119">
        <f>+'Cons spec tot e finalizzati'!N188-'Cons spec tot e finalizzati'!O188</f>
        <v>2762</v>
      </c>
      <c r="K188" s="119">
        <f>+'Cons spec tot e finalizzati'!P188-'Cons spec tot e finalizzati'!Q188</f>
        <v>2844</v>
      </c>
      <c r="L188" s="119">
        <f>+'Cons spec tot e finalizzati'!R188-'Cons spec tot e finalizzati'!S188</f>
        <v>2847</v>
      </c>
      <c r="M188" s="119">
        <f>+'Cons spec tot e finalizzati'!T188-'Cons spec tot e finalizzati'!U188</f>
        <v>2921</v>
      </c>
      <c r="N188" s="119">
        <f>+'Cons spec tot e finalizzati'!V188-'Cons spec tot e finalizzati'!W188</f>
        <v>2943</v>
      </c>
    </row>
    <row r="189" spans="1:14" ht="12.75">
      <c r="A189" s="22"/>
      <c r="B189" s="14"/>
      <c r="C189" s="14" t="s">
        <v>36</v>
      </c>
      <c r="D189" s="21"/>
      <c r="F189" s="118">
        <f>+'Cons spec tot e finalizzati'!F189-'Cons spec tot e finalizzati'!G189</f>
        <v>44</v>
      </c>
      <c r="G189" s="118">
        <f>+'Cons spec tot e finalizzati'!H189-'Cons spec tot e finalizzati'!I189</f>
        <v>107</v>
      </c>
      <c r="H189" s="118">
        <f>+'Cons spec tot e finalizzati'!J189-'Cons spec tot e finalizzati'!K189</f>
        <v>153</v>
      </c>
      <c r="I189" s="118">
        <f>+'Cons spec tot e finalizzati'!L189-'Cons spec tot e finalizzati'!M189</f>
        <v>244</v>
      </c>
      <c r="J189" s="118">
        <f>+'Cons spec tot e finalizzati'!N189-'Cons spec tot e finalizzati'!O189</f>
        <v>244</v>
      </c>
      <c r="K189" s="118">
        <f>+'Cons spec tot e finalizzati'!P189-'Cons spec tot e finalizzati'!Q189</f>
        <v>170</v>
      </c>
      <c r="L189" s="118">
        <f>+'Cons spec tot e finalizzati'!R189-'Cons spec tot e finalizzati'!S189</f>
        <v>178</v>
      </c>
      <c r="M189" s="118">
        <f>+'Cons spec tot e finalizzati'!T189-'Cons spec tot e finalizzati'!U189</f>
        <v>156</v>
      </c>
      <c r="N189" s="118">
        <f>+'Cons spec tot e finalizzati'!V189-'Cons spec tot e finalizzati'!W189</f>
        <v>112</v>
      </c>
    </row>
    <row r="190" spans="1:14" ht="12.75">
      <c r="A190" s="22"/>
      <c r="B190" s="14"/>
      <c r="C190" s="14" t="s">
        <v>37</v>
      </c>
      <c r="D190" s="21"/>
      <c r="F190" s="118">
        <f>+'Cons spec tot e finalizzati'!F190-'Cons spec tot e finalizzati'!G190</f>
        <v>1762</v>
      </c>
      <c r="G190" s="118">
        <f>+'Cons spec tot e finalizzati'!H190-'Cons spec tot e finalizzati'!I190</f>
        <v>1928</v>
      </c>
      <c r="H190" s="118">
        <f>+'Cons spec tot e finalizzati'!J190-'Cons spec tot e finalizzati'!K190</f>
        <v>1927</v>
      </c>
      <c r="I190" s="118">
        <f>+'Cons spec tot e finalizzati'!L190-'Cons spec tot e finalizzati'!M190</f>
        <v>1954</v>
      </c>
      <c r="J190" s="118">
        <f>+'Cons spec tot e finalizzati'!N190-'Cons spec tot e finalizzati'!O190</f>
        <v>2005</v>
      </c>
      <c r="K190" s="118">
        <f>+'Cons spec tot e finalizzati'!P190-'Cons spec tot e finalizzati'!Q190</f>
        <v>2041</v>
      </c>
      <c r="L190" s="118">
        <f>+'Cons spec tot e finalizzati'!R190-'Cons spec tot e finalizzati'!S190</f>
        <v>1975</v>
      </c>
      <c r="M190" s="118">
        <f>+'Cons spec tot e finalizzati'!T190-'Cons spec tot e finalizzati'!U190</f>
        <v>2090</v>
      </c>
      <c r="N190" s="118">
        <f>+'Cons spec tot e finalizzati'!V190-'Cons spec tot e finalizzati'!W190</f>
        <v>2118</v>
      </c>
    </row>
    <row r="191" spans="1:14" ht="12.75">
      <c r="A191" s="22"/>
      <c r="B191" s="14"/>
      <c r="C191" s="14" t="s">
        <v>38</v>
      </c>
      <c r="D191" s="21"/>
      <c r="F191" s="118">
        <f>+'Cons spec tot e finalizzati'!F191-'Cons spec tot e finalizzati'!G191</f>
        <v>0</v>
      </c>
      <c r="G191" s="118">
        <f>+'Cons spec tot e finalizzati'!H191-'Cons spec tot e finalizzati'!I191</f>
        <v>0</v>
      </c>
      <c r="H191" s="118">
        <f>+'Cons spec tot e finalizzati'!J191-'Cons spec tot e finalizzati'!K191</f>
        <v>0</v>
      </c>
      <c r="I191" s="118">
        <f>+'Cons spec tot e finalizzati'!L191-'Cons spec tot e finalizzati'!M191</f>
        <v>0</v>
      </c>
      <c r="J191" s="118">
        <f>+'Cons spec tot e finalizzati'!N191-'Cons spec tot e finalizzati'!O191</f>
        <v>0</v>
      </c>
      <c r="K191" s="118">
        <f>+'Cons spec tot e finalizzati'!P191-'Cons spec tot e finalizzati'!Q191</f>
        <v>26</v>
      </c>
      <c r="L191" s="118">
        <f>+'Cons spec tot e finalizzati'!R191-'Cons spec tot e finalizzati'!S191</f>
        <v>26</v>
      </c>
      <c r="M191" s="118">
        <f>+'Cons spec tot e finalizzati'!T191-'Cons spec tot e finalizzati'!U191</f>
        <v>27</v>
      </c>
      <c r="N191" s="118">
        <f>+'Cons spec tot e finalizzati'!V191-'Cons spec tot e finalizzati'!W191</f>
        <v>2</v>
      </c>
    </row>
    <row r="192" spans="1:14" ht="12.75">
      <c r="A192" s="22"/>
      <c r="B192" s="14"/>
      <c r="C192" s="14" t="s">
        <v>39</v>
      </c>
      <c r="D192" s="21"/>
      <c r="F192" s="118">
        <f>+'Cons spec tot e finalizzati'!F192-'Cons spec tot e finalizzati'!G192</f>
        <v>44</v>
      </c>
      <c r="G192" s="118">
        <f>+'Cons spec tot e finalizzati'!H192-'Cons spec tot e finalizzati'!I192</f>
        <v>10</v>
      </c>
      <c r="H192" s="118">
        <f>+'Cons spec tot e finalizzati'!J192-'Cons spec tot e finalizzati'!K192</f>
        <v>52</v>
      </c>
      <c r="I192" s="118">
        <f>+'Cons spec tot e finalizzati'!L192-'Cons spec tot e finalizzati'!M192</f>
        <v>42</v>
      </c>
      <c r="J192" s="118">
        <f>+'Cons spec tot e finalizzati'!N192-'Cons spec tot e finalizzati'!O192</f>
        <v>51</v>
      </c>
      <c r="K192" s="118">
        <f>+'Cons spec tot e finalizzati'!P192-'Cons spec tot e finalizzati'!Q192</f>
        <v>50</v>
      </c>
      <c r="L192" s="118">
        <f>+'Cons spec tot e finalizzati'!R192-'Cons spec tot e finalizzati'!S192</f>
        <v>60</v>
      </c>
      <c r="M192" s="118">
        <f>+'Cons spec tot e finalizzati'!T192-'Cons spec tot e finalizzati'!U192</f>
        <v>76</v>
      </c>
      <c r="N192" s="118">
        <f>+'Cons spec tot e finalizzati'!V192-'Cons spec tot e finalizzati'!W192</f>
        <v>85</v>
      </c>
    </row>
    <row r="193" spans="1:14" ht="12.75">
      <c r="A193" s="22"/>
      <c r="B193" s="14"/>
      <c r="C193" s="14" t="s">
        <v>154</v>
      </c>
      <c r="D193" s="21"/>
      <c r="F193" s="118">
        <f>+'Cons spec tot e finalizzati'!F193-'Cons spec tot e finalizzati'!G193</f>
        <v>191</v>
      </c>
      <c r="G193" s="118">
        <f>+'Cons spec tot e finalizzati'!H193-'Cons spec tot e finalizzati'!I193</f>
        <v>250</v>
      </c>
      <c r="H193" s="118">
        <f>+'Cons spec tot e finalizzati'!J193-'Cons spec tot e finalizzati'!K193</f>
        <v>269</v>
      </c>
      <c r="I193" s="118">
        <f>+'Cons spec tot e finalizzati'!L193-'Cons spec tot e finalizzati'!M193</f>
        <v>270</v>
      </c>
      <c r="J193" s="118">
        <f>+'Cons spec tot e finalizzati'!N193-'Cons spec tot e finalizzati'!O193</f>
        <v>338</v>
      </c>
      <c r="K193" s="118">
        <f>+'Cons spec tot e finalizzati'!P193-'Cons spec tot e finalizzati'!Q193</f>
        <v>387</v>
      </c>
      <c r="L193" s="118">
        <f>+'Cons spec tot e finalizzati'!R193-'Cons spec tot e finalizzati'!S193</f>
        <v>417</v>
      </c>
      <c r="M193" s="118">
        <f>+'Cons spec tot e finalizzati'!T193-'Cons spec tot e finalizzati'!U193</f>
        <v>437</v>
      </c>
      <c r="N193" s="118">
        <f>+'Cons spec tot e finalizzati'!V193-'Cons spec tot e finalizzati'!W193</f>
        <v>446</v>
      </c>
    </row>
    <row r="194" spans="1:14" ht="12.75">
      <c r="A194" s="22"/>
      <c r="B194" s="14"/>
      <c r="C194" s="14" t="s">
        <v>155</v>
      </c>
      <c r="D194" s="21"/>
      <c r="F194" s="118">
        <f>+'Cons spec tot e finalizzati'!F194-'Cons spec tot e finalizzati'!G194</f>
        <v>39</v>
      </c>
      <c r="G194" s="118">
        <f>+'Cons spec tot e finalizzati'!H194-'Cons spec tot e finalizzati'!I194</f>
        <v>122</v>
      </c>
      <c r="H194" s="118">
        <f>+'Cons spec tot e finalizzati'!J194-'Cons spec tot e finalizzati'!K194</f>
        <v>122</v>
      </c>
      <c r="I194" s="118">
        <f>+'Cons spec tot e finalizzati'!L194-'Cons spec tot e finalizzati'!M194</f>
        <v>146</v>
      </c>
      <c r="J194" s="118">
        <f>+'Cons spec tot e finalizzati'!N194-'Cons spec tot e finalizzati'!O194</f>
        <v>124</v>
      </c>
      <c r="K194" s="118">
        <f>+'Cons spec tot e finalizzati'!P194-'Cons spec tot e finalizzati'!Q194</f>
        <v>170</v>
      </c>
      <c r="L194" s="118">
        <f>+'Cons spec tot e finalizzati'!R194-'Cons spec tot e finalizzati'!S194</f>
        <v>191</v>
      </c>
      <c r="M194" s="118">
        <f>+'Cons spec tot e finalizzati'!T194-'Cons spec tot e finalizzati'!U194</f>
        <v>135</v>
      </c>
      <c r="N194" s="118">
        <f>+'Cons spec tot e finalizzati'!V194-'Cons spec tot e finalizzati'!W194</f>
        <v>180</v>
      </c>
    </row>
    <row r="195" spans="1:14" ht="12.75">
      <c r="A195" s="71"/>
      <c r="B195" s="72" t="s">
        <v>42</v>
      </c>
      <c r="C195" s="73"/>
      <c r="D195" s="74"/>
      <c r="F195" s="119">
        <f>+'Cons spec tot e finalizzati'!F195-'Cons spec tot e finalizzati'!G195</f>
        <v>1334</v>
      </c>
      <c r="G195" s="119">
        <f>+'Cons spec tot e finalizzati'!H195-'Cons spec tot e finalizzati'!I195</f>
        <v>1937</v>
      </c>
      <c r="H195" s="119">
        <f>+'Cons spec tot e finalizzati'!J195-'Cons spec tot e finalizzati'!K195</f>
        <v>2061</v>
      </c>
      <c r="I195" s="119">
        <f>+'Cons spec tot e finalizzati'!L195-'Cons spec tot e finalizzati'!M195</f>
        <v>2175</v>
      </c>
      <c r="J195" s="119">
        <f>+'Cons spec tot e finalizzati'!N195-'Cons spec tot e finalizzati'!O195</f>
        <v>2364</v>
      </c>
      <c r="K195" s="119">
        <f>+'Cons spec tot e finalizzati'!P195-'Cons spec tot e finalizzati'!Q195</f>
        <v>2542</v>
      </c>
      <c r="L195" s="119">
        <f>+'Cons spec tot e finalizzati'!R195-'Cons spec tot e finalizzati'!S195</f>
        <v>2821</v>
      </c>
      <c r="M195" s="119">
        <f>+'Cons spec tot e finalizzati'!T195-'Cons spec tot e finalizzati'!U195</f>
        <v>2964</v>
      </c>
      <c r="N195" s="119">
        <f>+'Cons spec tot e finalizzati'!V195-'Cons spec tot e finalizzati'!W195</f>
        <v>3120</v>
      </c>
    </row>
    <row r="196" spans="1:14" ht="12.75">
      <c r="A196" s="22"/>
      <c r="B196" s="14"/>
      <c r="C196" s="14" t="s">
        <v>36</v>
      </c>
      <c r="D196" s="21"/>
      <c r="F196" s="118">
        <f>+'Cons spec tot e finalizzati'!F196-'Cons spec tot e finalizzati'!G196</f>
        <v>56</v>
      </c>
      <c r="G196" s="118">
        <f>+'Cons spec tot e finalizzati'!H196-'Cons spec tot e finalizzati'!I196</f>
        <v>123</v>
      </c>
      <c r="H196" s="118">
        <f>+'Cons spec tot e finalizzati'!J196-'Cons spec tot e finalizzati'!K196</f>
        <v>80</v>
      </c>
      <c r="I196" s="118">
        <f>+'Cons spec tot e finalizzati'!L196-'Cons spec tot e finalizzati'!M196</f>
        <v>104</v>
      </c>
      <c r="J196" s="118">
        <f>+'Cons spec tot e finalizzati'!N196-'Cons spec tot e finalizzati'!O196</f>
        <v>102</v>
      </c>
      <c r="K196" s="118">
        <f>+'Cons spec tot e finalizzati'!P196-'Cons spec tot e finalizzati'!Q196</f>
        <v>159</v>
      </c>
      <c r="L196" s="118">
        <f>+'Cons spec tot e finalizzati'!R196-'Cons spec tot e finalizzati'!S196</f>
        <v>115</v>
      </c>
      <c r="M196" s="118">
        <f>+'Cons spec tot e finalizzati'!T196-'Cons spec tot e finalizzati'!U196</f>
        <v>144</v>
      </c>
      <c r="N196" s="118">
        <f>+'Cons spec tot e finalizzati'!V196-'Cons spec tot e finalizzati'!W196</f>
        <v>126</v>
      </c>
    </row>
    <row r="197" spans="1:14" ht="12.75">
      <c r="A197" s="22"/>
      <c r="B197" s="14"/>
      <c r="C197" s="14" t="s">
        <v>37</v>
      </c>
      <c r="D197" s="21"/>
      <c r="F197" s="118">
        <f>+'Cons spec tot e finalizzati'!F197-'Cons spec tot e finalizzati'!G197</f>
        <v>983</v>
      </c>
      <c r="G197" s="118">
        <f>+'Cons spec tot e finalizzati'!H197-'Cons spec tot e finalizzati'!I197</f>
        <v>1195</v>
      </c>
      <c r="H197" s="118">
        <f>+'Cons spec tot e finalizzati'!J197-'Cons spec tot e finalizzati'!K197</f>
        <v>1307</v>
      </c>
      <c r="I197" s="118">
        <f>+'Cons spec tot e finalizzati'!L197-'Cons spec tot e finalizzati'!M197</f>
        <v>1402</v>
      </c>
      <c r="J197" s="118">
        <f>+'Cons spec tot e finalizzati'!N197-'Cons spec tot e finalizzati'!O197</f>
        <v>1526</v>
      </c>
      <c r="K197" s="118">
        <f>+'Cons spec tot e finalizzati'!P197-'Cons spec tot e finalizzati'!Q197</f>
        <v>1516</v>
      </c>
      <c r="L197" s="118">
        <f>+'Cons spec tot e finalizzati'!R197-'Cons spec tot e finalizzati'!S197</f>
        <v>1708</v>
      </c>
      <c r="M197" s="118">
        <f>+'Cons spec tot e finalizzati'!T197-'Cons spec tot e finalizzati'!U197</f>
        <v>1805</v>
      </c>
      <c r="N197" s="118">
        <f>+'Cons spec tot e finalizzati'!V197-'Cons spec tot e finalizzati'!W197</f>
        <v>1929</v>
      </c>
    </row>
    <row r="198" spans="1:14" ht="12.75">
      <c r="A198" s="22"/>
      <c r="B198" s="14"/>
      <c r="C198" s="14" t="s">
        <v>38</v>
      </c>
      <c r="D198" s="21"/>
      <c r="F198" s="118">
        <f>+'Cons spec tot e finalizzati'!F198-'Cons spec tot e finalizzati'!G198</f>
        <v>0</v>
      </c>
      <c r="G198" s="118">
        <f>+'Cons spec tot e finalizzati'!H198-'Cons spec tot e finalizzati'!I198</f>
        <v>0</v>
      </c>
      <c r="H198" s="118">
        <f>+'Cons spec tot e finalizzati'!J198-'Cons spec tot e finalizzati'!K198</f>
        <v>0</v>
      </c>
      <c r="I198" s="118">
        <f>+'Cons spec tot e finalizzati'!L198-'Cons spec tot e finalizzati'!M198</f>
        <v>0</v>
      </c>
      <c r="J198" s="118">
        <f>+'Cons spec tot e finalizzati'!N198-'Cons spec tot e finalizzati'!O198</f>
        <v>0</v>
      </c>
      <c r="K198" s="118">
        <f>+'Cons spec tot e finalizzati'!P198-'Cons spec tot e finalizzati'!Q198</f>
        <v>26</v>
      </c>
      <c r="L198" s="118">
        <f>+'Cons spec tot e finalizzati'!R198-'Cons spec tot e finalizzati'!S198</f>
        <v>30</v>
      </c>
      <c r="M198" s="118">
        <f>+'Cons spec tot e finalizzati'!T198-'Cons spec tot e finalizzati'!U198</f>
        <v>40</v>
      </c>
      <c r="N198" s="118">
        <f>+'Cons spec tot e finalizzati'!V198-'Cons spec tot e finalizzati'!W198</f>
        <v>29</v>
      </c>
    </row>
    <row r="199" spans="1:14" ht="12.75">
      <c r="A199" s="22"/>
      <c r="B199" s="14"/>
      <c r="C199" s="14" t="s">
        <v>39</v>
      </c>
      <c r="D199" s="21"/>
      <c r="F199" s="118">
        <f>+'Cons spec tot e finalizzati'!F199-'Cons spec tot e finalizzati'!G199</f>
        <v>19</v>
      </c>
      <c r="G199" s="118">
        <f>+'Cons spec tot e finalizzati'!H199-'Cons spec tot e finalizzati'!I199</f>
        <v>6</v>
      </c>
      <c r="H199" s="118">
        <f>+'Cons spec tot e finalizzati'!J199-'Cons spec tot e finalizzati'!K199</f>
        <v>35</v>
      </c>
      <c r="I199" s="118">
        <f>+'Cons spec tot e finalizzati'!L199-'Cons spec tot e finalizzati'!M199</f>
        <v>29</v>
      </c>
      <c r="J199" s="118">
        <f>+'Cons spec tot e finalizzati'!N199-'Cons spec tot e finalizzati'!O199</f>
        <v>29</v>
      </c>
      <c r="K199" s="118">
        <f>+'Cons spec tot e finalizzati'!P199-'Cons spec tot e finalizzati'!Q199</f>
        <v>29</v>
      </c>
      <c r="L199" s="118">
        <f>+'Cons spec tot e finalizzati'!R199-'Cons spec tot e finalizzati'!S199</f>
        <v>35</v>
      </c>
      <c r="M199" s="118">
        <f>+'Cons spec tot e finalizzati'!T199-'Cons spec tot e finalizzati'!U199</f>
        <v>44</v>
      </c>
      <c r="N199" s="118">
        <f>+'Cons spec tot e finalizzati'!V199-'Cons spec tot e finalizzati'!W199</f>
        <v>49</v>
      </c>
    </row>
    <row r="200" spans="1:14" ht="12.75">
      <c r="A200" s="22"/>
      <c r="B200" s="14"/>
      <c r="C200" s="14" t="s">
        <v>154</v>
      </c>
      <c r="D200" s="21"/>
      <c r="F200" s="118">
        <f>+'Cons spec tot e finalizzati'!F200-'Cons spec tot e finalizzati'!G200</f>
        <v>244</v>
      </c>
      <c r="G200" s="118">
        <f>+'Cons spec tot e finalizzati'!H200-'Cons spec tot e finalizzati'!I200</f>
        <v>348</v>
      </c>
      <c r="H200" s="118">
        <f>+'Cons spec tot e finalizzati'!J200-'Cons spec tot e finalizzati'!K200</f>
        <v>325</v>
      </c>
      <c r="I200" s="118">
        <f>+'Cons spec tot e finalizzati'!L200-'Cons spec tot e finalizzati'!M200</f>
        <v>329</v>
      </c>
      <c r="J200" s="118">
        <f>+'Cons spec tot e finalizzati'!N200-'Cons spec tot e finalizzati'!O200</f>
        <v>393</v>
      </c>
      <c r="K200" s="118">
        <f>+'Cons spec tot e finalizzati'!P200-'Cons spec tot e finalizzati'!Q200</f>
        <v>441</v>
      </c>
      <c r="L200" s="118">
        <f>+'Cons spec tot e finalizzati'!R200-'Cons spec tot e finalizzati'!S200</f>
        <v>474</v>
      </c>
      <c r="M200" s="118">
        <f>+'Cons spec tot e finalizzati'!T200-'Cons spec tot e finalizzati'!U200</f>
        <v>506</v>
      </c>
      <c r="N200" s="118">
        <f>+'Cons spec tot e finalizzati'!V200-'Cons spec tot e finalizzati'!W200</f>
        <v>566</v>
      </c>
    </row>
    <row r="201" spans="1:14" ht="12.75">
      <c r="A201" s="22"/>
      <c r="B201" s="14"/>
      <c r="C201" s="14" t="s">
        <v>155</v>
      </c>
      <c r="D201" s="21"/>
      <c r="F201" s="118">
        <f>+'Cons spec tot e finalizzati'!F201-'Cons spec tot e finalizzati'!G201</f>
        <v>32</v>
      </c>
      <c r="G201" s="118">
        <f>+'Cons spec tot e finalizzati'!H201-'Cons spec tot e finalizzati'!I201</f>
        <v>265</v>
      </c>
      <c r="H201" s="118">
        <f>+'Cons spec tot e finalizzati'!J201-'Cons spec tot e finalizzati'!K201</f>
        <v>314</v>
      </c>
      <c r="I201" s="118">
        <f>+'Cons spec tot e finalizzati'!L201-'Cons spec tot e finalizzati'!M201</f>
        <v>311</v>
      </c>
      <c r="J201" s="118">
        <f>+'Cons spec tot e finalizzati'!N201-'Cons spec tot e finalizzati'!O201</f>
        <v>315</v>
      </c>
      <c r="K201" s="118">
        <f>+'Cons spec tot e finalizzati'!P201-'Cons spec tot e finalizzati'!Q201</f>
        <v>371</v>
      </c>
      <c r="L201" s="118">
        <f>+'Cons spec tot e finalizzati'!R201-'Cons spec tot e finalizzati'!S201</f>
        <v>459</v>
      </c>
      <c r="M201" s="118">
        <f>+'Cons spec tot e finalizzati'!T201-'Cons spec tot e finalizzati'!U201</f>
        <v>425</v>
      </c>
      <c r="N201" s="118">
        <f>+'Cons spec tot e finalizzati'!V201-'Cons spec tot e finalizzati'!W201</f>
        <v>421</v>
      </c>
    </row>
    <row r="202" spans="1:14" ht="12.75">
      <c r="A202" s="71"/>
      <c r="B202" s="72" t="s">
        <v>43</v>
      </c>
      <c r="C202" s="73"/>
      <c r="D202" s="74"/>
      <c r="F202" s="119">
        <f>+'Cons spec tot e finalizzati'!F202-'Cons spec tot e finalizzati'!G202</f>
        <v>1722</v>
      </c>
      <c r="G202" s="119">
        <f>+'Cons spec tot e finalizzati'!H202-'Cons spec tot e finalizzati'!I202</f>
        <v>1924</v>
      </c>
      <c r="H202" s="119">
        <f>+'Cons spec tot e finalizzati'!J202-'Cons spec tot e finalizzati'!K202</f>
        <v>2143</v>
      </c>
      <c r="I202" s="119">
        <f>+'Cons spec tot e finalizzati'!L202-'Cons spec tot e finalizzati'!M202</f>
        <v>2288</v>
      </c>
      <c r="J202" s="119">
        <f>+'Cons spec tot e finalizzati'!N202-'Cons spec tot e finalizzati'!O202</f>
        <v>2609</v>
      </c>
      <c r="K202" s="119">
        <f>+'Cons spec tot e finalizzati'!P202-'Cons spec tot e finalizzati'!Q202</f>
        <v>2694</v>
      </c>
      <c r="L202" s="119">
        <f>+'Cons spec tot e finalizzati'!R202-'Cons spec tot e finalizzati'!S202</f>
        <v>2995</v>
      </c>
      <c r="M202" s="119">
        <f>+'Cons spec tot e finalizzati'!T202-'Cons spec tot e finalizzati'!U202</f>
        <v>2996</v>
      </c>
      <c r="N202" s="119">
        <f>+'Cons spec tot e finalizzati'!V202-'Cons spec tot e finalizzati'!W202</f>
        <v>3188</v>
      </c>
    </row>
    <row r="203" spans="1:14" ht="12.75">
      <c r="A203" s="22"/>
      <c r="B203" s="14"/>
      <c r="C203" s="14" t="s">
        <v>36</v>
      </c>
      <c r="D203" s="21"/>
      <c r="F203" s="118">
        <f>+'Cons spec tot e finalizzati'!F203-'Cons spec tot e finalizzati'!G203</f>
        <v>52</v>
      </c>
      <c r="G203" s="118">
        <f>+'Cons spec tot e finalizzati'!H203-'Cons spec tot e finalizzati'!I203</f>
        <v>99</v>
      </c>
      <c r="H203" s="118">
        <f>+'Cons spec tot e finalizzati'!J203-'Cons spec tot e finalizzati'!K203</f>
        <v>94</v>
      </c>
      <c r="I203" s="118">
        <f>+'Cons spec tot e finalizzati'!L203-'Cons spec tot e finalizzati'!M203</f>
        <v>149</v>
      </c>
      <c r="J203" s="118">
        <f>+'Cons spec tot e finalizzati'!N203-'Cons spec tot e finalizzati'!O203</f>
        <v>145</v>
      </c>
      <c r="K203" s="118">
        <f>+'Cons spec tot e finalizzati'!P203-'Cons spec tot e finalizzati'!Q203</f>
        <v>89</v>
      </c>
      <c r="L203" s="118">
        <f>+'Cons spec tot e finalizzati'!R203-'Cons spec tot e finalizzati'!S203</f>
        <v>70</v>
      </c>
      <c r="M203" s="118">
        <f>+'Cons spec tot e finalizzati'!T203-'Cons spec tot e finalizzati'!U203</f>
        <v>138</v>
      </c>
      <c r="N203" s="118">
        <f>+'Cons spec tot e finalizzati'!V203-'Cons spec tot e finalizzati'!W203</f>
        <v>155</v>
      </c>
    </row>
    <row r="204" spans="1:14" ht="12.75">
      <c r="A204" s="22"/>
      <c r="B204" s="14"/>
      <c r="C204" s="14" t="s">
        <v>37</v>
      </c>
      <c r="D204" s="21"/>
      <c r="F204" s="118">
        <f>+'Cons spec tot e finalizzati'!F204-'Cons spec tot e finalizzati'!G204</f>
        <v>1306</v>
      </c>
      <c r="G204" s="118">
        <f>+'Cons spec tot e finalizzati'!H204-'Cons spec tot e finalizzati'!I204</f>
        <v>1408</v>
      </c>
      <c r="H204" s="118">
        <f>+'Cons spec tot e finalizzati'!J204-'Cons spec tot e finalizzati'!K204</f>
        <v>1565</v>
      </c>
      <c r="I204" s="118">
        <f>+'Cons spec tot e finalizzati'!L204-'Cons spec tot e finalizzati'!M204</f>
        <v>1628</v>
      </c>
      <c r="J204" s="118">
        <f>+'Cons spec tot e finalizzati'!N204-'Cons spec tot e finalizzati'!O204</f>
        <v>1858</v>
      </c>
      <c r="K204" s="118">
        <f>+'Cons spec tot e finalizzati'!P204-'Cons spec tot e finalizzati'!Q204</f>
        <v>1753</v>
      </c>
      <c r="L204" s="118">
        <f>+'Cons spec tot e finalizzati'!R204-'Cons spec tot e finalizzati'!S204</f>
        <v>2070</v>
      </c>
      <c r="M204" s="118">
        <f>+'Cons spec tot e finalizzati'!T204-'Cons spec tot e finalizzati'!U204</f>
        <v>1922</v>
      </c>
      <c r="N204" s="118">
        <f>+'Cons spec tot e finalizzati'!V204-'Cons spec tot e finalizzati'!W204</f>
        <v>2060</v>
      </c>
    </row>
    <row r="205" spans="1:14" ht="12.75">
      <c r="A205" s="22"/>
      <c r="B205" s="14"/>
      <c r="C205" s="14" t="s">
        <v>38</v>
      </c>
      <c r="D205" s="21"/>
      <c r="F205" s="118">
        <f>+'Cons spec tot e finalizzati'!F205-'Cons spec tot e finalizzati'!G205</f>
        <v>0</v>
      </c>
      <c r="G205" s="118">
        <f>+'Cons spec tot e finalizzati'!H205-'Cons spec tot e finalizzati'!I205</f>
        <v>0</v>
      </c>
      <c r="H205" s="118">
        <f>+'Cons spec tot e finalizzati'!J205-'Cons spec tot e finalizzati'!K205</f>
        <v>0</v>
      </c>
      <c r="I205" s="118">
        <f>+'Cons spec tot e finalizzati'!L205-'Cons spec tot e finalizzati'!M205</f>
        <v>0</v>
      </c>
      <c r="J205" s="118">
        <f>+'Cons spec tot e finalizzati'!N205-'Cons spec tot e finalizzati'!O205</f>
        <v>0</v>
      </c>
      <c r="K205" s="118">
        <f>+'Cons spec tot e finalizzati'!P205-'Cons spec tot e finalizzati'!Q205</f>
        <v>24</v>
      </c>
      <c r="L205" s="118">
        <f>+'Cons spec tot e finalizzati'!R205-'Cons spec tot e finalizzati'!S205</f>
        <v>39</v>
      </c>
      <c r="M205" s="118">
        <f>+'Cons spec tot e finalizzati'!T205-'Cons spec tot e finalizzati'!U205</f>
        <v>41</v>
      </c>
      <c r="N205" s="118">
        <f>+'Cons spec tot e finalizzati'!V205-'Cons spec tot e finalizzati'!W205</f>
        <v>32</v>
      </c>
    </row>
    <row r="206" spans="1:14" ht="12.75">
      <c r="A206" s="22"/>
      <c r="B206" s="14"/>
      <c r="C206" s="14" t="s">
        <v>39</v>
      </c>
      <c r="D206" s="21"/>
      <c r="F206" s="118">
        <f>+'Cons spec tot e finalizzati'!F206-'Cons spec tot e finalizzati'!G206</f>
        <v>0</v>
      </c>
      <c r="G206" s="118">
        <f>+'Cons spec tot e finalizzati'!H206-'Cons spec tot e finalizzati'!I206</f>
        <v>0</v>
      </c>
      <c r="H206" s="118">
        <f>+'Cons spec tot e finalizzati'!J206-'Cons spec tot e finalizzati'!K206</f>
        <v>0</v>
      </c>
      <c r="I206" s="118">
        <f>+'Cons spec tot e finalizzati'!L206-'Cons spec tot e finalizzati'!M206</f>
        <v>0</v>
      </c>
      <c r="J206" s="118">
        <f>+'Cons spec tot e finalizzati'!N206-'Cons spec tot e finalizzati'!O206</f>
        <v>0</v>
      </c>
      <c r="K206" s="118">
        <f>+'Cons spec tot e finalizzati'!P206-'Cons spec tot e finalizzati'!Q206</f>
        <v>0</v>
      </c>
      <c r="L206" s="118">
        <f>+'Cons spec tot e finalizzati'!R206-'Cons spec tot e finalizzati'!S206</f>
        <v>0</v>
      </c>
      <c r="M206" s="118">
        <f>+'Cons spec tot e finalizzati'!T206-'Cons spec tot e finalizzati'!U206</f>
        <v>0</v>
      </c>
      <c r="N206" s="118">
        <f>+'Cons spec tot e finalizzati'!V206-'Cons spec tot e finalizzati'!W206</f>
        <v>0</v>
      </c>
    </row>
    <row r="207" spans="1:14" ht="14.25" customHeight="1">
      <c r="A207" s="22"/>
      <c r="B207" s="14"/>
      <c r="C207" s="14" t="s">
        <v>154</v>
      </c>
      <c r="D207" s="21"/>
      <c r="F207" s="118">
        <f>+'Cons spec tot e finalizzati'!F207-'Cons spec tot e finalizzati'!G207</f>
        <v>346</v>
      </c>
      <c r="G207" s="118">
        <f>+'Cons spec tot e finalizzati'!H207-'Cons spec tot e finalizzati'!I207</f>
        <v>390</v>
      </c>
      <c r="H207" s="118">
        <f>+'Cons spec tot e finalizzati'!J207-'Cons spec tot e finalizzati'!K207</f>
        <v>457</v>
      </c>
      <c r="I207" s="118">
        <f>+'Cons spec tot e finalizzati'!L207-'Cons spec tot e finalizzati'!M207</f>
        <v>478</v>
      </c>
      <c r="J207" s="118">
        <f>+'Cons spec tot e finalizzati'!N207-'Cons spec tot e finalizzati'!O207</f>
        <v>588</v>
      </c>
      <c r="K207" s="118">
        <f>+'Cons spec tot e finalizzati'!P207-'Cons spec tot e finalizzati'!Q207</f>
        <v>634</v>
      </c>
      <c r="L207" s="118">
        <f>+'Cons spec tot e finalizzati'!R207-'Cons spec tot e finalizzati'!S207</f>
        <v>622</v>
      </c>
      <c r="M207" s="118">
        <f>+'Cons spec tot e finalizzati'!T207-'Cons spec tot e finalizzati'!U207</f>
        <v>741</v>
      </c>
      <c r="N207" s="118">
        <f>+'Cons spec tot e finalizzati'!V207-'Cons spec tot e finalizzati'!W207</f>
        <v>828</v>
      </c>
    </row>
    <row r="208" spans="1:32" ht="12.75">
      <c r="A208" s="22"/>
      <c r="B208" s="14"/>
      <c r="C208" s="14" t="s">
        <v>155</v>
      </c>
      <c r="D208" s="21"/>
      <c r="F208" s="118">
        <f>+'Cons spec tot e finalizzati'!F208-'Cons spec tot e finalizzati'!G208</f>
        <v>18</v>
      </c>
      <c r="G208" s="118">
        <f>+'Cons spec tot e finalizzati'!H208-'Cons spec tot e finalizzati'!I208</f>
        <v>27</v>
      </c>
      <c r="H208" s="118">
        <f>+'Cons spec tot e finalizzati'!J208-'Cons spec tot e finalizzati'!K208</f>
        <v>27</v>
      </c>
      <c r="I208" s="118">
        <f>+'Cons spec tot e finalizzati'!L208-'Cons spec tot e finalizzati'!M208</f>
        <v>33</v>
      </c>
      <c r="J208" s="118">
        <f>+'Cons spec tot e finalizzati'!N208-'Cons spec tot e finalizzati'!O208</f>
        <v>18</v>
      </c>
      <c r="K208" s="118">
        <f>+'Cons spec tot e finalizzati'!P208-'Cons spec tot e finalizzati'!Q208</f>
        <v>194</v>
      </c>
      <c r="L208" s="118">
        <f>+'Cons spec tot e finalizzati'!R208-'Cons spec tot e finalizzati'!S208</f>
        <v>194</v>
      </c>
      <c r="M208" s="118">
        <f>+'Cons spec tot e finalizzati'!T208-'Cons spec tot e finalizzati'!U208</f>
        <v>154</v>
      </c>
      <c r="N208" s="118">
        <f>+'Cons spec tot e finalizzati'!V208-'Cons spec tot e finalizzati'!W208</f>
        <v>113</v>
      </c>
      <c r="O208" s="118">
        <v>0</v>
      </c>
      <c r="P208" s="118">
        <v>0</v>
      </c>
      <c r="Q208" s="118">
        <v>0</v>
      </c>
      <c r="R208" s="118">
        <v>0</v>
      </c>
      <c r="S208" s="118">
        <v>0</v>
      </c>
      <c r="T208" s="118">
        <v>0</v>
      </c>
      <c r="U208" s="118">
        <v>0</v>
      </c>
      <c r="V208" s="118">
        <v>0</v>
      </c>
      <c r="W208" s="118">
        <v>0</v>
      </c>
      <c r="X208" s="118">
        <v>0</v>
      </c>
      <c r="Y208" s="118">
        <v>0</v>
      </c>
      <c r="Z208" s="118">
        <v>0</v>
      </c>
      <c r="AA208" s="118">
        <v>0</v>
      </c>
      <c r="AB208" s="118">
        <v>0</v>
      </c>
      <c r="AC208" s="118">
        <v>0</v>
      </c>
      <c r="AD208" s="118">
        <v>0</v>
      </c>
      <c r="AE208" s="118">
        <v>0</v>
      </c>
      <c r="AF208" s="118">
        <v>0</v>
      </c>
    </row>
    <row r="209" spans="1:14" ht="12.75">
      <c r="A209" s="71"/>
      <c r="B209" s="72" t="s">
        <v>44</v>
      </c>
      <c r="C209" s="73"/>
      <c r="D209" s="74"/>
      <c r="F209" s="119">
        <f>+'Cons spec tot e finalizzati'!F209-'Cons spec tot e finalizzati'!G209</f>
        <v>2670</v>
      </c>
      <c r="G209" s="119">
        <f>+'Cons spec tot e finalizzati'!H209-'Cons spec tot e finalizzati'!I209</f>
        <v>2819</v>
      </c>
      <c r="H209" s="119">
        <f>+'Cons spec tot e finalizzati'!J209-'Cons spec tot e finalizzati'!K209</f>
        <v>3149</v>
      </c>
      <c r="I209" s="119">
        <f>+'Cons spec tot e finalizzati'!L209-'Cons spec tot e finalizzati'!M209</f>
        <v>3287</v>
      </c>
      <c r="J209" s="119">
        <f>+'Cons spec tot e finalizzati'!N209-'Cons spec tot e finalizzati'!O209</f>
        <v>3312</v>
      </c>
      <c r="K209" s="119">
        <f>+'Cons spec tot e finalizzati'!P209-'Cons spec tot e finalizzati'!Q209</f>
        <v>3424</v>
      </c>
      <c r="L209" s="119">
        <f>+'Cons spec tot e finalizzati'!R209-'Cons spec tot e finalizzati'!S209</f>
        <v>3530</v>
      </c>
      <c r="M209" s="119">
        <f>+'Cons spec tot e finalizzati'!T209-'Cons spec tot e finalizzati'!U209</f>
        <v>3386</v>
      </c>
      <c r="N209" s="119">
        <f>+'Cons spec tot e finalizzati'!V209-'Cons spec tot e finalizzati'!W209</f>
        <v>3492</v>
      </c>
    </row>
    <row r="210" spans="1:14" ht="12.75">
      <c r="A210" s="22"/>
      <c r="B210" s="14"/>
      <c r="C210" s="14" t="s">
        <v>36</v>
      </c>
      <c r="D210" s="21"/>
      <c r="F210" s="118">
        <f>+'Cons spec tot e finalizzati'!F210-'Cons spec tot e finalizzati'!G210</f>
        <v>77</v>
      </c>
      <c r="G210" s="118">
        <f>+'Cons spec tot e finalizzati'!H210-'Cons spec tot e finalizzati'!I210</f>
        <v>183</v>
      </c>
      <c r="H210" s="118">
        <f>+'Cons spec tot e finalizzati'!J210-'Cons spec tot e finalizzati'!K210</f>
        <v>180</v>
      </c>
      <c r="I210" s="118">
        <f>+'Cons spec tot e finalizzati'!L210-'Cons spec tot e finalizzati'!M210</f>
        <v>212</v>
      </c>
      <c r="J210" s="118">
        <f>+'Cons spec tot e finalizzati'!N210-'Cons spec tot e finalizzati'!O210</f>
        <v>259</v>
      </c>
      <c r="K210" s="118">
        <f>+'Cons spec tot e finalizzati'!P210-'Cons spec tot e finalizzati'!Q210</f>
        <v>206</v>
      </c>
      <c r="L210" s="118">
        <f>+'Cons spec tot e finalizzati'!R210-'Cons spec tot e finalizzati'!S210</f>
        <v>158</v>
      </c>
      <c r="M210" s="118">
        <f>+'Cons spec tot e finalizzati'!T210-'Cons spec tot e finalizzati'!U210</f>
        <v>156</v>
      </c>
      <c r="N210" s="118">
        <f>+'Cons spec tot e finalizzati'!V210-'Cons spec tot e finalizzati'!W210</f>
        <v>184</v>
      </c>
    </row>
    <row r="211" spans="1:14" ht="12.75">
      <c r="A211" s="22"/>
      <c r="B211" s="14"/>
      <c r="C211" s="14" t="s">
        <v>37</v>
      </c>
      <c r="D211" s="21"/>
      <c r="F211" s="118">
        <f>+'Cons spec tot e finalizzati'!F211-'Cons spec tot e finalizzati'!G211</f>
        <v>2038</v>
      </c>
      <c r="G211" s="118">
        <f>+'Cons spec tot e finalizzati'!H211-'Cons spec tot e finalizzati'!I211</f>
        <v>2166</v>
      </c>
      <c r="H211" s="118">
        <f>+'Cons spec tot e finalizzati'!J211-'Cons spec tot e finalizzati'!K211</f>
        <v>2264</v>
      </c>
      <c r="I211" s="118">
        <f>+'Cons spec tot e finalizzati'!L211-'Cons spec tot e finalizzati'!M211</f>
        <v>2328</v>
      </c>
      <c r="J211" s="118">
        <f>+'Cons spec tot e finalizzati'!N211-'Cons spec tot e finalizzati'!O211</f>
        <v>2228</v>
      </c>
      <c r="K211" s="118">
        <f>+'Cons spec tot e finalizzati'!P211-'Cons spec tot e finalizzati'!Q211</f>
        <v>2309</v>
      </c>
      <c r="L211" s="118">
        <f>+'Cons spec tot e finalizzati'!R211-'Cons spec tot e finalizzati'!S211</f>
        <v>2417</v>
      </c>
      <c r="M211" s="118">
        <f>+'Cons spec tot e finalizzati'!T211-'Cons spec tot e finalizzati'!U211</f>
        <v>2305</v>
      </c>
      <c r="N211" s="118">
        <f>+'Cons spec tot e finalizzati'!V211-'Cons spec tot e finalizzati'!W211</f>
        <v>2281</v>
      </c>
    </row>
    <row r="212" spans="1:14" ht="12.75">
      <c r="A212" s="22"/>
      <c r="B212" s="14"/>
      <c r="C212" s="14" t="s">
        <v>38</v>
      </c>
      <c r="D212" s="21"/>
      <c r="F212" s="118">
        <f>+'Cons spec tot e finalizzati'!F212-'Cons spec tot e finalizzati'!G212</f>
        <v>0</v>
      </c>
      <c r="G212" s="118">
        <f>+'Cons spec tot e finalizzati'!H212-'Cons spec tot e finalizzati'!I212</f>
        <v>0</v>
      </c>
      <c r="H212" s="118">
        <f>+'Cons spec tot e finalizzati'!J212-'Cons spec tot e finalizzati'!K212</f>
        <v>0</v>
      </c>
      <c r="I212" s="118">
        <f>+'Cons spec tot e finalizzati'!L212-'Cons spec tot e finalizzati'!M212</f>
        <v>0</v>
      </c>
      <c r="J212" s="118">
        <f>+'Cons spec tot e finalizzati'!N212-'Cons spec tot e finalizzati'!O212</f>
        <v>0</v>
      </c>
      <c r="K212" s="118">
        <f>+'Cons spec tot e finalizzati'!P212-'Cons spec tot e finalizzati'!Q212</f>
        <v>46</v>
      </c>
      <c r="L212" s="118">
        <f>+'Cons spec tot e finalizzati'!R212-'Cons spec tot e finalizzati'!S212</f>
        <v>56</v>
      </c>
      <c r="M212" s="118">
        <f>+'Cons spec tot e finalizzati'!T212-'Cons spec tot e finalizzati'!U212</f>
        <v>47</v>
      </c>
      <c r="N212" s="118">
        <f>+'Cons spec tot e finalizzati'!V212-'Cons spec tot e finalizzati'!W212</f>
        <v>50</v>
      </c>
    </row>
    <row r="213" spans="1:14" ht="12.75">
      <c r="A213" s="22"/>
      <c r="B213" s="14"/>
      <c r="C213" s="14" t="s">
        <v>39</v>
      </c>
      <c r="D213" s="21"/>
      <c r="F213" s="118">
        <f>+'Cons spec tot e finalizzati'!F213-'Cons spec tot e finalizzati'!G213</f>
        <v>72</v>
      </c>
      <c r="G213" s="118">
        <f>+'Cons spec tot e finalizzati'!H213-'Cons spec tot e finalizzati'!I213</f>
        <v>0</v>
      </c>
      <c r="H213" s="118">
        <f>+'Cons spec tot e finalizzati'!J213-'Cons spec tot e finalizzati'!K213</f>
        <v>181</v>
      </c>
      <c r="I213" s="118">
        <f>+'Cons spec tot e finalizzati'!L213-'Cons spec tot e finalizzati'!M213</f>
        <v>135</v>
      </c>
      <c r="J213" s="118">
        <f>+'Cons spec tot e finalizzati'!N213-'Cons spec tot e finalizzati'!O213</f>
        <v>135</v>
      </c>
      <c r="K213" s="118">
        <f>+'Cons spec tot e finalizzati'!P213-'Cons spec tot e finalizzati'!Q213</f>
        <v>135</v>
      </c>
      <c r="L213" s="118">
        <f>+'Cons spec tot e finalizzati'!R213-'Cons spec tot e finalizzati'!S213</f>
        <v>169</v>
      </c>
      <c r="M213" s="118">
        <f>+'Cons spec tot e finalizzati'!T213-'Cons spec tot e finalizzati'!U213</f>
        <v>214</v>
      </c>
      <c r="N213" s="118">
        <f>+'Cons spec tot e finalizzati'!V213-'Cons spec tot e finalizzati'!W213</f>
        <v>238</v>
      </c>
    </row>
    <row r="214" spans="1:14" ht="12.75">
      <c r="A214" s="22"/>
      <c r="B214" s="14"/>
      <c r="C214" s="14" t="s">
        <v>154</v>
      </c>
      <c r="D214" s="21"/>
      <c r="F214" s="118">
        <f>+'Cons spec tot e finalizzati'!F214-'Cons spec tot e finalizzati'!G214</f>
        <v>477</v>
      </c>
      <c r="G214" s="118">
        <f>+'Cons spec tot e finalizzati'!H214-'Cons spec tot e finalizzati'!I214</f>
        <v>452</v>
      </c>
      <c r="H214" s="118">
        <f>+'Cons spec tot e finalizzati'!J214-'Cons spec tot e finalizzati'!K214</f>
        <v>506</v>
      </c>
      <c r="I214" s="118">
        <f>+'Cons spec tot e finalizzati'!L214-'Cons spec tot e finalizzati'!M214</f>
        <v>590</v>
      </c>
      <c r="J214" s="118">
        <f>+'Cons spec tot e finalizzati'!N214-'Cons spec tot e finalizzati'!O214</f>
        <v>669</v>
      </c>
      <c r="K214" s="118">
        <f>+'Cons spec tot e finalizzati'!P214-'Cons spec tot e finalizzati'!Q214</f>
        <v>656</v>
      </c>
      <c r="L214" s="118">
        <f>+'Cons spec tot e finalizzati'!R214-'Cons spec tot e finalizzati'!S214</f>
        <v>650</v>
      </c>
      <c r="M214" s="118">
        <f>+'Cons spec tot e finalizzati'!T214-'Cons spec tot e finalizzati'!U214</f>
        <v>584</v>
      </c>
      <c r="N214" s="118">
        <f>+'Cons spec tot e finalizzati'!V214-'Cons spec tot e finalizzati'!W214</f>
        <v>662</v>
      </c>
    </row>
    <row r="215" spans="1:14" ht="12.75">
      <c r="A215" s="22"/>
      <c r="B215" s="14"/>
      <c r="C215" s="14" t="s">
        <v>155</v>
      </c>
      <c r="D215" s="21"/>
      <c r="F215" s="114">
        <f>+'Cons spec tot e finalizzati'!F215-'Cons spec tot e finalizzati'!G215</f>
        <v>6</v>
      </c>
      <c r="G215" s="118">
        <f>+'Cons spec tot e finalizzati'!H215-'Cons spec tot e finalizzati'!I215</f>
        <v>18</v>
      </c>
      <c r="H215" s="118">
        <f>+'Cons spec tot e finalizzati'!J215-'Cons spec tot e finalizzati'!K215</f>
        <v>18</v>
      </c>
      <c r="I215" s="118">
        <f>+'Cons spec tot e finalizzati'!L215-'Cons spec tot e finalizzati'!M215</f>
        <v>22</v>
      </c>
      <c r="J215" s="118">
        <f>+'Cons spec tot e finalizzati'!N215-'Cons spec tot e finalizzati'!O215</f>
        <v>21</v>
      </c>
      <c r="K215" s="118">
        <f>+'Cons spec tot e finalizzati'!P215-'Cons spec tot e finalizzati'!Q215</f>
        <v>72</v>
      </c>
      <c r="L215" s="118">
        <f>+'Cons spec tot e finalizzati'!R215-'Cons spec tot e finalizzati'!S215</f>
        <v>80</v>
      </c>
      <c r="M215" s="118">
        <f>+'Cons spec tot e finalizzati'!T215-'Cons spec tot e finalizzati'!U215</f>
        <v>80</v>
      </c>
      <c r="N215" s="118">
        <f>+'Cons spec tot e finalizzati'!V215-'Cons spec tot e finalizzati'!W215</f>
        <v>77</v>
      </c>
    </row>
    <row r="216" spans="1:14" ht="12.75">
      <c r="A216" s="71"/>
      <c r="B216" s="72" t="s">
        <v>45</v>
      </c>
      <c r="C216" s="73"/>
      <c r="D216" s="74"/>
      <c r="F216" s="117">
        <f>+'Cons spec tot e finalizzati'!F216-'Cons spec tot e finalizzati'!G216</f>
        <v>2606</v>
      </c>
      <c r="G216" s="119">
        <f>+'Cons spec tot e finalizzati'!H216-'Cons spec tot e finalizzati'!I216</f>
        <v>2725</v>
      </c>
      <c r="H216" s="119">
        <f>+'Cons spec tot e finalizzati'!J216-'Cons spec tot e finalizzati'!K216</f>
        <v>2991</v>
      </c>
      <c r="I216" s="119">
        <f>+'Cons spec tot e finalizzati'!L216-'Cons spec tot e finalizzati'!M216</f>
        <v>3170</v>
      </c>
      <c r="J216" s="119">
        <f>+'Cons spec tot e finalizzati'!N216-'Cons spec tot e finalizzati'!O216</f>
        <v>3484</v>
      </c>
      <c r="K216" s="119">
        <f>+'Cons spec tot e finalizzati'!P216-'Cons spec tot e finalizzati'!Q216</f>
        <v>3564</v>
      </c>
      <c r="L216" s="119">
        <f>+'Cons spec tot e finalizzati'!R216-'Cons spec tot e finalizzati'!S216</f>
        <v>3958</v>
      </c>
      <c r="M216" s="119">
        <f>+'Cons spec tot e finalizzati'!T216-'Cons spec tot e finalizzati'!U216</f>
        <v>4002</v>
      </c>
      <c r="N216" s="119">
        <f>+'Cons spec tot e finalizzati'!V216-'Cons spec tot e finalizzati'!W216</f>
        <v>4279</v>
      </c>
    </row>
    <row r="217" spans="1:14" ht="12.75">
      <c r="A217" s="22"/>
      <c r="B217" s="14"/>
      <c r="C217" s="14" t="s">
        <v>36</v>
      </c>
      <c r="D217" s="26"/>
      <c r="F217" s="118">
        <f>+'Cons spec tot e finalizzati'!F217-'Cons spec tot e finalizzati'!G217</f>
        <v>65</v>
      </c>
      <c r="G217" s="118">
        <f>+'Cons spec tot e finalizzati'!H217-'Cons spec tot e finalizzati'!I217</f>
        <v>168</v>
      </c>
      <c r="H217" s="118">
        <f>+'Cons spec tot e finalizzati'!J217-'Cons spec tot e finalizzati'!K217</f>
        <v>284</v>
      </c>
      <c r="I217" s="118">
        <f>+'Cons spec tot e finalizzati'!L217-'Cons spec tot e finalizzati'!M217</f>
        <v>158</v>
      </c>
      <c r="J217" s="118">
        <f>+'Cons spec tot e finalizzati'!N217-'Cons spec tot e finalizzati'!O217</f>
        <v>159</v>
      </c>
      <c r="K217" s="118">
        <f>+'Cons spec tot e finalizzati'!P217-'Cons spec tot e finalizzati'!Q217</f>
        <v>192</v>
      </c>
      <c r="L217" s="118">
        <f>+'Cons spec tot e finalizzati'!R217-'Cons spec tot e finalizzati'!S217</f>
        <v>198</v>
      </c>
      <c r="M217" s="118">
        <f>+'Cons spec tot e finalizzati'!T217-'Cons spec tot e finalizzati'!U217</f>
        <v>187</v>
      </c>
      <c r="N217" s="118">
        <f>+'Cons spec tot e finalizzati'!V217-'Cons spec tot e finalizzati'!W217</f>
        <v>182</v>
      </c>
    </row>
    <row r="218" spans="1:14" ht="12.75">
      <c r="A218" s="22"/>
      <c r="B218" s="14"/>
      <c r="C218" s="14" t="s">
        <v>37</v>
      </c>
      <c r="D218" s="21"/>
      <c r="F218" s="118">
        <f>+'Cons spec tot e finalizzati'!F218-'Cons spec tot e finalizzati'!G218</f>
        <v>2104</v>
      </c>
      <c r="G218" s="118">
        <f>+'Cons spec tot e finalizzati'!H218-'Cons spec tot e finalizzati'!I218</f>
        <v>2053</v>
      </c>
      <c r="H218" s="118">
        <f>+'Cons spec tot e finalizzati'!J218-'Cons spec tot e finalizzati'!K218</f>
        <v>2095</v>
      </c>
      <c r="I218" s="118">
        <f>+'Cons spec tot e finalizzati'!L218-'Cons spec tot e finalizzati'!M218</f>
        <v>2411</v>
      </c>
      <c r="J218" s="118">
        <f>+'Cons spec tot e finalizzati'!N218-'Cons spec tot e finalizzati'!O218</f>
        <v>2573</v>
      </c>
      <c r="K218" s="118">
        <f>+'Cons spec tot e finalizzati'!P218-'Cons spec tot e finalizzati'!Q218</f>
        <v>2528</v>
      </c>
      <c r="L218" s="118">
        <f>+'Cons spec tot e finalizzati'!R218-'Cons spec tot e finalizzati'!S218</f>
        <v>2798</v>
      </c>
      <c r="M218" s="118">
        <f>+'Cons spec tot e finalizzati'!T218-'Cons spec tot e finalizzati'!U218</f>
        <v>2787</v>
      </c>
      <c r="N218" s="118">
        <f>+'Cons spec tot e finalizzati'!V218-'Cons spec tot e finalizzati'!W218</f>
        <v>3043</v>
      </c>
    </row>
    <row r="219" spans="1:14" ht="12.75">
      <c r="A219" s="22"/>
      <c r="B219" s="14"/>
      <c r="C219" s="14" t="s">
        <v>38</v>
      </c>
      <c r="D219" s="21"/>
      <c r="F219" s="118">
        <f>+'Cons spec tot e finalizzati'!F219-'Cons spec tot e finalizzati'!G219</f>
        <v>0</v>
      </c>
      <c r="G219" s="118">
        <f>+'Cons spec tot e finalizzati'!H219-'Cons spec tot e finalizzati'!I219</f>
        <v>0</v>
      </c>
      <c r="H219" s="118">
        <f>+'Cons spec tot e finalizzati'!J219-'Cons spec tot e finalizzati'!K219</f>
        <v>0</v>
      </c>
      <c r="I219" s="118">
        <f>+'Cons spec tot e finalizzati'!L219-'Cons spec tot e finalizzati'!M219</f>
        <v>0</v>
      </c>
      <c r="J219" s="118">
        <f>+'Cons spec tot e finalizzati'!N219-'Cons spec tot e finalizzati'!O219</f>
        <v>0</v>
      </c>
      <c r="K219" s="118">
        <f>+'Cons spec tot e finalizzati'!P219-'Cons spec tot e finalizzati'!Q219</f>
        <v>59</v>
      </c>
      <c r="L219" s="118">
        <f>+'Cons spec tot e finalizzati'!R219-'Cons spec tot e finalizzati'!S219</f>
        <v>46</v>
      </c>
      <c r="M219" s="118">
        <f>+'Cons spec tot e finalizzati'!T219-'Cons spec tot e finalizzati'!U219</f>
        <v>78</v>
      </c>
      <c r="N219" s="118">
        <f>+'Cons spec tot e finalizzati'!V219-'Cons spec tot e finalizzati'!W219</f>
        <v>63</v>
      </c>
    </row>
    <row r="220" spans="1:14" ht="12.75">
      <c r="A220" s="22"/>
      <c r="B220" s="14"/>
      <c r="C220" s="14" t="s">
        <v>39</v>
      </c>
      <c r="D220" s="21"/>
      <c r="F220" s="118">
        <f>+'Cons spec tot e finalizzati'!F220-'Cons spec tot e finalizzati'!G220</f>
        <v>46</v>
      </c>
      <c r="G220" s="118">
        <f>+'Cons spec tot e finalizzati'!H220-'Cons spec tot e finalizzati'!I220</f>
        <v>13</v>
      </c>
      <c r="H220" s="118">
        <f>+'Cons spec tot e finalizzati'!J220-'Cons spec tot e finalizzati'!K220</f>
        <v>70</v>
      </c>
      <c r="I220" s="118">
        <f>+'Cons spec tot e finalizzati'!L220-'Cons spec tot e finalizzati'!M220</f>
        <v>58</v>
      </c>
      <c r="J220" s="118">
        <f>+'Cons spec tot e finalizzati'!N220-'Cons spec tot e finalizzati'!O220</f>
        <v>51</v>
      </c>
      <c r="K220" s="118">
        <f>+'Cons spec tot e finalizzati'!P220-'Cons spec tot e finalizzati'!Q220</f>
        <v>108</v>
      </c>
      <c r="L220" s="118">
        <f>+'Cons spec tot e finalizzati'!R220-'Cons spec tot e finalizzati'!S220</f>
        <v>83</v>
      </c>
      <c r="M220" s="118">
        <f>+'Cons spec tot e finalizzati'!T220-'Cons spec tot e finalizzati'!U220</f>
        <v>123</v>
      </c>
      <c r="N220" s="118">
        <f>+'Cons spec tot e finalizzati'!V220-'Cons spec tot e finalizzati'!W220</f>
        <v>127</v>
      </c>
    </row>
    <row r="221" spans="1:14" ht="12.75">
      <c r="A221" s="22"/>
      <c r="B221" s="14"/>
      <c r="C221" s="14" t="s">
        <v>154</v>
      </c>
      <c r="D221" s="21"/>
      <c r="F221" s="118">
        <f>+'Cons spec tot e finalizzati'!F221-'Cons spec tot e finalizzati'!G221</f>
        <v>380</v>
      </c>
      <c r="G221" s="118">
        <f>+'Cons spec tot e finalizzati'!H221-'Cons spec tot e finalizzati'!I221</f>
        <v>408</v>
      </c>
      <c r="H221" s="118">
        <f>+'Cons spec tot e finalizzati'!J221-'Cons spec tot e finalizzati'!K221</f>
        <v>441</v>
      </c>
      <c r="I221" s="118">
        <f>+'Cons spec tot e finalizzati'!L221-'Cons spec tot e finalizzati'!M221</f>
        <v>445</v>
      </c>
      <c r="J221" s="118">
        <f>+'Cons spec tot e finalizzati'!N221-'Cons spec tot e finalizzati'!O221</f>
        <v>590</v>
      </c>
      <c r="K221" s="118">
        <f>+'Cons spec tot e finalizzati'!P221-'Cons spec tot e finalizzati'!Q221</f>
        <v>583</v>
      </c>
      <c r="L221" s="118">
        <f>+'Cons spec tot e finalizzati'!R221-'Cons spec tot e finalizzati'!S221</f>
        <v>718</v>
      </c>
      <c r="M221" s="118">
        <f>+'Cons spec tot e finalizzati'!T221-'Cons spec tot e finalizzati'!U221</f>
        <v>730</v>
      </c>
      <c r="N221" s="118">
        <f>+'Cons spec tot e finalizzati'!V221-'Cons spec tot e finalizzati'!W221</f>
        <v>757</v>
      </c>
    </row>
    <row r="222" spans="1:14" ht="12.75">
      <c r="A222" s="69"/>
      <c r="B222" s="28"/>
      <c r="C222" s="28" t="s">
        <v>155</v>
      </c>
      <c r="D222" s="70"/>
      <c r="E222" s="196"/>
      <c r="F222" s="114">
        <f>+'Cons spec tot e finalizzati'!F222-'Cons spec tot e finalizzati'!G222</f>
        <v>11</v>
      </c>
      <c r="G222" s="114">
        <f>+'Cons spec tot e finalizzati'!H222-'Cons spec tot e finalizzati'!I222</f>
        <v>83</v>
      </c>
      <c r="H222" s="114">
        <f>+'Cons spec tot e finalizzati'!J222-'Cons spec tot e finalizzati'!K222</f>
        <v>101</v>
      </c>
      <c r="I222" s="114">
        <f>+'Cons spec tot e finalizzati'!L222-'Cons spec tot e finalizzati'!M222</f>
        <v>98</v>
      </c>
      <c r="J222" s="114">
        <f>+'Cons spec tot e finalizzati'!N222-'Cons spec tot e finalizzati'!O222</f>
        <v>111</v>
      </c>
      <c r="K222" s="114">
        <f>+'Cons spec tot e finalizzati'!P222-'Cons spec tot e finalizzati'!Q222</f>
        <v>94</v>
      </c>
      <c r="L222" s="114">
        <f>+'Cons spec tot e finalizzati'!R222-'Cons spec tot e finalizzati'!S222</f>
        <v>115</v>
      </c>
      <c r="M222" s="114">
        <f>+'Cons spec tot e finalizzati'!T222-'Cons spec tot e finalizzati'!U222</f>
        <v>97</v>
      </c>
      <c r="N222" s="114">
        <f>+'Cons spec tot e finalizzati'!V222-'Cons spec tot e finalizzati'!W222</f>
        <v>107</v>
      </c>
    </row>
    <row r="223" spans="1:14" ht="12.75">
      <c r="A223" s="71"/>
      <c r="B223" s="72" t="s">
        <v>46</v>
      </c>
      <c r="C223" s="73"/>
      <c r="D223" s="74"/>
      <c r="E223" s="78"/>
      <c r="F223" s="119">
        <f>+'Cons spec tot e finalizzati'!F223-'Cons spec tot e finalizzati'!G223</f>
        <v>2757</v>
      </c>
      <c r="G223" s="119">
        <f>+'Cons spec tot e finalizzati'!H223-'Cons spec tot e finalizzati'!I223</f>
        <v>3059</v>
      </c>
      <c r="H223" s="119">
        <f>+'Cons spec tot e finalizzati'!J223-'Cons spec tot e finalizzati'!K223</f>
        <v>3122</v>
      </c>
      <c r="I223" s="119">
        <f>+'Cons spec tot e finalizzati'!L223-'Cons spec tot e finalizzati'!M223</f>
        <v>3371.5</v>
      </c>
      <c r="J223" s="119">
        <f>+'Cons spec tot e finalizzati'!N223-'Cons spec tot e finalizzati'!O223</f>
        <v>3499</v>
      </c>
      <c r="K223" s="119">
        <f>+'Cons spec tot e finalizzati'!P223-'Cons spec tot e finalizzati'!Q223</f>
        <v>3534</v>
      </c>
      <c r="L223" s="119">
        <f>+'Cons spec tot e finalizzati'!R223-'Cons spec tot e finalizzati'!S223</f>
        <v>3814</v>
      </c>
      <c r="M223" s="119">
        <f>+'Cons spec tot e finalizzati'!T223-'Cons spec tot e finalizzati'!U223</f>
        <v>3838</v>
      </c>
      <c r="N223" s="119">
        <f>+'Cons spec tot e finalizzati'!V223-'Cons spec tot e finalizzati'!W223</f>
        <v>3823</v>
      </c>
    </row>
    <row r="224" spans="1:14" ht="12.75">
      <c r="A224" s="22"/>
      <c r="B224" s="14"/>
      <c r="C224" s="14" t="s">
        <v>36</v>
      </c>
      <c r="D224" s="21"/>
      <c r="F224" s="118">
        <f>+'Cons spec tot e finalizzati'!F224-'Cons spec tot e finalizzati'!G224</f>
        <v>76</v>
      </c>
      <c r="G224" s="118">
        <f>+'Cons spec tot e finalizzati'!H224-'Cons spec tot e finalizzati'!I224</f>
        <v>162</v>
      </c>
      <c r="H224" s="118">
        <f>+'Cons spec tot e finalizzati'!J224-'Cons spec tot e finalizzati'!K224</f>
        <v>179</v>
      </c>
      <c r="I224" s="118">
        <f>+'Cons spec tot e finalizzati'!L224-'Cons spec tot e finalizzati'!M224</f>
        <v>205</v>
      </c>
      <c r="J224" s="118">
        <f>+'Cons spec tot e finalizzati'!N224-'Cons spec tot e finalizzati'!O224</f>
        <v>231</v>
      </c>
      <c r="K224" s="118">
        <f>+'Cons spec tot e finalizzati'!P224-'Cons spec tot e finalizzati'!Q224</f>
        <v>197</v>
      </c>
      <c r="L224" s="118">
        <f>+'Cons spec tot e finalizzati'!R224-'Cons spec tot e finalizzati'!S224</f>
        <v>211</v>
      </c>
      <c r="M224" s="118">
        <f>+'Cons spec tot e finalizzati'!T224-'Cons spec tot e finalizzati'!U224</f>
        <v>172</v>
      </c>
      <c r="N224" s="118">
        <f>+'Cons spec tot e finalizzati'!V224-'Cons spec tot e finalizzati'!W224</f>
        <v>189</v>
      </c>
    </row>
    <row r="225" spans="1:14" ht="12.75">
      <c r="A225" s="22"/>
      <c r="B225" s="14"/>
      <c r="C225" s="14" t="s">
        <v>37</v>
      </c>
      <c r="D225" s="21"/>
      <c r="F225" s="118">
        <f>+'Cons spec tot e finalizzati'!F225-'Cons spec tot e finalizzati'!G225</f>
        <v>1989</v>
      </c>
      <c r="G225" s="118">
        <f>+'Cons spec tot e finalizzati'!H225-'Cons spec tot e finalizzati'!I225</f>
        <v>2163</v>
      </c>
      <c r="H225" s="118">
        <f>+'Cons spec tot e finalizzati'!J225-'Cons spec tot e finalizzati'!K225</f>
        <v>2254</v>
      </c>
      <c r="I225" s="118">
        <f>+'Cons spec tot e finalizzati'!L225-'Cons spec tot e finalizzati'!M225</f>
        <v>2392.5</v>
      </c>
      <c r="J225" s="118">
        <f>+'Cons spec tot e finalizzati'!N225-'Cons spec tot e finalizzati'!O225</f>
        <v>2315</v>
      </c>
      <c r="K225" s="118">
        <f>+'Cons spec tot e finalizzati'!P225-'Cons spec tot e finalizzati'!Q225</f>
        <v>2265</v>
      </c>
      <c r="L225" s="118">
        <f>+'Cons spec tot e finalizzati'!R225-'Cons spec tot e finalizzati'!S225</f>
        <v>2499</v>
      </c>
      <c r="M225" s="118">
        <f>+'Cons spec tot e finalizzati'!T225-'Cons spec tot e finalizzati'!U225</f>
        <v>2503</v>
      </c>
      <c r="N225" s="118">
        <f>+'Cons spec tot e finalizzati'!V225-'Cons spec tot e finalizzati'!W225</f>
        <v>2492</v>
      </c>
    </row>
    <row r="226" spans="1:14" ht="12.75">
      <c r="A226" s="22"/>
      <c r="B226" s="14"/>
      <c r="C226" s="14" t="s">
        <v>38</v>
      </c>
      <c r="D226" s="21"/>
      <c r="F226" s="118">
        <f>+'Cons spec tot e finalizzati'!F226-'Cons spec tot e finalizzati'!G226</f>
        <v>0</v>
      </c>
      <c r="G226" s="118">
        <f>+'Cons spec tot e finalizzati'!H226-'Cons spec tot e finalizzati'!I226</f>
        <v>0</v>
      </c>
      <c r="H226" s="118">
        <f>+'Cons spec tot e finalizzati'!J226-'Cons spec tot e finalizzati'!K226</f>
        <v>0</v>
      </c>
      <c r="I226" s="118">
        <f>+'Cons spec tot e finalizzati'!L226-'Cons spec tot e finalizzati'!M226</f>
        <v>0</v>
      </c>
      <c r="J226" s="118">
        <f>+'Cons spec tot e finalizzati'!N226-'Cons spec tot e finalizzati'!O226</f>
        <v>0</v>
      </c>
      <c r="K226" s="118">
        <f>+'Cons spec tot e finalizzati'!P226-'Cons spec tot e finalizzati'!Q226</f>
        <v>32</v>
      </c>
      <c r="L226" s="118">
        <f>+'Cons spec tot e finalizzati'!R226-'Cons spec tot e finalizzati'!S226</f>
        <v>40</v>
      </c>
      <c r="M226" s="118">
        <f>+'Cons spec tot e finalizzati'!T226-'Cons spec tot e finalizzati'!U226</f>
        <v>43</v>
      </c>
      <c r="N226" s="118">
        <f>+'Cons spec tot e finalizzati'!V226-'Cons spec tot e finalizzati'!W226</f>
        <v>48</v>
      </c>
    </row>
    <row r="227" spans="1:14" ht="12.75">
      <c r="A227" s="22"/>
      <c r="B227" s="14"/>
      <c r="C227" s="14" t="s">
        <v>39</v>
      </c>
      <c r="D227" s="21"/>
      <c r="F227" s="118">
        <f>+'Cons spec tot e finalizzati'!F227-'Cons spec tot e finalizzati'!G227</f>
        <v>7</v>
      </c>
      <c r="G227" s="118">
        <f>+'Cons spec tot e finalizzati'!H227-'Cons spec tot e finalizzati'!I227</f>
        <v>0</v>
      </c>
      <c r="H227" s="118">
        <f>+'Cons spec tot e finalizzati'!J227-'Cons spec tot e finalizzati'!K227</f>
        <v>0</v>
      </c>
      <c r="I227" s="118">
        <f>+'Cons spec tot e finalizzati'!L227-'Cons spec tot e finalizzati'!M227</f>
        <v>0</v>
      </c>
      <c r="J227" s="118">
        <f>+'Cons spec tot e finalizzati'!N227-'Cons spec tot e finalizzati'!O227</f>
        <v>29</v>
      </c>
      <c r="K227" s="118">
        <f>+'Cons spec tot e finalizzati'!P227-'Cons spec tot e finalizzati'!Q227</f>
        <v>29</v>
      </c>
      <c r="L227" s="118">
        <f>+'Cons spec tot e finalizzati'!R227-'Cons spec tot e finalizzati'!S227</f>
        <v>35</v>
      </c>
      <c r="M227" s="118">
        <f>+'Cons spec tot e finalizzati'!T227-'Cons spec tot e finalizzati'!U227</f>
        <v>44</v>
      </c>
      <c r="N227" s="118">
        <f>+'Cons spec tot e finalizzati'!V227-'Cons spec tot e finalizzati'!W227</f>
        <v>60</v>
      </c>
    </row>
    <row r="228" spans="1:14" ht="12.75">
      <c r="A228" s="22"/>
      <c r="B228" s="14"/>
      <c r="C228" s="14" t="s">
        <v>154</v>
      </c>
      <c r="D228" s="21"/>
      <c r="F228" s="118">
        <f>+'Cons spec tot e finalizzati'!F228-'Cons spec tot e finalizzati'!G228</f>
        <v>620</v>
      </c>
      <c r="G228" s="118">
        <f>+'Cons spec tot e finalizzati'!H228-'Cons spec tot e finalizzati'!I228</f>
        <v>657</v>
      </c>
      <c r="H228" s="118">
        <f>+'Cons spec tot e finalizzati'!J228-'Cons spec tot e finalizzati'!K228</f>
        <v>656</v>
      </c>
      <c r="I228" s="118">
        <f>+'Cons spec tot e finalizzati'!L228-'Cons spec tot e finalizzati'!M228</f>
        <v>672</v>
      </c>
      <c r="J228" s="118">
        <f>+'Cons spec tot e finalizzati'!N228-'Cons spec tot e finalizzati'!O228</f>
        <v>820</v>
      </c>
      <c r="K228" s="118">
        <f>+'Cons spec tot e finalizzati'!P228-'Cons spec tot e finalizzati'!Q228</f>
        <v>849</v>
      </c>
      <c r="L228" s="118">
        <f>+'Cons spec tot e finalizzati'!R228-'Cons spec tot e finalizzati'!S228</f>
        <v>898</v>
      </c>
      <c r="M228" s="118">
        <f>+'Cons spec tot e finalizzati'!T228-'Cons spec tot e finalizzati'!U228</f>
        <v>984</v>
      </c>
      <c r="N228" s="118">
        <f>+'Cons spec tot e finalizzati'!V228-'Cons spec tot e finalizzati'!W228</f>
        <v>938</v>
      </c>
    </row>
    <row r="229" spans="1:14" ht="12.75">
      <c r="A229" s="22"/>
      <c r="B229" s="14"/>
      <c r="C229" s="14" t="s">
        <v>155</v>
      </c>
      <c r="D229" s="21"/>
      <c r="F229" s="118">
        <f>+'Cons spec tot e finalizzati'!F229-'Cons spec tot e finalizzati'!G229</f>
        <v>65</v>
      </c>
      <c r="G229" s="118">
        <f>+'Cons spec tot e finalizzati'!H229-'Cons spec tot e finalizzati'!I229</f>
        <v>77</v>
      </c>
      <c r="H229" s="118">
        <f>+'Cons spec tot e finalizzati'!J229-'Cons spec tot e finalizzati'!K229</f>
        <v>33</v>
      </c>
      <c r="I229" s="118">
        <f>+'Cons spec tot e finalizzati'!L229-'Cons spec tot e finalizzati'!M229</f>
        <v>102</v>
      </c>
      <c r="J229" s="118">
        <f>+'Cons spec tot e finalizzati'!N229-'Cons spec tot e finalizzati'!O229</f>
        <v>105</v>
      </c>
      <c r="K229" s="118">
        <f>+'Cons spec tot e finalizzati'!P229-'Cons spec tot e finalizzati'!Q229</f>
        <v>162</v>
      </c>
      <c r="L229" s="118">
        <f>+'Cons spec tot e finalizzati'!R229-'Cons spec tot e finalizzati'!S229</f>
        <v>131</v>
      </c>
      <c r="M229" s="118">
        <f>+'Cons spec tot e finalizzati'!T229-'Cons spec tot e finalizzati'!U229</f>
        <v>92</v>
      </c>
      <c r="N229" s="118">
        <f>+'Cons spec tot e finalizzati'!V229-'Cons spec tot e finalizzati'!W229</f>
        <v>96</v>
      </c>
    </row>
    <row r="230" spans="1:14" ht="12.75">
      <c r="A230" s="71"/>
      <c r="B230" s="72" t="s">
        <v>47</v>
      </c>
      <c r="C230" s="73"/>
      <c r="D230" s="74"/>
      <c r="F230" s="119">
        <f>+'Cons spec tot e finalizzati'!F230-'Cons spec tot e finalizzati'!G230</f>
        <v>3033</v>
      </c>
      <c r="G230" s="119">
        <f>+'Cons spec tot e finalizzati'!H230-'Cons spec tot e finalizzati'!I230</f>
        <v>3315</v>
      </c>
      <c r="H230" s="119">
        <f>+'Cons spec tot e finalizzati'!J230-'Cons spec tot e finalizzati'!K230</f>
        <v>3641</v>
      </c>
      <c r="I230" s="119">
        <f>+'Cons spec tot e finalizzati'!L230-'Cons spec tot e finalizzati'!M230</f>
        <v>3953</v>
      </c>
      <c r="J230" s="119">
        <f>+'Cons spec tot e finalizzati'!N230-'Cons spec tot e finalizzati'!O230</f>
        <v>4146.506293027315</v>
      </c>
      <c r="K230" s="119">
        <f>+'Cons spec tot e finalizzati'!P230-'Cons spec tot e finalizzati'!Q230</f>
        <v>4554</v>
      </c>
      <c r="L230" s="119">
        <f>+'Cons spec tot e finalizzati'!R230-'Cons spec tot e finalizzati'!S230</f>
        <v>4505</v>
      </c>
      <c r="M230" s="119">
        <f>+'Cons spec tot e finalizzati'!T230-'Cons spec tot e finalizzati'!U230</f>
        <v>4614</v>
      </c>
      <c r="N230" s="119">
        <f>+'Cons spec tot e finalizzati'!V230-'Cons spec tot e finalizzati'!W230</f>
        <v>4654</v>
      </c>
    </row>
    <row r="231" spans="1:14" ht="12.75">
      <c r="A231" s="22"/>
      <c r="B231" s="27"/>
      <c r="C231" s="14" t="s">
        <v>36</v>
      </c>
      <c r="D231" s="21"/>
      <c r="F231" s="118">
        <f>+'Cons spec tot e finalizzati'!F231-'Cons spec tot e finalizzati'!G231</f>
        <v>157</v>
      </c>
      <c r="G231" s="118">
        <f>+'Cons spec tot e finalizzati'!H231-'Cons spec tot e finalizzati'!I231</f>
        <v>348</v>
      </c>
      <c r="H231" s="118">
        <f>+'Cons spec tot e finalizzati'!J231-'Cons spec tot e finalizzati'!K231</f>
        <v>370</v>
      </c>
      <c r="I231" s="118">
        <f>+'Cons spec tot e finalizzati'!L231-'Cons spec tot e finalizzati'!M231</f>
        <v>349</v>
      </c>
      <c r="J231" s="118">
        <f>+'Cons spec tot e finalizzati'!N231-'Cons spec tot e finalizzati'!O231</f>
        <v>309</v>
      </c>
      <c r="K231" s="118">
        <f>+'Cons spec tot e finalizzati'!P231-'Cons spec tot e finalizzati'!Q231</f>
        <v>289</v>
      </c>
      <c r="L231" s="118">
        <f>+'Cons spec tot e finalizzati'!R231-'Cons spec tot e finalizzati'!S231</f>
        <v>199</v>
      </c>
      <c r="M231" s="118">
        <f>+'Cons spec tot e finalizzati'!T231-'Cons spec tot e finalizzati'!U231</f>
        <v>263</v>
      </c>
      <c r="N231" s="118">
        <f>+'Cons spec tot e finalizzati'!V231-'Cons spec tot e finalizzati'!W231</f>
        <v>275</v>
      </c>
    </row>
    <row r="232" spans="1:14" ht="12.75">
      <c r="A232" s="22"/>
      <c r="B232" s="27"/>
      <c r="C232" s="14" t="s">
        <v>37</v>
      </c>
      <c r="D232" s="21"/>
      <c r="F232" s="118">
        <f>+'Cons spec tot e finalizzati'!F232-'Cons spec tot e finalizzati'!G232</f>
        <v>2217</v>
      </c>
      <c r="G232" s="118">
        <f>+'Cons spec tot e finalizzati'!H232-'Cons spec tot e finalizzati'!I232</f>
        <v>2271</v>
      </c>
      <c r="H232" s="118">
        <f>+'Cons spec tot e finalizzati'!J232-'Cons spec tot e finalizzati'!K232</f>
        <v>2441</v>
      </c>
      <c r="I232" s="118">
        <f>+'Cons spec tot e finalizzati'!L232-'Cons spec tot e finalizzati'!M232</f>
        <v>2684</v>
      </c>
      <c r="J232" s="118">
        <f>+'Cons spec tot e finalizzati'!N232-'Cons spec tot e finalizzati'!O232</f>
        <v>2788.506293027315</v>
      </c>
      <c r="K232" s="118">
        <f>+'Cons spec tot e finalizzati'!P232-'Cons spec tot e finalizzati'!Q232</f>
        <v>2883</v>
      </c>
      <c r="L232" s="118">
        <f>+'Cons spec tot e finalizzati'!R232-'Cons spec tot e finalizzati'!S232</f>
        <v>2919</v>
      </c>
      <c r="M232" s="118">
        <f>+'Cons spec tot e finalizzati'!T232-'Cons spec tot e finalizzati'!U232</f>
        <v>2929</v>
      </c>
      <c r="N232" s="118">
        <f>+'Cons spec tot e finalizzati'!V232-'Cons spec tot e finalizzati'!W232</f>
        <v>2719</v>
      </c>
    </row>
    <row r="233" spans="1:14" ht="12.75">
      <c r="A233" s="22"/>
      <c r="B233" s="27"/>
      <c r="C233" s="14" t="s">
        <v>38</v>
      </c>
      <c r="D233" s="21"/>
      <c r="F233" s="118">
        <f>+'Cons spec tot e finalizzati'!F233-'Cons spec tot e finalizzati'!G233</f>
        <v>0</v>
      </c>
      <c r="G233" s="118">
        <f>+'Cons spec tot e finalizzati'!H233-'Cons spec tot e finalizzati'!I233</f>
        <v>0</v>
      </c>
      <c r="H233" s="118">
        <f>+'Cons spec tot e finalizzati'!J233-'Cons spec tot e finalizzati'!K233</f>
        <v>0</v>
      </c>
      <c r="I233" s="118">
        <f>+'Cons spec tot e finalizzati'!L233-'Cons spec tot e finalizzati'!M233</f>
        <v>0</v>
      </c>
      <c r="J233" s="118">
        <f>+'Cons spec tot e finalizzati'!N233-'Cons spec tot e finalizzati'!O233</f>
        <v>0</v>
      </c>
      <c r="K233" s="118">
        <f>+'Cons spec tot e finalizzati'!P233-'Cons spec tot e finalizzati'!Q233</f>
        <v>58</v>
      </c>
      <c r="L233" s="118">
        <f>+'Cons spec tot e finalizzati'!R233-'Cons spec tot e finalizzati'!S233</f>
        <v>79</v>
      </c>
      <c r="M233" s="118">
        <f>+'Cons spec tot e finalizzati'!T233-'Cons spec tot e finalizzati'!U233</f>
        <v>50</v>
      </c>
      <c r="N233" s="118">
        <f>+'Cons spec tot e finalizzati'!V233-'Cons spec tot e finalizzati'!W233</f>
        <v>91</v>
      </c>
    </row>
    <row r="234" spans="1:14" ht="12.75">
      <c r="A234" s="22"/>
      <c r="B234" s="27"/>
      <c r="C234" s="14" t="s">
        <v>39</v>
      </c>
      <c r="D234" s="21"/>
      <c r="F234" s="118">
        <f>+'Cons spec tot e finalizzati'!F234-'Cons spec tot e finalizzati'!G234</f>
        <v>66</v>
      </c>
      <c r="G234" s="118">
        <f>+'Cons spec tot e finalizzati'!H234-'Cons spec tot e finalizzati'!I234</f>
        <v>18</v>
      </c>
      <c r="H234" s="118">
        <f>+'Cons spec tot e finalizzati'!J234-'Cons spec tot e finalizzati'!K234</f>
        <v>69</v>
      </c>
      <c r="I234" s="118">
        <f>+'Cons spec tot e finalizzati'!L234-'Cons spec tot e finalizzati'!M234</f>
        <v>57</v>
      </c>
      <c r="J234" s="118">
        <f>+'Cons spec tot e finalizzati'!N234-'Cons spec tot e finalizzati'!O234</f>
        <v>72</v>
      </c>
      <c r="K234" s="118">
        <f>+'Cons spec tot e finalizzati'!P234-'Cons spec tot e finalizzati'!Q234</f>
        <v>72</v>
      </c>
      <c r="L234" s="118">
        <f>+'Cons spec tot e finalizzati'!R234-'Cons spec tot e finalizzati'!S234</f>
        <v>85</v>
      </c>
      <c r="M234" s="118">
        <f>+'Cons spec tot e finalizzati'!T234-'Cons spec tot e finalizzati'!U234</f>
        <v>118</v>
      </c>
      <c r="N234" s="118">
        <f>+'Cons spec tot e finalizzati'!V234-'Cons spec tot e finalizzati'!W234</f>
        <v>131</v>
      </c>
    </row>
    <row r="235" spans="1:14" ht="12.75">
      <c r="A235" s="22"/>
      <c r="B235" s="27"/>
      <c r="C235" s="14" t="s">
        <v>154</v>
      </c>
      <c r="D235" s="21"/>
      <c r="F235" s="118">
        <f>+'Cons spec tot e finalizzati'!F235-'Cons spec tot e finalizzati'!G235</f>
        <v>470</v>
      </c>
      <c r="G235" s="118">
        <f>+'Cons spec tot e finalizzati'!H235-'Cons spec tot e finalizzati'!I235</f>
        <v>524</v>
      </c>
      <c r="H235" s="118">
        <f>+'Cons spec tot e finalizzati'!J235-'Cons spec tot e finalizzati'!K235</f>
        <v>577</v>
      </c>
      <c r="I235" s="118">
        <f>+'Cons spec tot e finalizzati'!L235-'Cons spec tot e finalizzati'!M235</f>
        <v>711</v>
      </c>
      <c r="J235" s="118">
        <f>+'Cons spec tot e finalizzati'!N235-'Cons spec tot e finalizzati'!O235</f>
        <v>821</v>
      </c>
      <c r="K235" s="118">
        <f>+'Cons spec tot e finalizzati'!P235-'Cons spec tot e finalizzati'!Q235</f>
        <v>924</v>
      </c>
      <c r="L235" s="118">
        <f>+'Cons spec tot e finalizzati'!R235-'Cons spec tot e finalizzati'!S235</f>
        <v>853</v>
      </c>
      <c r="M235" s="118">
        <f>+'Cons spec tot e finalizzati'!T235-'Cons spec tot e finalizzati'!U235</f>
        <v>949</v>
      </c>
      <c r="N235" s="118">
        <f>+'Cons spec tot e finalizzati'!V235-'Cons spec tot e finalizzati'!W235</f>
        <v>1077</v>
      </c>
    </row>
    <row r="236" spans="1:14" ht="12.75">
      <c r="A236" s="22"/>
      <c r="B236" s="27"/>
      <c r="C236" s="14" t="s">
        <v>155</v>
      </c>
      <c r="D236" s="21"/>
      <c r="F236" s="114">
        <f>+'Cons spec tot e finalizzati'!F236-'Cons spec tot e finalizzati'!G236</f>
        <v>123</v>
      </c>
      <c r="G236" s="114">
        <f>+'Cons spec tot e finalizzati'!H236-'Cons spec tot e finalizzati'!I236</f>
        <v>154</v>
      </c>
      <c r="H236" s="114">
        <f>+'Cons spec tot e finalizzati'!J236-'Cons spec tot e finalizzati'!K236</f>
        <v>184</v>
      </c>
      <c r="I236" s="114">
        <f>+'Cons spec tot e finalizzati'!L236-'Cons spec tot e finalizzati'!M236</f>
        <v>152</v>
      </c>
      <c r="J236" s="114">
        <f>+'Cons spec tot e finalizzati'!N236-'Cons spec tot e finalizzati'!O236</f>
        <v>156</v>
      </c>
      <c r="K236" s="114">
        <f>+'Cons spec tot e finalizzati'!P236-'Cons spec tot e finalizzati'!Q236</f>
        <v>328</v>
      </c>
      <c r="L236" s="114">
        <f>+'Cons spec tot e finalizzati'!R236-'Cons spec tot e finalizzati'!S236</f>
        <v>370</v>
      </c>
      <c r="M236" s="114">
        <f>+'Cons spec tot e finalizzati'!T236-'Cons spec tot e finalizzati'!U236</f>
        <v>305</v>
      </c>
      <c r="N236" s="114">
        <f>+'Cons spec tot e finalizzati'!V236-'Cons spec tot e finalizzati'!W236</f>
        <v>361</v>
      </c>
    </row>
    <row r="237" spans="1:14" ht="15.75">
      <c r="A237" s="189" t="s">
        <v>49</v>
      </c>
      <c r="B237" s="190"/>
      <c r="C237" s="190"/>
      <c r="D237" s="191"/>
      <c r="E237" s="64"/>
      <c r="F237" s="120">
        <f>+'Cons spec tot e finalizzati'!F237-'Cons spec tot e finalizzati'!G237</f>
        <v>87295</v>
      </c>
      <c r="G237" s="120">
        <f>+'Cons spec tot e finalizzati'!H237-'Cons spec tot e finalizzati'!I237</f>
        <v>105532</v>
      </c>
      <c r="H237" s="120">
        <f>+'Cons spec tot e finalizzati'!J237-'Cons spec tot e finalizzati'!K237</f>
        <v>99212</v>
      </c>
      <c r="I237" s="120">
        <f>+'Cons spec tot e finalizzati'!L237-'Cons spec tot e finalizzati'!M237</f>
        <v>108868</v>
      </c>
      <c r="J237" s="120">
        <f>+'Cons spec tot e finalizzati'!N237-'Cons spec tot e finalizzati'!O237</f>
        <v>111909.1264286489</v>
      </c>
      <c r="K237" s="120">
        <f>+'Cons spec tot e finalizzati'!P237-'Cons spec tot e finalizzati'!Q237</f>
        <v>116842</v>
      </c>
      <c r="L237" s="120">
        <f>+'Cons spec tot e finalizzati'!R237-'Cons spec tot e finalizzati'!S237</f>
        <v>120908</v>
      </c>
      <c r="M237" s="120">
        <f>+'Cons spec tot e finalizzati'!T237-'Cons spec tot e finalizzati'!U237</f>
        <v>127539</v>
      </c>
      <c r="N237" s="120">
        <f>+'Cons spec tot e finalizzati'!V237-'Cons spec tot e finalizzati'!W237</f>
        <v>126557</v>
      </c>
    </row>
    <row r="238" ht="6" customHeight="1">
      <c r="A238" s="41"/>
    </row>
    <row r="239" spans="1:13" ht="12.75">
      <c r="A239" s="31" t="s">
        <v>93</v>
      </c>
      <c r="K239" s="65"/>
      <c r="L239" s="65"/>
      <c r="M239" s="65"/>
    </row>
    <row r="240" ht="12.75">
      <c r="A240" s="31" t="s">
        <v>159</v>
      </c>
    </row>
    <row r="241" ht="3" customHeight="1"/>
    <row r="242" ht="12.75">
      <c r="A242" s="51" t="s">
        <v>128</v>
      </c>
    </row>
    <row r="243" ht="12.75">
      <c r="A243" s="41"/>
    </row>
    <row r="244" ht="12.75">
      <c r="A244" s="31"/>
    </row>
    <row r="245" ht="12.75">
      <c r="A245" s="31"/>
    </row>
    <row r="246" spans="1:35" s="1" customFormat="1" ht="12.75">
      <c r="A246" s="31"/>
      <c r="B246" s="3"/>
      <c r="C246" s="3"/>
      <c r="D246" s="4"/>
      <c r="E246"/>
      <c r="F246" s="95"/>
      <c r="G246" s="95"/>
      <c r="H246" s="95"/>
      <c r="I246" s="95"/>
      <c r="J246" s="121"/>
      <c r="K246" s="95"/>
      <c r="L246" s="95"/>
      <c r="M246" s="95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</row>
    <row r="247" ht="12.75">
      <c r="A247" s="31"/>
    </row>
    <row r="248" ht="12.75">
      <c r="A248" s="31"/>
    </row>
    <row r="249" ht="12.75">
      <c r="A249" s="31"/>
    </row>
    <row r="250" ht="12.75">
      <c r="A250" s="31"/>
    </row>
    <row r="251" ht="12.75">
      <c r="A251" s="31"/>
    </row>
    <row r="252" ht="12.75">
      <c r="A252" s="31"/>
    </row>
    <row r="253" ht="12.75">
      <c r="A253" s="31"/>
    </row>
    <row r="254" ht="12.75">
      <c r="A254" s="31"/>
    </row>
    <row r="255" ht="12.75">
      <c r="A255" s="31"/>
    </row>
    <row r="256" ht="12.75">
      <c r="A256" s="31"/>
    </row>
    <row r="257" ht="12.75">
      <c r="A257" s="31"/>
    </row>
    <row r="258" ht="12.75">
      <c r="A258" s="31"/>
    </row>
    <row r="259" ht="12.75">
      <c r="A259" s="31"/>
    </row>
    <row r="260" ht="12.75">
      <c r="A260" s="31"/>
    </row>
    <row r="261" ht="12.75">
      <c r="A261" s="31"/>
    </row>
    <row r="262" ht="12.75">
      <c r="A262" s="31"/>
    </row>
    <row r="263" ht="12.75">
      <c r="A263" s="31"/>
    </row>
    <row r="264" ht="12.75">
      <c r="A264" s="31"/>
    </row>
    <row r="265" ht="12.75">
      <c r="A265" s="31"/>
    </row>
    <row r="266" ht="12.75">
      <c r="A266" s="31"/>
    </row>
    <row r="268" ht="12.75">
      <c r="A268" s="31"/>
    </row>
    <row r="455" ht="12.75">
      <c r="F455" s="95" t="s">
        <v>50</v>
      </c>
    </row>
  </sheetData>
  <hyperlinks>
    <hyperlink ref="B89:D89" location="ISTRUZIONE!D1" display="ISTRUZIONE!D1"/>
    <hyperlink ref="B89" location="ISTRUZIONE!E1" display="ISTRUZIONE!E1"/>
    <hyperlink ref="C89" location="ISTRUZIONE!V1" display="ISTRUZIONE!V1"/>
    <hyperlink ref="B121:D121" location="'SPORT E GIOVANI'!V1" display="'SPORT E GIOVANI'!V1"/>
    <hyperlink ref="A57:D57" location="INGEGNERIA!P1" display="INGEGNERIA!P1"/>
    <hyperlink ref="D57" location="INGEGNERIA!P1" display="INGEGNERIA!P1"/>
    <hyperlink ref="B151:D151" location="MANUTENZIONE!S1" display="MANUTENZIONE!S1"/>
    <hyperlink ref="A42:D42" location="PERSONALE!R1" display="PERSONALE!R1"/>
    <hyperlink ref="A49:D49" location="'P&amp;C'!S1" display="'P&amp;C'!S1"/>
    <hyperlink ref="A53:D53" location="'SISTEMI INFO'!S1" display="'SISTEMI INFO'!S1"/>
    <hyperlink ref="B115:D115" location="ECONOMIA!T1" display="ECONOMIA!T1"/>
    <hyperlink ref="B99:D99" location="CULTURA!R1" display="CULTURA!R1"/>
    <hyperlink ref="B138:D138" location="MOBILITA!T1" display="MOBILITA!T1"/>
    <hyperlink ref="B133:D133" location="TERRITORIO!S1" display="TERRITORIO!S1"/>
    <hyperlink ref="B98:D98" location="PROGXCOMUNICARE!P1" display="PROGXCOMUNICARE!P1"/>
    <hyperlink ref="B76:D76" location="SALUTE!T1" display="SALUTE!T1"/>
    <hyperlink ref="B80:D80" location="'SERVIZI SOCIALI'!T1" display="'SERVIZI SOCIALI'!T1"/>
    <hyperlink ref="A12:D12" location="GABINETTO!S1" display="GABINETTO!S1"/>
    <hyperlink ref="A26:D26" location="SEGR.GEN!t1" display="SEGR.GEN!t1"/>
    <hyperlink ref="A167:D167" location="PM!S1" display="PM!S1"/>
    <hyperlink ref="A23:D23" location="'STAFF CONS'!S1" display="'STAFF CONS'!S1"/>
    <hyperlink ref="A24:D24" location="'PART. SOCIETARIE'!A1" display="'PART. SOCIETARIE'!A1"/>
    <hyperlink ref="A25:D25" location="LEGALE!S1" display="LEGALE!S1"/>
    <hyperlink ref="A35:D35" location="FINANZA!S1" display="FINANZA!S1"/>
    <hyperlink ref="B155:D155" location="'SPORTELLO CIT'!S1" display="'SPORTELLO CIT'!S1"/>
    <hyperlink ref="A173" location="QUARTIERI!S1" display="QUARTIERI!S1"/>
    <hyperlink ref="A29:D29" location="'AFFARI IST'!S1" display="'AFFARI IST'!S1"/>
    <hyperlink ref="A39:D39" location="ACQUISTI!S1" display="ACQUISTI!S1"/>
    <hyperlink ref="B159:D159" location="'SPORTELLO IMPR'!P1" display="'SPORTELLO IMPR'!P1"/>
    <hyperlink ref="A9:D9" location="'DIREZIONE GEN'!S1" display="'DIREZIONE GEN'!S1"/>
    <hyperlink ref="A74:D74" location="'AREA servizi persone'!A1" display="'AREA servizi persone'!A1"/>
    <hyperlink ref="A96:D96" location="'AREA SVILUPPO SOCIO-EC'!T1" display="'AREA SVILUPPO SOCIO-EC'!T1"/>
    <hyperlink ref="A128:D128" location="'AREA QUALITA'' URBANA'!t1" display="'AREA QUALITA'' URBANA'!t1"/>
    <hyperlink ref="A154:D154" location="'AREA COM. E RAP. CON CIT'!T1" display="'AREA COM. E RAP. CON CIT'!T1"/>
    <hyperlink ref="A237:D237" location="TOTALE!T1" display="TOTALE!T1"/>
    <hyperlink ref="A17" location="'Politiche sicurezza'!A1" display="'Politiche sicurezza'!A1"/>
    <hyperlink ref="A27:C27" location="SEGRETARIO!A1" display="SEGRETARIO!A1"/>
    <hyperlink ref="A28:C28" location="'STAFF AMM.'!A1" display="'STAFF AMM.'!A1"/>
    <hyperlink ref="B36:C36" location="RAGIONERIA!A1" display="RAGIONERIA!A1"/>
    <hyperlink ref="B37:C37" location="ENTRATE!A1" display="ENTRATE!A1"/>
    <hyperlink ref="B38:C38" location="PATRIMONIO!A1" display="PATRIMONIO!A1"/>
    <hyperlink ref="B98:C98" location="'PROGnuove ist museali'!A1" display="'PROGnuove ist museali'!A1"/>
    <hyperlink ref="B133:C133" location="'Programmi urbanistici'!A1" display="'Programmi urbanistici'!A1"/>
    <hyperlink ref="B150:C150" location="'Interventi per casa'!A1" display="'Interventi per casa'!A1"/>
    <hyperlink ref="B151:C151" location="'Ambiente e verde'!A1" display="'Ambiente e verde'!A1"/>
    <hyperlink ref="B155:C155" location="Comunicazione!A1" display="Comunicazione!A1"/>
    <hyperlink ref="B162:C162" location="DEMOGRAFICI!A1" display="DEMOGRAFICI!A1"/>
    <hyperlink ref="B162" location="DEMOGRAFICI!A1" display="DEMOGRAFICI!A1"/>
    <hyperlink ref="A35:C35" location="'AREA FINANZA'!A1" display="'AREA FINANZA'!A1"/>
    <hyperlink ref="A57:C57" location="'Lavori pubblici'!A1" display="'Lavori pubblici'!A1"/>
    <hyperlink ref="A96:C96" location="'AREA SAPERI ED EC'!A1" display="'AREA SAPERI ED EC'!A1"/>
    <hyperlink ref="A128:C128" location="'AREA Urbanistica, amb, mob'!A1" display="'AREA Urbanistica, amb, mob'!A1"/>
    <hyperlink ref="A9" location="'DIR GEN'!A1" display="'DIR GEN'!A1"/>
    <hyperlink ref="A23" location="'Staff del Consiglio'!A1" display="'Staff del Consiglio'!A1"/>
    <hyperlink ref="A24" location="'Partecipazione soc'!A1" display="'Partecipazione soc'!A1"/>
  </hyperlinks>
  <printOptions/>
  <pageMargins left="0.18" right="0.18" top="0.21" bottom="0.13" header="0.14" footer="0.12"/>
  <pageSetup horizontalDpi="600" verticalDpi="600" orientation="landscape" paperSize="9" scale="60" r:id="rId1"/>
  <rowBreaks count="4" manualBreakCount="4">
    <brk id="56" max="20" man="1"/>
    <brk id="95" max="20" man="1"/>
    <brk id="153" max="20" man="1"/>
    <brk id="222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</cols>
  <sheetData>
    <row r="1" ht="12.75">
      <c r="A1" t="s">
        <v>185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'!F53</f>
        <v>7274</v>
      </c>
      <c r="C3" s="65">
        <f>+'Cons spec netti '!G53</f>
        <v>8829</v>
      </c>
      <c r="D3" s="65">
        <f>+'Cons spec netti '!H53</f>
        <v>7879</v>
      </c>
      <c r="E3" s="65">
        <f>+'Cons spec netti '!I53</f>
        <v>9104</v>
      </c>
      <c r="F3" s="65">
        <f>+'Cons spec netti '!J53</f>
        <v>7903.412395998492</v>
      </c>
      <c r="G3" s="65">
        <f>+'Cons spec netti '!K53</f>
        <v>7893</v>
      </c>
      <c r="H3" s="65">
        <f>+'Cons spec netti '!L53</f>
        <v>8031</v>
      </c>
      <c r="I3" s="65">
        <f>+'Cons spec netti '!M53</f>
        <v>8218</v>
      </c>
      <c r="J3" s="65">
        <f>+'Cons spec netti '!N53</f>
        <v>7619</v>
      </c>
    </row>
    <row r="4" spans="1:10" ht="15" customHeight="1">
      <c r="A4" s="80" t="s">
        <v>57</v>
      </c>
      <c r="B4" s="65">
        <f>+'Cons spec tot e finalizzati'!G53</f>
        <v>0</v>
      </c>
      <c r="C4" s="65">
        <f>+'Cons spec tot e finalizzati'!I53</f>
        <v>0</v>
      </c>
      <c r="D4" s="67">
        <f>+'Cons spec tot e finalizzati'!K53</f>
        <v>0</v>
      </c>
      <c r="E4" s="67">
        <f>+'Cons spec tot e finalizzati'!M53</f>
        <v>0</v>
      </c>
      <c r="F4" s="67">
        <f>+'Cons spec tot e finalizzati'!O53</f>
        <v>112.58760400150805</v>
      </c>
      <c r="G4" s="67">
        <f>+'Cons spec tot e finalizzati'!Q53</f>
        <v>620</v>
      </c>
      <c r="H4" s="67">
        <f>+'Cons spec tot e finalizzati'!S53</f>
        <v>404</v>
      </c>
      <c r="I4" s="67">
        <f>+'Cons spec tot e finalizzati'!U53</f>
        <v>78</v>
      </c>
      <c r="J4" s="67">
        <f>+'Cons spec tot e finalizzati'!W53</f>
        <v>20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121.37750893593622</v>
      </c>
      <c r="D6" s="237">
        <f t="shared" si="0"/>
        <v>108.31729447346714</v>
      </c>
      <c r="E6" s="237">
        <f t="shared" si="0"/>
        <v>125.15809733296672</v>
      </c>
      <c r="F6" s="237">
        <f t="shared" si="0"/>
        <v>108.65290618639665</v>
      </c>
      <c r="G6" s="237">
        <f t="shared" si="0"/>
        <v>108.50976079186142</v>
      </c>
      <c r="H6" s="237">
        <f t="shared" si="0"/>
        <v>110.40692878746219</v>
      </c>
      <c r="I6" s="237">
        <f t="shared" si="0"/>
        <v>112.97772889744296</v>
      </c>
      <c r="J6" s="237">
        <f t="shared" si="0"/>
        <v>104.74291998900192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138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'!F57</f>
        <v>16033</v>
      </c>
      <c r="C3" s="65">
        <f>+'Cons spec netti '!G57</f>
        <v>21982</v>
      </c>
      <c r="D3" s="65">
        <f>+'Cons spec netti '!H57</f>
        <v>14315</v>
      </c>
      <c r="E3" s="65">
        <f>+'Cons spec netti '!I57</f>
        <v>15831</v>
      </c>
      <c r="F3" s="65">
        <f>+'Cons spec netti '!J57</f>
        <v>15788.754688137502</v>
      </c>
      <c r="G3" s="65">
        <f>+'Cons spec netti '!K57</f>
        <v>14958</v>
      </c>
      <c r="H3" s="65">
        <f>+'Cons spec netti '!L57</f>
        <v>15154</v>
      </c>
      <c r="I3" s="65">
        <f>+'Cons spec netti '!M57</f>
        <v>15324</v>
      </c>
      <c r="J3" s="65">
        <f>+'Cons spec netti '!N57</f>
        <v>16643</v>
      </c>
    </row>
    <row r="4" spans="1:10" ht="15" customHeight="1">
      <c r="A4" s="80" t="s">
        <v>57</v>
      </c>
      <c r="B4" s="65">
        <f>+'Cons spec tot e finalizzati'!G57</f>
        <v>35</v>
      </c>
      <c r="C4" s="65">
        <f>+'Cons spec tot e finalizzati'!I57</f>
        <v>89</v>
      </c>
      <c r="D4" s="67">
        <f>+'Cons spec tot e finalizzati'!K57</f>
        <v>235</v>
      </c>
      <c r="E4" s="67">
        <f>+'Cons spec tot e finalizzati'!M57</f>
        <v>166</v>
      </c>
      <c r="F4" s="67">
        <f>+'Cons spec tot e finalizzati'!O57</f>
        <v>2063.2453118624985</v>
      </c>
      <c r="G4" s="67">
        <f>+'Cons spec tot e finalizzati'!Q57</f>
        <v>3635</v>
      </c>
      <c r="H4" s="67">
        <f>+'Cons spec tot e finalizzati'!S57</f>
        <v>2263</v>
      </c>
      <c r="I4" s="67">
        <f>+'Cons spec tot e finalizzati'!U57</f>
        <v>310</v>
      </c>
      <c r="J4" s="67">
        <f>+'Cons spec tot e finalizzati'!W57</f>
        <v>740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137.10472151188173</v>
      </c>
      <c r="D6" s="237">
        <f t="shared" si="0"/>
        <v>89.28460051144515</v>
      </c>
      <c r="E6" s="237">
        <f t="shared" si="0"/>
        <v>98.74009854674733</v>
      </c>
      <c r="F6" s="237">
        <f t="shared" si="0"/>
        <v>98.47660879521925</v>
      </c>
      <c r="G6" s="237">
        <f t="shared" si="0"/>
        <v>93.29507889976922</v>
      </c>
      <c r="H6" s="237">
        <f t="shared" si="0"/>
        <v>94.51755753757874</v>
      </c>
      <c r="I6" s="237">
        <f t="shared" si="0"/>
        <v>95.57787064180128</v>
      </c>
      <c r="J6" s="237">
        <f t="shared" si="0"/>
        <v>103.80465290338677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186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'!F74</f>
        <v>14305</v>
      </c>
      <c r="C3" s="65">
        <f>+'Cons spec netti '!G74</f>
        <v>15110</v>
      </c>
      <c r="D3" s="65">
        <f>+'Cons spec netti '!H74</f>
        <v>18049</v>
      </c>
      <c r="E3" s="65">
        <f>+'Cons spec netti '!I74</f>
        <v>19896</v>
      </c>
      <c r="F3" s="65">
        <f>+'Cons spec netti '!J74</f>
        <v>22704.298646366467</v>
      </c>
      <c r="G3" s="65">
        <f>+'Cons spec netti '!K74</f>
        <v>23000</v>
      </c>
      <c r="H3" s="65">
        <f>+'Cons spec netti '!L74</f>
        <v>23689</v>
      </c>
      <c r="I3" s="65">
        <f>+'Cons spec netti '!M74</f>
        <v>27175</v>
      </c>
      <c r="J3" s="65">
        <f>+'Cons spec netti '!N74</f>
        <v>23903</v>
      </c>
    </row>
    <row r="4" spans="1:10" ht="15" customHeight="1">
      <c r="A4" s="80" t="s">
        <v>57</v>
      </c>
      <c r="B4" s="65">
        <f>+'Cons spec tot e finalizzati'!G74</f>
        <v>3780</v>
      </c>
      <c r="C4" s="65">
        <f>+'Cons spec tot e finalizzati'!I74</f>
        <v>5685</v>
      </c>
      <c r="D4" s="67">
        <f>+'Cons spec tot e finalizzati'!K74</f>
        <v>2318</v>
      </c>
      <c r="E4" s="67">
        <f>+'Cons spec tot e finalizzati'!M74</f>
        <v>3355</v>
      </c>
      <c r="F4" s="67">
        <f>+'Cons spec tot e finalizzati'!O74</f>
        <v>3085.7013536335326</v>
      </c>
      <c r="G4" s="67">
        <f>+'Cons spec tot e finalizzati'!Q74</f>
        <v>6043</v>
      </c>
      <c r="H4" s="67">
        <f>+'Cons spec tot e finalizzati'!S74</f>
        <v>7607</v>
      </c>
      <c r="I4" s="67">
        <f>+'Cons spec tot e finalizzati'!U74</f>
        <v>11232</v>
      </c>
      <c r="J4" s="67">
        <f>+'Cons spec tot e finalizzati'!W74</f>
        <v>10123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105.62740300594197</v>
      </c>
      <c r="D6" s="237">
        <f t="shared" si="0"/>
        <v>126.17266689968542</v>
      </c>
      <c r="E6" s="237">
        <f t="shared" si="0"/>
        <v>139.08423628102062</v>
      </c>
      <c r="F6" s="237">
        <f t="shared" si="0"/>
        <v>158.71582416194664</v>
      </c>
      <c r="G6" s="237">
        <f t="shared" si="0"/>
        <v>160.78294302691367</v>
      </c>
      <c r="H6" s="237">
        <f t="shared" si="0"/>
        <v>165.59944075498078</v>
      </c>
      <c r="I6" s="237">
        <f t="shared" si="0"/>
        <v>189.96854246766867</v>
      </c>
      <c r="J6" s="237">
        <f t="shared" si="0"/>
        <v>167.0954211814051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187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'!F76</f>
        <v>2550</v>
      </c>
      <c r="C3" s="65">
        <f>+'Cons spec netti '!G76</f>
        <v>2378</v>
      </c>
      <c r="D3" s="65">
        <f>+'Cons spec netti '!H76</f>
        <v>2467</v>
      </c>
      <c r="E3" s="65">
        <f>+'Cons spec netti '!I76</f>
        <v>2865</v>
      </c>
      <c r="F3" s="65">
        <f>+'Cons spec netti '!J76</f>
        <v>3710.2986463664674</v>
      </c>
      <c r="G3" s="65">
        <f>+'Cons spec netti '!K76</f>
        <v>2907</v>
      </c>
      <c r="H3" s="65">
        <f>+'Cons spec netti '!L76</f>
        <v>2184</v>
      </c>
      <c r="I3" s="65">
        <f>+'Cons spec netti '!M76</f>
        <v>2015</v>
      </c>
      <c r="J3" s="65">
        <f>+'Cons spec netti '!N76</f>
        <v>1345</v>
      </c>
    </row>
    <row r="4" spans="1:10" ht="15" customHeight="1">
      <c r="A4" s="80" t="s">
        <v>57</v>
      </c>
      <c r="B4" s="65">
        <f>+'Cons spec tot e finalizzati'!G76</f>
        <v>0</v>
      </c>
      <c r="C4" s="65">
        <f>+'Cons spec tot e finalizzati'!I76</f>
        <v>0</v>
      </c>
      <c r="D4" s="67">
        <f>+'Cons spec tot e finalizzati'!K76</f>
        <v>0</v>
      </c>
      <c r="E4" s="67">
        <f>+'Cons spec tot e finalizzati'!M76</f>
        <v>0</v>
      </c>
      <c r="F4" s="67">
        <f>+'Cons spec tot e finalizzati'!O76</f>
        <v>37.70135363353251</v>
      </c>
      <c r="G4" s="67">
        <f>+'Cons spec tot e finalizzati'!Q76</f>
        <v>512</v>
      </c>
      <c r="H4" s="67">
        <f>+'Cons spec tot e finalizzati'!S76</f>
        <v>853</v>
      </c>
      <c r="I4" s="67">
        <f>+'Cons spec tot e finalizzati'!U76</f>
        <v>767</v>
      </c>
      <c r="J4" s="67">
        <f>+'Cons spec tot e finalizzati'!W76</f>
        <v>926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93.25490196078431</v>
      </c>
      <c r="D6" s="237">
        <f t="shared" si="0"/>
        <v>96.74509803921568</v>
      </c>
      <c r="E6" s="237">
        <f t="shared" si="0"/>
        <v>112.3529411764706</v>
      </c>
      <c r="F6" s="237">
        <f t="shared" si="0"/>
        <v>145.50190770064577</v>
      </c>
      <c r="G6" s="237">
        <f t="shared" si="0"/>
        <v>113.99999999999999</v>
      </c>
      <c r="H6" s="237">
        <f t="shared" si="0"/>
        <v>85.6470588235294</v>
      </c>
      <c r="I6" s="237">
        <f t="shared" si="0"/>
        <v>79.01960784313725</v>
      </c>
      <c r="J6" s="237">
        <f t="shared" si="0"/>
        <v>52.74509803921569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140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'!F80</f>
        <v>10709</v>
      </c>
      <c r="C3" s="65">
        <f>+'Cons spec netti '!G80</f>
        <v>11502</v>
      </c>
      <c r="D3" s="65">
        <f>+'Cons spec netti '!H80</f>
        <v>13645</v>
      </c>
      <c r="E3" s="65">
        <f>+'Cons spec netti '!I80</f>
        <v>14867</v>
      </c>
      <c r="F3" s="65">
        <f>+'Cons spec netti '!J80</f>
        <v>16019</v>
      </c>
      <c r="G3" s="65">
        <f>+'Cons spec netti '!K80</f>
        <v>15977</v>
      </c>
      <c r="H3" s="65">
        <f>+'Cons spec netti '!L80</f>
        <v>17151</v>
      </c>
      <c r="I3" s="65">
        <f>+'Cons spec netti '!M80</f>
        <v>21756</v>
      </c>
      <c r="J3" s="65">
        <f>+'Cons spec netti '!N80</f>
        <v>18782</v>
      </c>
    </row>
    <row r="4" spans="1:10" ht="15" customHeight="1">
      <c r="A4" s="80" t="s">
        <v>57</v>
      </c>
      <c r="B4" s="65">
        <f>+'Cons spec tot e finalizzati'!G80</f>
        <v>2085</v>
      </c>
      <c r="C4" s="65">
        <f>+'Cons spec tot e finalizzati'!I80</f>
        <v>4093</v>
      </c>
      <c r="D4" s="67">
        <f>+'Cons spec tot e finalizzati'!K80</f>
        <v>1523</v>
      </c>
      <c r="E4" s="67">
        <f>+'Cons spec tot e finalizzati'!M80</f>
        <v>2163</v>
      </c>
      <c r="F4" s="67">
        <f>+'Cons spec tot e finalizzati'!O80</f>
        <v>1813</v>
      </c>
      <c r="G4" s="67">
        <f>+'Cons spec tot e finalizzati'!Q80</f>
        <v>3960</v>
      </c>
      <c r="H4" s="67">
        <f>+'Cons spec tot e finalizzati'!S80</f>
        <v>5246</v>
      </c>
      <c r="I4" s="67">
        <f>+'Cons spec tot e finalizzati'!U80</f>
        <v>8663</v>
      </c>
      <c r="J4" s="67">
        <f>+'Cons spec tot e finalizzati'!W80</f>
        <v>7661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107.40498645998693</v>
      </c>
      <c r="D6" s="237">
        <f t="shared" si="0"/>
        <v>127.41619198804743</v>
      </c>
      <c r="E6" s="237">
        <f t="shared" si="0"/>
        <v>138.82715472966666</v>
      </c>
      <c r="F6" s="237">
        <f t="shared" si="0"/>
        <v>149.5844616677561</v>
      </c>
      <c r="G6" s="237">
        <f t="shared" si="0"/>
        <v>149.19226818563826</v>
      </c>
      <c r="H6" s="237">
        <f t="shared" si="0"/>
        <v>160.15500980483705</v>
      </c>
      <c r="I6" s="237">
        <f t="shared" si="0"/>
        <v>203.15622373704363</v>
      </c>
      <c r="J6" s="237">
        <f t="shared" si="0"/>
        <v>175.38519002708003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72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'!F89</f>
        <v>1046</v>
      </c>
      <c r="C3" s="65">
        <f>+'Cons spec netti '!G89</f>
        <v>1230</v>
      </c>
      <c r="D3" s="65">
        <f>+'Cons spec netti '!H89</f>
        <v>1937</v>
      </c>
      <c r="E3" s="65">
        <f>+'Cons spec netti '!I89</f>
        <v>2164</v>
      </c>
      <c r="F3" s="65">
        <f>+'Cons spec netti '!J89</f>
        <v>2975</v>
      </c>
      <c r="G3" s="65">
        <f>+'Cons spec netti '!K89</f>
        <v>4116</v>
      </c>
      <c r="H3" s="65">
        <f>+'Cons spec netti '!L89</f>
        <v>4305</v>
      </c>
      <c r="I3" s="65">
        <f>+'Cons spec netti '!M89</f>
        <v>3354</v>
      </c>
      <c r="J3" s="65">
        <f>+'Cons spec netti '!N89</f>
        <v>3710</v>
      </c>
    </row>
    <row r="4" spans="1:10" ht="15" customHeight="1">
      <c r="A4" s="80" t="s">
        <v>57</v>
      </c>
      <c r="B4" s="65">
        <f>+'Cons spec tot e finalizzati'!G89</f>
        <v>1695</v>
      </c>
      <c r="C4" s="65">
        <f>+'Cons spec tot e finalizzati'!I89</f>
        <v>1592</v>
      </c>
      <c r="D4" s="67">
        <f>+'Cons spec tot e finalizzati'!K89</f>
        <v>795</v>
      </c>
      <c r="E4" s="67">
        <f>+'Cons spec tot e finalizzati'!M89</f>
        <v>1192</v>
      </c>
      <c r="F4" s="67">
        <f>+'Cons spec tot e finalizzati'!O89</f>
        <v>1235</v>
      </c>
      <c r="G4" s="67">
        <f>+'Cons spec tot e finalizzati'!Q89</f>
        <v>1571</v>
      </c>
      <c r="H4" s="67">
        <f>+'Cons spec tot e finalizzati'!S89</f>
        <v>1265</v>
      </c>
      <c r="I4" s="67">
        <f>+'Cons spec tot e finalizzati'!U89</f>
        <v>1578</v>
      </c>
      <c r="J4" s="67">
        <f>+'Cons spec tot e finalizzati'!W89</f>
        <v>1481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117.59082217973231</v>
      </c>
      <c r="D6" s="237">
        <f t="shared" si="0"/>
        <v>185.18164435946463</v>
      </c>
      <c r="E6" s="237">
        <f t="shared" si="0"/>
        <v>206.8833652007648</v>
      </c>
      <c r="F6" s="237">
        <f t="shared" si="0"/>
        <v>284.4168260038241</v>
      </c>
      <c r="G6" s="237">
        <f t="shared" si="0"/>
        <v>393.49904397705546</v>
      </c>
      <c r="H6" s="237">
        <f t="shared" si="0"/>
        <v>411.5678776290631</v>
      </c>
      <c r="I6" s="237">
        <f t="shared" si="0"/>
        <v>320.65009560229447</v>
      </c>
      <c r="J6" s="237">
        <f t="shared" si="0"/>
        <v>354.68451242829826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143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'!F96</f>
        <v>12247</v>
      </c>
      <c r="C3" s="65">
        <f>+'Cons spec netti '!G96</f>
        <v>17524</v>
      </c>
      <c r="D3" s="65">
        <f>+'Cons spec netti '!H96</f>
        <v>13922</v>
      </c>
      <c r="E3" s="65">
        <f>+'Cons spec netti '!I96</f>
        <v>16106</v>
      </c>
      <c r="F3" s="65">
        <f>+'Cons spec netti '!J96</f>
        <v>15307</v>
      </c>
      <c r="G3" s="65">
        <f>+'Cons spec netti '!K96</f>
        <v>16297</v>
      </c>
      <c r="H3" s="65">
        <f>+'Cons spec netti '!L96</f>
        <v>18562</v>
      </c>
      <c r="I3" s="65">
        <f>+'Cons spec netti '!M96</f>
        <v>18410</v>
      </c>
      <c r="J3" s="65">
        <f>+'Cons spec netti '!N96</f>
        <v>17205</v>
      </c>
    </row>
    <row r="4" spans="1:10" ht="15" customHeight="1">
      <c r="A4" s="80" t="s">
        <v>57</v>
      </c>
      <c r="B4" s="65">
        <f>+'Cons spec tot e finalizzati'!G96</f>
        <v>1177</v>
      </c>
      <c r="C4" s="65">
        <f>+'Cons spec tot e finalizzati'!I96</f>
        <v>1373</v>
      </c>
      <c r="D4" s="67">
        <f>+'Cons spec tot e finalizzati'!K96</f>
        <v>9883</v>
      </c>
      <c r="E4" s="67">
        <f>+'Cons spec tot e finalizzati'!M96</f>
        <v>5318</v>
      </c>
      <c r="F4" s="67">
        <f>+'Cons spec tot e finalizzati'!O96</f>
        <v>4538</v>
      </c>
      <c r="G4" s="67">
        <f>+'Cons spec tot e finalizzati'!Q96</f>
        <v>3125</v>
      </c>
      <c r="H4" s="67">
        <f>+'Cons spec tot e finalizzati'!S96</f>
        <v>5028</v>
      </c>
      <c r="I4" s="67">
        <f>+'Cons spec tot e finalizzati'!U96</f>
        <v>2207</v>
      </c>
      <c r="J4" s="67">
        <f>+'Cons spec tot e finalizzati'!W96</f>
        <v>4971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143.08810320894912</v>
      </c>
      <c r="D6" s="237">
        <f t="shared" si="0"/>
        <v>113.67681881277048</v>
      </c>
      <c r="E6" s="237">
        <f t="shared" si="0"/>
        <v>131.5097574916306</v>
      </c>
      <c r="F6" s="237">
        <f t="shared" si="0"/>
        <v>124.98571078631502</v>
      </c>
      <c r="G6" s="237">
        <f t="shared" si="0"/>
        <v>133.06932309953459</v>
      </c>
      <c r="H6" s="237">
        <f t="shared" si="0"/>
        <v>151.5636482403854</v>
      </c>
      <c r="I6" s="237">
        <f t="shared" si="0"/>
        <v>150.32252796603248</v>
      </c>
      <c r="J6" s="237">
        <f t="shared" si="0"/>
        <v>140.4833836858006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156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'!F98</f>
        <v>0</v>
      </c>
      <c r="C3" s="65">
        <f>+'Cons spec netti '!G98</f>
        <v>0</v>
      </c>
      <c r="D3" s="65">
        <f>+'Cons spec netti '!H98</f>
        <v>0</v>
      </c>
      <c r="E3" s="65">
        <f>+'Cons spec netti '!I98</f>
        <v>21</v>
      </c>
      <c r="F3" s="65">
        <f>+'Cons spec netti '!J98</f>
        <v>231</v>
      </c>
      <c r="G3" s="65">
        <f>+'Cons spec netti '!K98</f>
        <v>71</v>
      </c>
      <c r="H3" s="65">
        <f>+'Cons spec netti '!L98</f>
        <v>269</v>
      </c>
      <c r="I3" s="65">
        <f>+'Cons spec netti '!M98</f>
        <v>225</v>
      </c>
      <c r="J3" s="65">
        <f>+'Cons spec netti '!N98</f>
        <v>160</v>
      </c>
    </row>
    <row r="4" spans="1:10" ht="15" customHeight="1">
      <c r="A4" s="80" t="s">
        <v>57</v>
      </c>
      <c r="B4" s="65">
        <f>+'Cons spec tot e finalizzati'!G98</f>
        <v>0</v>
      </c>
      <c r="C4" s="65">
        <f>+'Cons spec tot e finalizzati'!I98</f>
        <v>0</v>
      </c>
      <c r="D4" s="67">
        <f>+'Cons spec tot e finalizzati'!K98</f>
        <v>0</v>
      </c>
      <c r="E4" s="67">
        <f>+'Cons spec tot e finalizzati'!M98</f>
        <v>0</v>
      </c>
      <c r="F4" s="67">
        <f>+'Cons spec tot e finalizzati'!O98</f>
        <v>0</v>
      </c>
      <c r="G4" s="67">
        <f>+'Cons spec tot e finalizzati'!Q98</f>
        <v>0</v>
      </c>
      <c r="H4" s="67">
        <f>+'Cons spec tot e finalizzati'!S98</f>
        <v>203</v>
      </c>
      <c r="I4" s="67">
        <f>+'Cons spec tot e finalizzati'!U98</f>
        <v>211</v>
      </c>
      <c r="J4" s="67">
        <f>+'Cons spec tot e finalizzati'!W98</f>
        <v>0</v>
      </c>
    </row>
    <row r="5" spans="2:3" ht="12.75">
      <c r="B5" s="65"/>
      <c r="C5" s="5"/>
    </row>
    <row r="6" spans="2:10" ht="12.75">
      <c r="B6" s="236"/>
      <c r="C6" s="237"/>
      <c r="D6" s="237"/>
      <c r="E6" s="237"/>
      <c r="F6" s="237"/>
      <c r="G6" s="237"/>
      <c r="H6" s="237"/>
      <c r="I6" s="237"/>
      <c r="J6" s="237"/>
    </row>
    <row r="7" spans="2:7" ht="12.75">
      <c r="B7" s="66"/>
      <c r="C7" s="66"/>
      <c r="D7" s="66"/>
      <c r="E7" s="66"/>
      <c r="G7" s="66"/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157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'!F99</f>
        <v>7589</v>
      </c>
      <c r="C3" s="65">
        <f>+'Cons spec netti '!G99</f>
        <v>12740</v>
      </c>
      <c r="D3" s="65">
        <f>+'Cons spec netti '!H99</f>
        <v>8824</v>
      </c>
      <c r="E3" s="65">
        <f>+'Cons spec netti '!I99</f>
        <v>10763</v>
      </c>
      <c r="F3" s="65">
        <f>+'Cons spec netti '!J99</f>
        <v>9711</v>
      </c>
      <c r="G3" s="65">
        <f>+'Cons spec netti '!K99</f>
        <v>10301</v>
      </c>
      <c r="H3" s="65">
        <f>+'Cons spec netti '!L99</f>
        <v>12466</v>
      </c>
      <c r="I3" s="65">
        <f>+'Cons spec netti '!M99</f>
        <v>12435</v>
      </c>
      <c r="J3" s="65">
        <f>+'Cons spec netti '!N99</f>
        <v>11521</v>
      </c>
    </row>
    <row r="4" spans="1:10" ht="15" customHeight="1">
      <c r="A4" s="80" t="s">
        <v>57</v>
      </c>
      <c r="B4" s="65">
        <f>+'Cons spec tot e finalizzati'!G99</f>
        <v>93</v>
      </c>
      <c r="C4" s="65">
        <f>+'Cons spec tot e finalizzati'!I99</f>
        <v>303</v>
      </c>
      <c r="D4" s="67">
        <f>+'Cons spec tot e finalizzati'!K99</f>
        <v>7319</v>
      </c>
      <c r="E4" s="67">
        <f>+'Cons spec tot e finalizzati'!M99</f>
        <v>3888</v>
      </c>
      <c r="F4" s="67">
        <f>+'Cons spec tot e finalizzati'!O99</f>
        <v>1616</v>
      </c>
      <c r="G4" s="67">
        <f>+'Cons spec tot e finalizzati'!Q99</f>
        <v>542</v>
      </c>
      <c r="H4" s="67">
        <f>+'Cons spec tot e finalizzati'!S99</f>
        <v>1856</v>
      </c>
      <c r="I4" s="67">
        <f>+'Cons spec tot e finalizzati'!U99</f>
        <v>1419</v>
      </c>
      <c r="J4" s="67">
        <f>+'Cons spec tot e finalizzati'!W99</f>
        <v>1910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167.87455527737515</v>
      </c>
      <c r="D6" s="237">
        <f t="shared" si="0"/>
        <v>116.2735538279088</v>
      </c>
      <c r="E6" s="237">
        <f t="shared" si="0"/>
        <v>141.82369218605876</v>
      </c>
      <c r="F6" s="237">
        <f t="shared" si="0"/>
        <v>127.96152325734616</v>
      </c>
      <c r="G6" s="237">
        <f t="shared" si="0"/>
        <v>135.73593358808802</v>
      </c>
      <c r="H6" s="237">
        <f t="shared" si="0"/>
        <v>164.26406641191198</v>
      </c>
      <c r="I6" s="237">
        <f t="shared" si="0"/>
        <v>163.85558044538146</v>
      </c>
      <c r="J6" s="237">
        <f t="shared" si="0"/>
        <v>151.81183291606274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146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'!F115</f>
        <v>543</v>
      </c>
      <c r="C3" s="65">
        <f>+'Cons spec netti '!G115</f>
        <v>638</v>
      </c>
      <c r="D3" s="65">
        <f>+'Cons spec netti '!H115</f>
        <v>774</v>
      </c>
      <c r="E3" s="65">
        <f>+'Cons spec netti '!I115</f>
        <v>1239</v>
      </c>
      <c r="F3" s="65">
        <f>+'Cons spec netti '!J115</f>
        <v>1251</v>
      </c>
      <c r="G3" s="65">
        <f>+'Cons spec netti '!K115</f>
        <v>1632</v>
      </c>
      <c r="H3" s="65">
        <f>+'Cons spec netti '!L115</f>
        <v>1973</v>
      </c>
      <c r="I3" s="65">
        <f>+'Cons spec netti '!M115</f>
        <v>1948</v>
      </c>
      <c r="J3" s="65">
        <f>+'Cons spec netti '!N115</f>
        <v>1822</v>
      </c>
    </row>
    <row r="4" spans="1:10" ht="15" customHeight="1">
      <c r="A4" s="80" t="s">
        <v>57</v>
      </c>
      <c r="B4" s="65">
        <f>+'Cons spec tot e finalizzati'!G115</f>
        <v>1078</v>
      </c>
      <c r="C4" s="65">
        <f>+'Cons spec tot e finalizzati'!I115</f>
        <v>1057</v>
      </c>
      <c r="D4" s="67">
        <f>+'Cons spec tot e finalizzati'!K115</f>
        <v>2561</v>
      </c>
      <c r="E4" s="67">
        <f>+'Cons spec tot e finalizzati'!M115</f>
        <v>1425</v>
      </c>
      <c r="F4" s="67">
        <f>+'Cons spec tot e finalizzati'!O115</f>
        <v>2909</v>
      </c>
      <c r="G4" s="67">
        <f>+'Cons spec tot e finalizzati'!Q115</f>
        <v>2482</v>
      </c>
      <c r="H4" s="67">
        <f>+'Cons spec tot e finalizzati'!S115</f>
        <v>2883</v>
      </c>
      <c r="I4" s="67">
        <f>+'Cons spec tot e finalizzati'!U115</f>
        <v>521</v>
      </c>
      <c r="J4" s="67">
        <f>+'Cons spec tot e finalizzati'!W115</f>
        <v>2997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117.49539594843463</v>
      </c>
      <c r="D6" s="237">
        <f t="shared" si="0"/>
        <v>142.54143646408838</v>
      </c>
      <c r="E6" s="237">
        <f t="shared" si="0"/>
        <v>228.17679558011048</v>
      </c>
      <c r="F6" s="237">
        <f t="shared" si="0"/>
        <v>230.3867403314917</v>
      </c>
      <c r="G6" s="237">
        <f t="shared" si="0"/>
        <v>300.5524861878453</v>
      </c>
      <c r="H6" s="237">
        <f t="shared" si="0"/>
        <v>363.35174953959483</v>
      </c>
      <c r="I6" s="237">
        <f t="shared" si="0"/>
        <v>358.7476979742173</v>
      </c>
      <c r="J6" s="237">
        <f t="shared" si="0"/>
        <v>335.54327808471453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5" width="5.57421875" style="0" bestFit="1" customWidth="1"/>
    <col min="6" max="10" width="7.140625" style="0" bestFit="1" customWidth="1"/>
  </cols>
  <sheetData>
    <row r="1" ht="12.75">
      <c r="A1" t="s">
        <v>0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'!F9</f>
        <v>3</v>
      </c>
      <c r="C3" s="65">
        <f>+'Cons spec netti '!G9</f>
        <v>5</v>
      </c>
      <c r="D3" s="65">
        <f>+'Cons spec netti '!H9</f>
        <v>2</v>
      </c>
      <c r="E3" s="65">
        <f>+'Cons spec netti '!I9</f>
        <v>5</v>
      </c>
      <c r="F3" s="65">
        <f>+'Cons spec netti '!J9</f>
        <v>56</v>
      </c>
      <c r="G3" s="65">
        <f>+'Cons spec netti '!K9</f>
        <v>168</v>
      </c>
      <c r="H3" s="65">
        <f>+'Cons spec netti '!L9</f>
        <v>199</v>
      </c>
      <c r="I3" s="65">
        <f>+'Cons spec netti '!M9</f>
        <v>86</v>
      </c>
      <c r="J3" s="65">
        <f>+'Cons spec netti '!N9</f>
        <v>57</v>
      </c>
    </row>
    <row r="4" spans="1:10" ht="15" customHeight="1">
      <c r="A4" s="80" t="s">
        <v>57</v>
      </c>
      <c r="B4" s="65">
        <f>+'Cons spec tot e finalizzati'!G9</f>
        <v>0</v>
      </c>
      <c r="C4" s="49">
        <f>+'Cons spec tot e finalizzati'!I9</f>
        <v>0</v>
      </c>
      <c r="D4" s="67">
        <f>+'Cons spec tot e finalizzati'!K9</f>
        <v>0</v>
      </c>
      <c r="E4" s="67">
        <f>+'Cons spec tot e finalizzati'!M9</f>
        <v>0</v>
      </c>
      <c r="F4" s="67">
        <f>+'Cons spec tot e finalizzati'!O9</f>
        <v>0</v>
      </c>
      <c r="G4" s="67">
        <f>+'Cons spec tot e finalizzati'!Q9</f>
        <v>0</v>
      </c>
      <c r="H4" s="67">
        <f>+'Cons spec tot e finalizzati'!S9</f>
        <v>0</v>
      </c>
      <c r="I4" s="67">
        <f>+'Cons spec tot e finalizzati'!U9</f>
        <v>0</v>
      </c>
      <c r="J4" s="67">
        <f>+'Cons spec tot e finalizzati'!W9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>+C3/$B$3*100</f>
        <v>166.66666666666669</v>
      </c>
      <c r="D6" s="237">
        <f aca="true" t="shared" si="0" ref="D6:J6">+D3/$B$3*100</f>
        <v>66.66666666666666</v>
      </c>
      <c r="E6" s="237">
        <f t="shared" si="0"/>
        <v>166.66666666666669</v>
      </c>
      <c r="F6" s="237">
        <f t="shared" si="0"/>
        <v>1866.6666666666667</v>
      </c>
      <c r="G6" s="237">
        <f t="shared" si="0"/>
        <v>5600</v>
      </c>
      <c r="H6" s="237">
        <f t="shared" si="0"/>
        <v>6633.333333333333</v>
      </c>
      <c r="I6" s="237">
        <f t="shared" si="0"/>
        <v>2866.666666666667</v>
      </c>
      <c r="J6" s="237">
        <f t="shared" si="0"/>
        <v>1900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75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'!F121</f>
        <v>4115</v>
      </c>
      <c r="C3" s="65">
        <f>+'Cons spec netti '!G121</f>
        <v>4146</v>
      </c>
      <c r="D3" s="65">
        <f>+'Cons spec netti '!H121</f>
        <v>4324</v>
      </c>
      <c r="E3" s="65">
        <f>+'Cons spec netti '!I121</f>
        <v>4083</v>
      </c>
      <c r="F3" s="65">
        <f>+'Cons spec netti '!J121</f>
        <v>4114</v>
      </c>
      <c r="G3" s="65">
        <f>+'Cons spec netti '!K121</f>
        <v>4293</v>
      </c>
      <c r="H3" s="65">
        <f>+'Cons spec netti '!L121</f>
        <v>3854</v>
      </c>
      <c r="I3" s="65">
        <f>+'Cons spec netti '!M121</f>
        <v>3802</v>
      </c>
      <c r="J3" s="65">
        <f>+'Cons spec netti '!N121</f>
        <v>3702</v>
      </c>
    </row>
    <row r="4" spans="1:10" ht="15" customHeight="1">
      <c r="A4" s="80" t="s">
        <v>57</v>
      </c>
      <c r="B4" s="65">
        <f>+'Cons spec tot e finalizzati'!G121</f>
        <v>6</v>
      </c>
      <c r="C4" s="65">
        <f>+'Cons spec tot e finalizzati'!I121</f>
        <v>13</v>
      </c>
      <c r="D4" s="67">
        <f>+'Cons spec tot e finalizzati'!K121</f>
        <v>3</v>
      </c>
      <c r="E4" s="67">
        <f>+'Cons spec tot e finalizzati'!M121</f>
        <v>5</v>
      </c>
      <c r="F4" s="67">
        <f>+'Cons spec tot e finalizzati'!O121</f>
        <v>13</v>
      </c>
      <c r="G4" s="67">
        <f>+'Cons spec tot e finalizzati'!Q121</f>
        <v>101</v>
      </c>
      <c r="H4" s="67">
        <f>+'Cons spec tot e finalizzati'!S121</f>
        <v>86</v>
      </c>
      <c r="I4" s="67">
        <f>+'Cons spec tot e finalizzati'!U121</f>
        <v>56</v>
      </c>
      <c r="J4" s="67">
        <f>+'Cons spec tot e finalizzati'!W121</f>
        <v>64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100.75334143377886</v>
      </c>
      <c r="D6" s="237">
        <f t="shared" si="0"/>
        <v>105.07897934386392</v>
      </c>
      <c r="E6" s="237">
        <f t="shared" si="0"/>
        <v>99.22235722964763</v>
      </c>
      <c r="F6" s="237">
        <f t="shared" si="0"/>
        <v>99.9756986634265</v>
      </c>
      <c r="G6" s="237">
        <f t="shared" si="0"/>
        <v>104.32563791008505</v>
      </c>
      <c r="H6" s="237">
        <f t="shared" si="0"/>
        <v>93.65735115431349</v>
      </c>
      <c r="I6" s="237">
        <f t="shared" si="0"/>
        <v>92.39368165249088</v>
      </c>
      <c r="J6" s="237">
        <f t="shared" si="0"/>
        <v>89.96354799513973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147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'!F128</f>
        <v>8202</v>
      </c>
      <c r="C3" s="65">
        <f>+'Cons spec netti '!G128</f>
        <v>9592</v>
      </c>
      <c r="D3" s="65">
        <f>+'Cons spec netti '!H128</f>
        <v>9457</v>
      </c>
      <c r="E3" s="65">
        <f>+'Cons spec netti '!I128</f>
        <v>9994.5</v>
      </c>
      <c r="F3" s="65">
        <f>+'Cons spec netti '!J128</f>
        <v>8885</v>
      </c>
      <c r="G3" s="65">
        <f>+'Cons spec netti '!K128</f>
        <v>11443</v>
      </c>
      <c r="H3" s="65">
        <f>+'Cons spec netti '!L128</f>
        <v>8702</v>
      </c>
      <c r="I3" s="65">
        <f>+'Cons spec netti '!M128</f>
        <v>8218</v>
      </c>
      <c r="J3" s="65">
        <f>+'Cons spec netti '!N128</f>
        <v>10315</v>
      </c>
    </row>
    <row r="4" spans="1:10" ht="15" customHeight="1">
      <c r="A4" s="80" t="s">
        <v>57</v>
      </c>
      <c r="B4" s="65">
        <f>+'Cons spec tot e finalizzati'!G128</f>
        <v>88</v>
      </c>
      <c r="C4" s="65">
        <f>+'Cons spec tot e finalizzati'!I128</f>
        <v>296</v>
      </c>
      <c r="D4" s="67">
        <f>+'Cons spec tot e finalizzati'!K128</f>
        <v>444</v>
      </c>
      <c r="E4" s="67">
        <f>+'Cons spec tot e finalizzati'!M128</f>
        <v>7812</v>
      </c>
      <c r="F4" s="67">
        <f>+'Cons spec tot e finalizzati'!O128</f>
        <v>4316</v>
      </c>
      <c r="G4" s="67">
        <f>+'Cons spec tot e finalizzati'!Q128</f>
        <v>6498</v>
      </c>
      <c r="H4" s="67">
        <f>+'Cons spec tot e finalizzati'!S128</f>
        <v>6375</v>
      </c>
      <c r="I4" s="67">
        <f>+'Cons spec tot e finalizzati'!U128</f>
        <v>8424</v>
      </c>
      <c r="J4" s="67">
        <f>+'Cons spec tot e finalizzati'!W128</f>
        <v>7514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116.94708607656669</v>
      </c>
      <c r="D6" s="237">
        <f t="shared" si="0"/>
        <v>115.30114606193611</v>
      </c>
      <c r="E6" s="237">
        <f t="shared" si="0"/>
        <v>121.85442574981711</v>
      </c>
      <c r="F6" s="237">
        <f t="shared" si="0"/>
        <v>108.32723725920508</v>
      </c>
      <c r="G6" s="237">
        <f t="shared" si="0"/>
        <v>139.51475249939037</v>
      </c>
      <c r="H6" s="237">
        <f t="shared" si="0"/>
        <v>106.0960741282614</v>
      </c>
      <c r="I6" s="237">
        <f t="shared" si="0"/>
        <v>100.19507437210437</v>
      </c>
      <c r="J6" s="237">
        <f t="shared" si="0"/>
        <v>125.76200926603266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148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'!F129</f>
        <v>251</v>
      </c>
      <c r="C3" s="65">
        <f>+'Cons spec netti '!G129</f>
        <v>235</v>
      </c>
      <c r="D3" s="65">
        <f>+'Cons spec netti '!H129</f>
        <v>306</v>
      </c>
      <c r="E3" s="65">
        <f>+'Cons spec netti '!I129</f>
        <v>380</v>
      </c>
      <c r="F3" s="65">
        <f>+'Cons spec netti '!J129</f>
        <v>331</v>
      </c>
      <c r="G3" s="65">
        <f>+'Cons spec netti '!K129</f>
        <v>841</v>
      </c>
      <c r="H3" s="65">
        <f>+'Cons spec netti '!L129</f>
        <v>665</v>
      </c>
      <c r="I3" s="65">
        <f>+'Cons spec netti '!M129</f>
        <v>300</v>
      </c>
      <c r="J3" s="65">
        <f>+'Cons spec netti '!N129</f>
        <v>750</v>
      </c>
    </row>
    <row r="4" spans="1:10" ht="15" customHeight="1">
      <c r="A4" s="80" t="s">
        <v>57</v>
      </c>
      <c r="B4" s="65">
        <f>+'Cons spec tot e finalizzati'!G129</f>
        <v>0</v>
      </c>
      <c r="C4" s="65">
        <f>+'Cons spec tot e finalizzati'!I129</f>
        <v>0</v>
      </c>
      <c r="D4" s="67">
        <f>+'Cons spec tot e finalizzati'!K129</f>
        <v>0</v>
      </c>
      <c r="E4" s="67">
        <f>+'Cons spec tot e finalizzati'!M129</f>
        <v>0</v>
      </c>
      <c r="F4" s="67">
        <f>+'Cons spec tot e finalizzati'!O129</f>
        <v>0</v>
      </c>
      <c r="G4" s="67">
        <f>+'Cons spec tot e finalizzati'!Q129</f>
        <v>0</v>
      </c>
      <c r="H4" s="67">
        <f>+'Cons spec tot e finalizzati'!S129</f>
        <v>0</v>
      </c>
      <c r="I4" s="67">
        <f>+'Cons spec tot e finalizzati'!U129</f>
        <v>220</v>
      </c>
      <c r="J4" s="67">
        <f>+'Cons spec tot e finalizzati'!W129</f>
        <v>500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93.62549800796812</v>
      </c>
      <c r="D6" s="237">
        <f t="shared" si="0"/>
        <v>121.91235059760956</v>
      </c>
      <c r="E6" s="237">
        <f t="shared" si="0"/>
        <v>151.39442231075697</v>
      </c>
      <c r="F6" s="237">
        <f t="shared" si="0"/>
        <v>131.87250996015936</v>
      </c>
      <c r="G6" s="237">
        <f t="shared" si="0"/>
        <v>335.0597609561753</v>
      </c>
      <c r="H6" s="237">
        <f t="shared" si="0"/>
        <v>264.9402390438247</v>
      </c>
      <c r="I6" s="237">
        <f t="shared" si="0"/>
        <v>119.52191235059762</v>
      </c>
      <c r="J6" s="237">
        <f t="shared" si="0"/>
        <v>298.804780876494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188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'!F133</f>
        <v>2265</v>
      </c>
      <c r="C3" s="65">
        <f>+'Cons spec netti '!G133</f>
        <v>2044</v>
      </c>
      <c r="D3" s="65">
        <f>+'Cons spec netti '!H133</f>
        <v>1740</v>
      </c>
      <c r="E3" s="65">
        <f>+'Cons spec netti '!I133</f>
        <v>1268</v>
      </c>
      <c r="F3" s="65">
        <f>+'Cons spec netti '!J133</f>
        <v>1018</v>
      </c>
      <c r="G3" s="65">
        <f>+'Cons spec netti '!K133</f>
        <v>946</v>
      </c>
      <c r="H3" s="65">
        <f>+'Cons spec netti '!L133</f>
        <v>589</v>
      </c>
      <c r="I3" s="65">
        <f>+'Cons spec netti '!M133</f>
        <v>539</v>
      </c>
      <c r="J3" s="65">
        <f>+'Cons spec netti '!N133</f>
        <v>529</v>
      </c>
    </row>
    <row r="4" spans="1:10" ht="15" customHeight="1">
      <c r="A4" s="80" t="s">
        <v>57</v>
      </c>
      <c r="B4" s="65">
        <f>+'Cons spec tot e finalizzati'!G133</f>
        <v>0</v>
      </c>
      <c r="C4" s="65">
        <f>+'Cons spec tot e finalizzati'!I133</f>
        <v>0</v>
      </c>
      <c r="D4" s="67">
        <f>+'Cons spec tot e finalizzati'!K133</f>
        <v>0</v>
      </c>
      <c r="E4" s="67">
        <f>+'Cons spec tot e finalizzati'!M133</f>
        <v>52</v>
      </c>
      <c r="F4" s="67">
        <f>+'Cons spec tot e finalizzati'!O133</f>
        <v>0</v>
      </c>
      <c r="G4" s="67">
        <f>+'Cons spec tot e finalizzati'!Q133</f>
        <v>0</v>
      </c>
      <c r="H4" s="67">
        <f>+'Cons spec tot e finalizzati'!S133</f>
        <v>136</v>
      </c>
      <c r="I4" s="67">
        <f>+'Cons spec tot e finalizzati'!U133</f>
        <v>173</v>
      </c>
      <c r="J4" s="67">
        <f>+'Cons spec tot e finalizzati'!W133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90.24282560706402</v>
      </c>
      <c r="D6" s="237">
        <f t="shared" si="0"/>
        <v>76.82119205298014</v>
      </c>
      <c r="E6" s="237">
        <f t="shared" si="0"/>
        <v>55.982339955849895</v>
      </c>
      <c r="F6" s="237">
        <f t="shared" si="0"/>
        <v>44.94481236203091</v>
      </c>
      <c r="G6" s="237">
        <f t="shared" si="0"/>
        <v>41.76600441501104</v>
      </c>
      <c r="H6" s="237">
        <f t="shared" si="0"/>
        <v>26.00441501103753</v>
      </c>
      <c r="I6" s="237">
        <f t="shared" si="0"/>
        <v>23.79690949227373</v>
      </c>
      <c r="J6" s="237">
        <f t="shared" si="0"/>
        <v>23.35540838852097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189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'!F138</f>
        <v>1197</v>
      </c>
      <c r="C3" s="65">
        <f>+'Cons spec netti '!G138</f>
        <v>1155</v>
      </c>
      <c r="D3" s="65">
        <f>+'Cons spec netti '!H138</f>
        <v>1559</v>
      </c>
      <c r="E3" s="65">
        <f>+'Cons spec netti '!I138</f>
        <v>2720.5</v>
      </c>
      <c r="F3" s="65">
        <f>+'Cons spec netti '!J138</f>
        <v>2095</v>
      </c>
      <c r="G3" s="65">
        <f>+'Cons spec netti '!K138</f>
        <v>3629</v>
      </c>
      <c r="H3" s="65">
        <f>+'Cons spec netti '!L138</f>
        <v>2231</v>
      </c>
      <c r="I3" s="65">
        <f>+'Cons spec netti '!M138</f>
        <v>1745</v>
      </c>
      <c r="J3" s="65">
        <f>+'Cons spec netti '!N138</f>
        <v>2805</v>
      </c>
    </row>
    <row r="4" spans="1:10" ht="15" customHeight="1">
      <c r="A4" s="80" t="s">
        <v>57</v>
      </c>
      <c r="B4" s="65">
        <f>+'Cons spec tot e finalizzati'!G138</f>
        <v>0</v>
      </c>
      <c r="C4" s="65">
        <f>+'Cons spec tot e finalizzati'!I138</f>
        <v>0</v>
      </c>
      <c r="D4" s="67">
        <f>+'Cons spec tot e finalizzati'!K138</f>
        <v>0</v>
      </c>
      <c r="E4" s="67">
        <f>+'Cons spec tot e finalizzati'!M138</f>
        <v>580</v>
      </c>
      <c r="F4" s="67">
        <f>+'Cons spec tot e finalizzati'!O138</f>
        <v>0</v>
      </c>
      <c r="G4" s="67">
        <f>+'Cons spec tot e finalizzati'!Q138</f>
        <v>137</v>
      </c>
      <c r="H4" s="67">
        <f>+'Cons spec tot e finalizzati'!S138</f>
        <v>1285</v>
      </c>
      <c r="I4" s="67">
        <f>+'Cons spec tot e finalizzati'!U138</f>
        <v>951</v>
      </c>
      <c r="J4" s="67">
        <f>+'Cons spec tot e finalizzati'!W138</f>
        <v>40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96.49122807017544</v>
      </c>
      <c r="D6" s="237">
        <f t="shared" si="0"/>
        <v>130.2422723475355</v>
      </c>
      <c r="E6" s="237">
        <f t="shared" si="0"/>
        <v>227.2765246449457</v>
      </c>
      <c r="F6" s="237">
        <f t="shared" si="0"/>
        <v>175.02088554720135</v>
      </c>
      <c r="G6" s="237">
        <f t="shared" si="0"/>
        <v>303.17460317460313</v>
      </c>
      <c r="H6" s="237">
        <f t="shared" si="0"/>
        <v>186.3826232247285</v>
      </c>
      <c r="I6" s="237">
        <f t="shared" si="0"/>
        <v>145.78111946533</v>
      </c>
      <c r="J6" s="237">
        <f t="shared" si="0"/>
        <v>234.3358395989975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163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'!F150</f>
        <v>47</v>
      </c>
      <c r="C3" s="65">
        <f>+'Cons spec netti '!G150</f>
        <v>568</v>
      </c>
      <c r="D3" s="65">
        <f>+'Cons spec netti '!H150</f>
        <v>553</v>
      </c>
      <c r="E3" s="65">
        <f>+'Cons spec netti '!I150</f>
        <v>963</v>
      </c>
      <c r="F3" s="65">
        <f>+'Cons spec netti '!J150</f>
        <v>974</v>
      </c>
      <c r="G3" s="65">
        <f>+'Cons spec netti '!K150</f>
        <v>64</v>
      </c>
      <c r="H3" s="65">
        <f>+'Cons spec netti '!L150</f>
        <v>34</v>
      </c>
      <c r="I3" s="65">
        <f>+'Cons spec netti '!M150</f>
        <v>168</v>
      </c>
      <c r="J3" s="65">
        <f>+'Cons spec netti '!N150</f>
        <v>99</v>
      </c>
    </row>
    <row r="4" spans="1:10" ht="15" customHeight="1">
      <c r="A4" s="80" t="s">
        <v>57</v>
      </c>
      <c r="B4" s="65">
        <f>+'Cons spec tot e finalizzati'!G150</f>
        <v>0</v>
      </c>
      <c r="C4" s="65">
        <f>+'Cons spec tot e finalizzati'!I150</f>
        <v>0</v>
      </c>
      <c r="D4" s="67">
        <f>+'Cons spec tot e finalizzati'!K150</f>
        <v>0</v>
      </c>
      <c r="E4" s="67">
        <f>+'Cons spec tot e finalizzati'!M150</f>
        <v>5268</v>
      </c>
      <c r="F4" s="67">
        <f>+'Cons spec tot e finalizzati'!O150</f>
        <v>4015</v>
      </c>
      <c r="G4" s="67">
        <f>+'Cons spec tot e finalizzati'!Q150</f>
        <v>6210</v>
      </c>
      <c r="H4" s="67">
        <f>+'Cons spec tot e finalizzati'!S150</f>
        <v>4474</v>
      </c>
      <c r="I4" s="67">
        <f>+'Cons spec tot e finalizzati'!U150</f>
        <v>6772</v>
      </c>
      <c r="J4" s="67">
        <f>+'Cons spec tot e finalizzati'!W150</f>
        <v>6342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1208.5106382978724</v>
      </c>
      <c r="D6" s="237">
        <f t="shared" si="0"/>
        <v>1176.595744680851</v>
      </c>
      <c r="E6" s="237">
        <f t="shared" si="0"/>
        <v>2048.936170212766</v>
      </c>
      <c r="F6" s="237">
        <f t="shared" si="0"/>
        <v>2072.340425531915</v>
      </c>
      <c r="G6" s="237">
        <f t="shared" si="0"/>
        <v>136.17021276595744</v>
      </c>
      <c r="H6" s="237">
        <f t="shared" si="0"/>
        <v>72.3404255319149</v>
      </c>
      <c r="I6" s="237">
        <f t="shared" si="0"/>
        <v>357.4468085106383</v>
      </c>
      <c r="J6" s="237">
        <f t="shared" si="0"/>
        <v>210.63829787234042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150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'!F151</f>
        <v>4442</v>
      </c>
      <c r="C3" s="65">
        <f>+'Cons spec netti '!G151</f>
        <v>5590</v>
      </c>
      <c r="D3" s="65">
        <f>+'Cons spec netti '!H151</f>
        <v>5299</v>
      </c>
      <c r="E3" s="65">
        <f>+'Cons spec netti '!I151</f>
        <v>4663</v>
      </c>
      <c r="F3" s="65">
        <f>+'Cons spec netti '!J151</f>
        <v>4467</v>
      </c>
      <c r="G3" s="65">
        <f>+'Cons spec netti '!K151</f>
        <v>5963</v>
      </c>
      <c r="H3" s="65">
        <f>+'Cons spec netti '!L151</f>
        <v>5183</v>
      </c>
      <c r="I3" s="65">
        <f>+'Cons spec netti '!M151</f>
        <v>5466</v>
      </c>
      <c r="J3" s="65">
        <f>+'Cons spec netti '!N151</f>
        <v>6132</v>
      </c>
    </row>
    <row r="4" spans="1:10" ht="15" customHeight="1">
      <c r="A4" s="80" t="s">
        <v>57</v>
      </c>
      <c r="B4" s="65">
        <f>+'Cons spec tot e finalizzati'!G151</f>
        <v>88</v>
      </c>
      <c r="C4" s="65">
        <f>+'Cons spec tot e finalizzati'!I151</f>
        <v>296</v>
      </c>
      <c r="D4" s="67">
        <f>+'Cons spec tot e finalizzati'!K151</f>
        <v>444</v>
      </c>
      <c r="E4" s="67">
        <f>+'Cons spec tot e finalizzati'!M151</f>
        <v>1912</v>
      </c>
      <c r="F4" s="67">
        <f>+'Cons spec tot e finalizzati'!O151</f>
        <v>301</v>
      </c>
      <c r="G4" s="67">
        <f>+'Cons spec tot e finalizzati'!Q151</f>
        <v>151</v>
      </c>
      <c r="H4" s="67">
        <f>+'Cons spec tot e finalizzati'!S151</f>
        <v>480</v>
      </c>
      <c r="I4" s="67">
        <f>+'Cons spec tot e finalizzati'!U151</f>
        <v>308</v>
      </c>
      <c r="J4" s="67">
        <f>+'Cons spec tot e finalizzati'!W151</f>
        <v>632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125.84421431787483</v>
      </c>
      <c r="D6" s="237">
        <f t="shared" si="0"/>
        <v>119.29311121116615</v>
      </c>
      <c r="E6" s="237">
        <f t="shared" si="0"/>
        <v>104.97523638000901</v>
      </c>
      <c r="F6" s="237">
        <f t="shared" si="0"/>
        <v>100.5628095452499</v>
      </c>
      <c r="G6" s="237">
        <f t="shared" si="0"/>
        <v>134.24133273300316</v>
      </c>
      <c r="H6" s="237">
        <f t="shared" si="0"/>
        <v>116.68167492120666</v>
      </c>
      <c r="I6" s="237">
        <f t="shared" si="0"/>
        <v>123.05267897343539</v>
      </c>
      <c r="J6" s="237">
        <f t="shared" si="0"/>
        <v>138.0459252588924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190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'!F154</f>
        <v>1350</v>
      </c>
      <c r="C3" s="65">
        <f>+'Cons spec netti '!G154</f>
        <v>1545</v>
      </c>
      <c r="D3" s="65">
        <f>+'Cons spec netti '!H154</f>
        <v>1692</v>
      </c>
      <c r="E3" s="65">
        <f>+'Cons spec netti '!I154</f>
        <v>1557</v>
      </c>
      <c r="F3" s="65">
        <f>+'Cons spec netti '!J154</f>
        <v>1766.769603412747</v>
      </c>
      <c r="G3" s="65">
        <f>+'Cons spec netti '!K154</f>
        <v>1729</v>
      </c>
      <c r="H3" s="65">
        <f>+'Cons spec netti '!L154</f>
        <v>1466</v>
      </c>
      <c r="I3" s="65">
        <f>+'Cons spec netti '!M154</f>
        <v>1214</v>
      </c>
      <c r="J3" s="65">
        <f>+'Cons spec netti '!N154</f>
        <v>1108</v>
      </c>
    </row>
    <row r="4" spans="1:10" ht="15" customHeight="1">
      <c r="A4" s="80" t="s">
        <v>57</v>
      </c>
      <c r="B4" s="65">
        <f>+'Cons spec tot e finalizzati'!G154</f>
        <v>0</v>
      </c>
      <c r="C4" s="65">
        <f>+'Cons spec tot e finalizzati'!I154</f>
        <v>44</v>
      </c>
      <c r="D4" s="67">
        <f>+'Cons spec tot e finalizzati'!K154</f>
        <v>49</v>
      </c>
      <c r="E4" s="67">
        <f>+'Cons spec tot e finalizzati'!M154</f>
        <v>81</v>
      </c>
      <c r="F4" s="67">
        <f>+'Cons spec tot e finalizzati'!O154</f>
        <v>220.2303965872528</v>
      </c>
      <c r="G4" s="67">
        <f>+'Cons spec tot e finalizzati'!Q154</f>
        <v>22</v>
      </c>
      <c r="H4" s="67">
        <f>+'Cons spec tot e finalizzati'!S154</f>
        <v>21</v>
      </c>
      <c r="I4" s="67">
        <f>+'Cons spec tot e finalizzati'!U154</f>
        <v>24</v>
      </c>
      <c r="J4" s="67">
        <f>+'Cons spec tot e finalizzati'!W154</f>
        <v>52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114.44444444444444</v>
      </c>
      <c r="D6" s="237">
        <f t="shared" si="0"/>
        <v>125.33333333333334</v>
      </c>
      <c r="E6" s="237">
        <f t="shared" si="0"/>
        <v>115.33333333333333</v>
      </c>
      <c r="F6" s="237">
        <f t="shared" si="0"/>
        <v>130.8718224750183</v>
      </c>
      <c r="G6" s="237">
        <f t="shared" si="0"/>
        <v>128.07407407407408</v>
      </c>
      <c r="H6" s="237">
        <f t="shared" si="0"/>
        <v>108.5925925925926</v>
      </c>
      <c r="I6" s="237">
        <f t="shared" si="0"/>
        <v>89.92592592592594</v>
      </c>
      <c r="J6" s="237">
        <f t="shared" si="0"/>
        <v>82.07407407407408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191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'!F155</f>
        <v>999</v>
      </c>
      <c r="C3" s="65">
        <f>+'Cons spec netti '!G155</f>
        <v>1330</v>
      </c>
      <c r="D3" s="65">
        <f>+'Cons spec netti '!H155</f>
        <v>1417</v>
      </c>
      <c r="E3" s="65">
        <f>+'Cons spec netti '!I155</f>
        <v>1272</v>
      </c>
      <c r="F3" s="65">
        <f>+'Cons spec netti '!J155</f>
        <v>1568.769603412747</v>
      </c>
      <c r="G3" s="65">
        <f>+'Cons spec netti '!K155</f>
        <v>1060</v>
      </c>
      <c r="H3" s="65">
        <f>+'Cons spec netti '!L155</f>
        <v>863</v>
      </c>
      <c r="I3" s="65">
        <f>+'Cons spec netti '!M155</f>
        <v>724</v>
      </c>
      <c r="J3" s="65">
        <f>+'Cons spec netti '!N155</f>
        <v>728</v>
      </c>
    </row>
    <row r="4" spans="1:10" ht="15" customHeight="1">
      <c r="A4" s="80" t="s">
        <v>57</v>
      </c>
      <c r="B4" s="65">
        <f>+'Cons spec tot e finalizzati'!G155</f>
        <v>0</v>
      </c>
      <c r="C4" s="65">
        <f>+'Cons spec tot e finalizzati'!I155</f>
        <v>44</v>
      </c>
      <c r="D4" s="67">
        <f>+'Cons spec tot e finalizzati'!K155</f>
        <v>49</v>
      </c>
      <c r="E4" s="67">
        <f>+'Cons spec tot e finalizzati'!M155</f>
        <v>81</v>
      </c>
      <c r="F4" s="67">
        <f>+'Cons spec tot e finalizzati'!O155</f>
        <v>202.2303965872528</v>
      </c>
      <c r="G4" s="67">
        <f>+'Cons spec tot e finalizzati'!Q155</f>
        <v>21</v>
      </c>
      <c r="H4" s="67">
        <f>+'Cons spec tot e finalizzati'!S155</f>
        <v>20</v>
      </c>
      <c r="I4" s="67">
        <f>+'Cons spec tot e finalizzati'!U155</f>
        <v>23</v>
      </c>
      <c r="J4" s="67">
        <f>+'Cons spec tot e finalizzati'!W155</f>
        <v>52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133.13313313313313</v>
      </c>
      <c r="D6" s="237">
        <f t="shared" si="0"/>
        <v>141.84184184184184</v>
      </c>
      <c r="E6" s="237">
        <f t="shared" si="0"/>
        <v>127.32732732732732</v>
      </c>
      <c r="F6" s="237">
        <f t="shared" si="0"/>
        <v>157.03399433561032</v>
      </c>
      <c r="G6" s="237">
        <f t="shared" si="0"/>
        <v>106.10610610610611</v>
      </c>
      <c r="H6" s="237">
        <f t="shared" si="0"/>
        <v>86.38638638638638</v>
      </c>
      <c r="I6" s="237">
        <f t="shared" si="0"/>
        <v>72.47247247247248</v>
      </c>
      <c r="J6" s="237">
        <f t="shared" si="0"/>
        <v>72.87287287287288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153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'!F159</f>
        <v>0</v>
      </c>
      <c r="C3" s="65">
        <f>+'Cons spec netti '!G159</f>
        <v>0</v>
      </c>
      <c r="D3" s="65">
        <f>+'Cons spec netti '!H159</f>
        <v>0</v>
      </c>
      <c r="E3" s="65">
        <f>+'Cons spec netti '!I159</f>
        <v>0</v>
      </c>
      <c r="F3" s="65">
        <f>+'Cons spec netti '!J159</f>
        <v>0</v>
      </c>
      <c r="G3" s="65">
        <f>+'Cons spec netti '!K159</f>
        <v>212</v>
      </c>
      <c r="H3" s="65">
        <f>+'Cons spec netti '!L159</f>
        <v>85</v>
      </c>
      <c r="I3" s="65">
        <f>+'Cons spec netti '!M159</f>
        <v>43</v>
      </c>
      <c r="J3" s="65">
        <f>+'Cons spec netti '!N159</f>
        <v>52</v>
      </c>
    </row>
    <row r="4" spans="1:10" ht="15" customHeight="1">
      <c r="A4" s="80" t="s">
        <v>57</v>
      </c>
      <c r="B4" s="65">
        <f>+'Cons spec tot e finalizzati'!G159</f>
        <v>0</v>
      </c>
      <c r="C4" s="65">
        <f>+'Cons spec tot e finalizzati'!I159</f>
        <v>0</v>
      </c>
      <c r="D4" s="67">
        <f>+'Cons spec tot e finalizzati'!K159</f>
        <v>0</v>
      </c>
      <c r="E4" s="67">
        <f>+'Cons spec tot e finalizzati'!M159</f>
        <v>0</v>
      </c>
      <c r="F4" s="67">
        <f>+'Cons spec tot e finalizzati'!O159</f>
        <v>18</v>
      </c>
      <c r="G4" s="67">
        <f>+'Cons spec tot e finalizzati'!Q159</f>
        <v>1</v>
      </c>
      <c r="H4" s="67">
        <f>+'Cons spec tot e finalizzati'!S159</f>
        <v>1</v>
      </c>
      <c r="I4" s="67">
        <f>+'Cons spec tot e finalizzati'!U159</f>
        <v>1</v>
      </c>
      <c r="J4" s="67">
        <f>+'Cons spec tot e finalizzati'!W159</f>
        <v>0</v>
      </c>
    </row>
    <row r="5" spans="2:3" ht="12.75">
      <c r="B5" s="65"/>
      <c r="C5" s="5"/>
    </row>
    <row r="6" spans="2:10" ht="12.75">
      <c r="B6" s="236"/>
      <c r="C6" s="237"/>
      <c r="D6" s="237"/>
      <c r="E6" s="237"/>
      <c r="F6" s="237"/>
      <c r="G6" s="237"/>
      <c r="H6" s="237"/>
      <c r="I6" s="237"/>
      <c r="J6" s="237"/>
    </row>
    <row r="7" spans="2:7" ht="12.75">
      <c r="B7" s="66"/>
      <c r="C7" s="66"/>
      <c r="D7" s="66"/>
      <c r="E7" s="66"/>
      <c r="G7" s="66"/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'!F12</f>
        <v>948</v>
      </c>
      <c r="C3" s="65">
        <f>+'Cons spec netti '!G12</f>
        <v>939</v>
      </c>
      <c r="D3" s="65">
        <f>+'Cons spec netti '!H12</f>
        <v>961</v>
      </c>
      <c r="E3" s="65">
        <f>+'Cons spec netti '!I12</f>
        <v>993</v>
      </c>
      <c r="F3" s="65">
        <f>+'Cons spec netti '!J12</f>
        <v>1432</v>
      </c>
      <c r="G3" s="65">
        <f>+'Cons spec netti '!K12</f>
        <v>1216</v>
      </c>
      <c r="H3" s="65">
        <f>+'Cons spec netti '!L12</f>
        <v>1229</v>
      </c>
      <c r="I3" s="65">
        <f>+'Cons spec netti '!M12</f>
        <v>1078</v>
      </c>
      <c r="J3" s="65">
        <f>+'Cons spec netti '!N12</f>
        <v>849</v>
      </c>
    </row>
    <row r="4" spans="1:10" ht="15" customHeight="1">
      <c r="A4" s="80" t="s">
        <v>57</v>
      </c>
      <c r="B4" s="65">
        <f>+'Cons spec tot e finalizzati'!G12</f>
        <v>584</v>
      </c>
      <c r="C4" s="65">
        <f>+'Cons spec tot e finalizzati'!I12</f>
        <v>622</v>
      </c>
      <c r="D4" s="67">
        <f>+'Cons spec tot e finalizzati'!K12</f>
        <v>1408</v>
      </c>
      <c r="E4" s="67">
        <f>+'Cons spec tot e finalizzati'!M12</f>
        <v>1697</v>
      </c>
      <c r="F4" s="67">
        <f>+'Cons spec tot e finalizzati'!O12</f>
        <v>1411</v>
      </c>
      <c r="G4" s="67">
        <f>+'Cons spec tot e finalizzati'!Q12</f>
        <v>1287</v>
      </c>
      <c r="H4" s="67">
        <f>+'Cons spec tot e finalizzati'!S12</f>
        <v>1143</v>
      </c>
      <c r="I4" s="67">
        <f>+'Cons spec tot e finalizzati'!U12</f>
        <v>1819</v>
      </c>
      <c r="J4" s="67">
        <f>+'Cons spec tot e finalizzati'!W12</f>
        <v>3761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99.0506329113924</v>
      </c>
      <c r="D6" s="237">
        <f t="shared" si="0"/>
        <v>101.37130801687763</v>
      </c>
      <c r="E6" s="237">
        <f t="shared" si="0"/>
        <v>104.74683544303798</v>
      </c>
      <c r="F6" s="237">
        <f t="shared" si="0"/>
        <v>151.0548523206751</v>
      </c>
      <c r="G6" s="237">
        <f t="shared" si="0"/>
        <v>128.27004219409284</v>
      </c>
      <c r="H6" s="237">
        <f t="shared" si="0"/>
        <v>129.64135021097047</v>
      </c>
      <c r="I6" s="237">
        <f t="shared" si="0"/>
        <v>113.71308016877637</v>
      </c>
      <c r="J6" s="237">
        <f t="shared" si="0"/>
        <v>89.55696202531645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152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'!F162</f>
        <v>351</v>
      </c>
      <c r="C3" s="65">
        <f>+'Cons spec netti '!G162</f>
        <v>215</v>
      </c>
      <c r="D3" s="65">
        <f>+'Cons spec netti '!H162</f>
        <v>275</v>
      </c>
      <c r="E3" s="65">
        <f>+'Cons spec netti '!I162</f>
        <v>285</v>
      </c>
      <c r="F3" s="65">
        <f>+'Cons spec netti '!J162</f>
        <v>198</v>
      </c>
      <c r="G3" s="65">
        <f>+'Cons spec netti '!K162</f>
        <v>457</v>
      </c>
      <c r="H3" s="65">
        <f>+'Cons spec netti '!L162</f>
        <v>518</v>
      </c>
      <c r="I3" s="65">
        <f>+'Cons spec netti '!M162</f>
        <v>447</v>
      </c>
      <c r="J3" s="65">
        <f>+'Cons spec netti '!N162</f>
        <v>328</v>
      </c>
    </row>
    <row r="4" spans="1:10" ht="15" customHeight="1">
      <c r="A4" s="80" t="s">
        <v>57</v>
      </c>
      <c r="B4" s="65">
        <f>+'Cons spec tot e finalizzati'!G162</f>
        <v>0</v>
      </c>
      <c r="C4" s="65">
        <f>+'Cons spec tot e finalizzati'!I162</f>
        <v>0</v>
      </c>
      <c r="D4" s="67">
        <f>+'Cons spec tot e finalizzati'!K162</f>
        <v>0</v>
      </c>
      <c r="E4" s="67">
        <f>+'Cons spec tot e finalizzati'!M162</f>
        <v>0</v>
      </c>
      <c r="F4" s="67">
        <f>+'Cons spec tot e finalizzati'!O162</f>
        <v>0</v>
      </c>
      <c r="G4" s="67">
        <f>+'Cons spec tot e finalizzati'!Q162</f>
        <v>0</v>
      </c>
      <c r="H4" s="67">
        <f>+'Cons spec tot e finalizzati'!S162</f>
        <v>0</v>
      </c>
      <c r="I4" s="67">
        <f>+'Cons spec tot e finalizzati'!U162</f>
        <v>0</v>
      </c>
      <c r="J4" s="67">
        <f>+'Cons spec tot e finalizzati'!W162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61.25356125356125</v>
      </c>
      <c r="D6" s="237">
        <f t="shared" si="0"/>
        <v>78.34757834757835</v>
      </c>
      <c r="E6" s="237">
        <f t="shared" si="0"/>
        <v>81.19658119658119</v>
      </c>
      <c r="F6" s="237">
        <f t="shared" si="0"/>
        <v>56.41025641025641</v>
      </c>
      <c r="G6" s="237">
        <f t="shared" si="0"/>
        <v>130.1994301994302</v>
      </c>
      <c r="H6" s="237">
        <f t="shared" si="0"/>
        <v>147.57834757834758</v>
      </c>
      <c r="I6" s="237">
        <f t="shared" si="0"/>
        <v>127.35042735042734</v>
      </c>
      <c r="J6" s="237">
        <f t="shared" si="0"/>
        <v>93.44729344729345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139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'!F167</f>
        <v>1855</v>
      </c>
      <c r="C3" s="65">
        <f>+'Cons spec netti '!G167</f>
        <v>2306</v>
      </c>
      <c r="D3" s="65">
        <f>+'Cons spec netti '!H167</f>
        <v>2535</v>
      </c>
      <c r="E3" s="65">
        <f>+'Cons spec netti '!I167</f>
        <v>3345</v>
      </c>
      <c r="F3" s="65">
        <f>+'Cons spec netti '!J167</f>
        <v>3101</v>
      </c>
      <c r="G3" s="65">
        <f>+'Cons spec netti '!K167</f>
        <v>3006</v>
      </c>
      <c r="H3" s="65">
        <f>+'Cons spec netti '!L167</f>
        <v>4384</v>
      </c>
      <c r="I3" s="65">
        <f>+'Cons spec netti '!M167</f>
        <v>6668</v>
      </c>
      <c r="J3" s="65">
        <f>+'Cons spec netti '!N167</f>
        <v>6523</v>
      </c>
    </row>
    <row r="4" spans="1:10" ht="15" customHeight="1">
      <c r="A4" s="80" t="s">
        <v>57</v>
      </c>
      <c r="B4" s="65">
        <f>+'Cons spec tot e finalizzati'!G167</f>
        <v>48</v>
      </c>
      <c r="C4" s="65">
        <f>+'Cons spec tot e finalizzati'!I167</f>
        <v>40</v>
      </c>
      <c r="D4" s="67">
        <f>+'Cons spec tot e finalizzati'!K167</f>
        <v>22</v>
      </c>
      <c r="E4" s="67">
        <f>+'Cons spec tot e finalizzati'!M167</f>
        <v>5</v>
      </c>
      <c r="F4" s="67">
        <f>+'Cons spec tot e finalizzati'!O167</f>
        <v>0</v>
      </c>
      <c r="G4" s="67">
        <f>+'Cons spec tot e finalizzati'!Q167</f>
        <v>0</v>
      </c>
      <c r="H4" s="67">
        <f>+'Cons spec tot e finalizzati'!S167</f>
        <v>5</v>
      </c>
      <c r="I4" s="67">
        <f>+'Cons spec tot e finalizzati'!U167</f>
        <v>1</v>
      </c>
      <c r="J4" s="67">
        <f>+'Cons spec tot e finalizzati'!W167</f>
        <v>7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124.31266846361186</v>
      </c>
      <c r="D6" s="237">
        <f t="shared" si="0"/>
        <v>136.6576819407008</v>
      </c>
      <c r="E6" s="237">
        <f t="shared" si="0"/>
        <v>180.3234501347709</v>
      </c>
      <c r="F6" s="237">
        <f t="shared" si="0"/>
        <v>167.16981132075472</v>
      </c>
      <c r="G6" s="237">
        <f t="shared" si="0"/>
        <v>162.04851752021563</v>
      </c>
      <c r="H6" s="237">
        <f t="shared" si="0"/>
        <v>236.3342318059299</v>
      </c>
      <c r="I6" s="237">
        <f t="shared" si="0"/>
        <v>359.46091644204853</v>
      </c>
      <c r="J6" s="237">
        <f t="shared" si="0"/>
        <v>351.644204851752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77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'!F173</f>
        <v>20865</v>
      </c>
      <c r="C3" s="65">
        <f>+'Cons spec netti '!G173</f>
        <v>23377</v>
      </c>
      <c r="D3" s="65">
        <f>+'Cons spec netti '!H173</f>
        <v>25259</v>
      </c>
      <c r="E3" s="65">
        <f>+'Cons spec netti '!I173</f>
        <v>26872.5</v>
      </c>
      <c r="F3" s="65">
        <f>+'Cons spec netti '!J173</f>
        <v>28607.891094733688</v>
      </c>
      <c r="G3" s="65">
        <f>+'Cons spec netti '!K173</f>
        <v>30082</v>
      </c>
      <c r="H3" s="65">
        <f>+'Cons spec netti '!L173</f>
        <v>31730</v>
      </c>
      <c r="I3" s="65">
        <f>+'Cons spec netti '!M173</f>
        <v>31966</v>
      </c>
      <c r="J3" s="65">
        <f>+'Cons spec netti '!N173</f>
        <v>33222</v>
      </c>
    </row>
    <row r="4" spans="1:10" ht="15" customHeight="1">
      <c r="A4" s="80" t="s">
        <v>57</v>
      </c>
      <c r="B4" s="65">
        <f>+'Cons spec tot e finalizzati'!G173</f>
        <v>0</v>
      </c>
      <c r="C4" s="65">
        <f>+'Cons spec tot e finalizzati'!I173</f>
        <v>0</v>
      </c>
      <c r="D4" s="67">
        <f>+'Cons spec tot e finalizzati'!K173</f>
        <v>21</v>
      </c>
      <c r="E4" s="67">
        <f>+'Cons spec tot e finalizzati'!M173</f>
        <v>605</v>
      </c>
      <c r="F4" s="67">
        <f>+'Cons spec tot e finalizzati'!O173</f>
        <v>19.108905266311</v>
      </c>
      <c r="G4" s="67">
        <f>+'Cons spec tot e finalizzati'!Q173</f>
        <v>31</v>
      </c>
      <c r="H4" s="67">
        <f>+'Cons spec tot e finalizzati'!S173</f>
        <v>18</v>
      </c>
      <c r="I4" s="67">
        <f>+'Cons spec tot e finalizzati'!U173</f>
        <v>22</v>
      </c>
      <c r="J4" s="67">
        <f>+'Cons spec tot e finalizzati'!W173</f>
        <v>98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112.03930026359934</v>
      </c>
      <c r="D6" s="237">
        <f t="shared" si="0"/>
        <v>121.05919003115264</v>
      </c>
      <c r="E6" s="237">
        <f t="shared" si="0"/>
        <v>128.7922358015816</v>
      </c>
      <c r="F6" s="237">
        <f t="shared" si="0"/>
        <v>137.109470859016</v>
      </c>
      <c r="G6" s="237">
        <f t="shared" si="0"/>
        <v>144.17445482866043</v>
      </c>
      <c r="H6" s="237">
        <f t="shared" si="0"/>
        <v>152.07284926911095</v>
      </c>
      <c r="I6" s="237">
        <f t="shared" si="0"/>
        <v>153.20393002635993</v>
      </c>
      <c r="J6" s="237">
        <f t="shared" si="0"/>
        <v>159.2235801581596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3" width="8.7109375" style="0" bestFit="1" customWidth="1"/>
    <col min="4" max="4" width="7.7109375" style="0" bestFit="1" customWidth="1"/>
    <col min="5" max="10" width="8.7109375" style="0" bestFit="1" customWidth="1"/>
  </cols>
  <sheetData>
    <row r="1" ht="12.75">
      <c r="A1" t="s">
        <v>192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'!F237</f>
        <v>87295</v>
      </c>
      <c r="C3" s="65">
        <f>+'Cons spec netti '!G237</f>
        <v>105532</v>
      </c>
      <c r="D3" s="65">
        <f>+'Cons spec netti '!H237</f>
        <v>99212</v>
      </c>
      <c r="E3" s="65">
        <f>+'Cons spec netti '!I237</f>
        <v>108868</v>
      </c>
      <c r="F3" s="65">
        <f>+'Cons spec netti '!J237</f>
        <v>111909.1264286489</v>
      </c>
      <c r="G3" s="65">
        <f>+'Cons spec netti '!K237</f>
        <v>116842</v>
      </c>
      <c r="H3" s="65">
        <f>+'Cons spec netti '!L237</f>
        <v>120908</v>
      </c>
      <c r="I3" s="65">
        <f>+'Cons spec netti '!M237</f>
        <v>127539</v>
      </c>
      <c r="J3" s="65">
        <f>+'Cons spec netti '!N237</f>
        <v>126557</v>
      </c>
    </row>
    <row r="4" spans="1:10" ht="15" customHeight="1">
      <c r="A4" s="80" t="s">
        <v>57</v>
      </c>
      <c r="B4" s="65">
        <f>+'Cons spec tot e finalizzati'!G237</f>
        <v>5712</v>
      </c>
      <c r="C4" s="65">
        <f>+'Cons spec tot e finalizzati'!I237</f>
        <v>8376</v>
      </c>
      <c r="D4" s="67">
        <f>+'Cons spec tot e finalizzati'!K237</f>
        <v>14721</v>
      </c>
      <c r="E4" s="67">
        <f>+'Cons spec tot e finalizzati'!M237</f>
        <v>19397</v>
      </c>
      <c r="F4" s="67">
        <f>+'Cons spec tot e finalizzati'!O237</f>
        <v>15915.873571351103</v>
      </c>
      <c r="G4" s="67">
        <f>+'Cons spec tot e finalizzati'!Q237</f>
        <v>21562</v>
      </c>
      <c r="H4" s="67">
        <f>+'Cons spec tot e finalizzati'!S237</f>
        <v>23216</v>
      </c>
      <c r="I4" s="67">
        <f>+'Cons spec tot e finalizzati'!U237</f>
        <v>24283</v>
      </c>
      <c r="J4" s="67">
        <f>+'Cons spec tot e finalizzati'!W237</f>
        <v>27537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120.89123088378486</v>
      </c>
      <c r="D6" s="237">
        <f t="shared" si="0"/>
        <v>113.65141187925998</v>
      </c>
      <c r="E6" s="237">
        <f t="shared" si="0"/>
        <v>124.71275559883155</v>
      </c>
      <c r="F6" s="237">
        <f t="shared" si="0"/>
        <v>128.19649055346687</v>
      </c>
      <c r="G6" s="237">
        <f t="shared" si="0"/>
        <v>133.84729938713556</v>
      </c>
      <c r="H6" s="237">
        <f t="shared" si="0"/>
        <v>138.50506901884415</v>
      </c>
      <c r="I6" s="237">
        <f t="shared" si="0"/>
        <v>146.10115126868664</v>
      </c>
      <c r="J6" s="237">
        <f t="shared" si="0"/>
        <v>144.97623002462913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132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'!F17</f>
        <v>688</v>
      </c>
      <c r="C3" s="65">
        <f>+'Cons spec netti '!G17</f>
        <v>510</v>
      </c>
      <c r="D3" s="65">
        <f>+'Cons spec netti '!H17</f>
        <v>774</v>
      </c>
      <c r="E3" s="65">
        <f>+'Cons spec netti '!I17</f>
        <v>524</v>
      </c>
      <c r="F3" s="65">
        <f>+'Cons spec netti '!J17</f>
        <v>918</v>
      </c>
      <c r="G3" s="65">
        <f>+'Cons spec netti '!K17</f>
        <v>1426</v>
      </c>
      <c r="H3" s="65">
        <f>+'Cons spec netti '!L17</f>
        <v>1383</v>
      </c>
      <c r="I3" s="65">
        <f>+'Cons spec netti '!M17</f>
        <v>1234</v>
      </c>
      <c r="J3" s="65">
        <f>+'Cons spec netti '!N17</f>
        <v>1010</v>
      </c>
    </row>
    <row r="4" spans="1:10" ht="15" customHeight="1">
      <c r="A4" s="80" t="s">
        <v>57</v>
      </c>
      <c r="B4" s="65">
        <f>+'Cons spec tot e finalizzati'!G17</f>
        <v>0</v>
      </c>
      <c r="C4" s="65">
        <f>+'Cons spec tot e finalizzati'!I17</f>
        <v>227</v>
      </c>
      <c r="D4" s="67">
        <f>+'Cons spec tot e finalizzati'!K17</f>
        <v>300</v>
      </c>
      <c r="E4" s="67">
        <f>+'Cons spec tot e finalizzati'!M17</f>
        <v>350</v>
      </c>
      <c r="F4" s="67">
        <f>+'Cons spec tot e finalizzati'!O17</f>
        <v>150</v>
      </c>
      <c r="G4" s="67">
        <f>+'Cons spec tot e finalizzati'!Q17</f>
        <v>294</v>
      </c>
      <c r="H4" s="67">
        <f>+'Cons spec tot e finalizzati'!S17</f>
        <v>345</v>
      </c>
      <c r="I4" s="67">
        <f>+'Cons spec tot e finalizzati'!U17</f>
        <v>157</v>
      </c>
      <c r="J4" s="67">
        <f>+'Cons spec tot e finalizzati'!W17</f>
        <v>251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74.12790697674419</v>
      </c>
      <c r="D6" s="237">
        <f t="shared" si="0"/>
        <v>112.5</v>
      </c>
      <c r="E6" s="237">
        <f t="shared" si="0"/>
        <v>76.16279069767442</v>
      </c>
      <c r="F6" s="237">
        <f t="shared" si="0"/>
        <v>133.43023255813952</v>
      </c>
      <c r="G6" s="237">
        <f t="shared" si="0"/>
        <v>207.2674418604651</v>
      </c>
      <c r="H6" s="237">
        <f t="shared" si="0"/>
        <v>201.0174418604651</v>
      </c>
      <c r="I6" s="237">
        <f t="shared" si="0"/>
        <v>179.36046511627907</v>
      </c>
      <c r="J6" s="237">
        <f t="shared" si="0"/>
        <v>146.80232558139534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178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'!F23</f>
        <v>303</v>
      </c>
      <c r="C3" s="65">
        <f>+'Cons spec netti '!G23</f>
        <v>334</v>
      </c>
      <c r="D3" s="65">
        <f>+'Cons spec netti '!H23</f>
        <v>315</v>
      </c>
      <c r="E3" s="65">
        <f>+'Cons spec netti '!I23</f>
        <v>361</v>
      </c>
      <c r="F3" s="65">
        <f>+'Cons spec netti '!J23</f>
        <v>339</v>
      </c>
      <c r="G3" s="65">
        <f>+'Cons spec netti '!K23</f>
        <v>265</v>
      </c>
      <c r="H3" s="65">
        <f>+'Cons spec netti '!L23</f>
        <v>250</v>
      </c>
      <c r="I3" s="65">
        <f>+'Cons spec netti '!M23</f>
        <v>359</v>
      </c>
      <c r="J3" s="65">
        <f>+'Cons spec netti '!N23</f>
        <v>378</v>
      </c>
    </row>
    <row r="4" spans="1:10" ht="15" customHeight="1">
      <c r="A4" s="80" t="s">
        <v>57</v>
      </c>
      <c r="B4" s="65">
        <f>+'Cons spec tot e finalizzati'!G23</f>
        <v>0</v>
      </c>
      <c r="C4" s="65">
        <f>+'Cons spec tot e finalizzati'!I23</f>
        <v>0</v>
      </c>
      <c r="D4" s="67">
        <f>+'Cons spec tot e finalizzati'!K23</f>
        <v>0</v>
      </c>
      <c r="E4" s="67">
        <f>+'Cons spec tot e finalizzati'!M23</f>
        <v>0</v>
      </c>
      <c r="F4" s="67">
        <f>+'Cons spec tot e finalizzati'!O23</f>
        <v>0</v>
      </c>
      <c r="G4" s="67">
        <f>+'Cons spec tot e finalizzati'!Q23</f>
        <v>0</v>
      </c>
      <c r="H4" s="67">
        <f>+'Cons spec tot e finalizzati'!S23</f>
        <v>0</v>
      </c>
      <c r="I4" s="67">
        <f>+'Cons spec tot e finalizzati'!U23</f>
        <v>0</v>
      </c>
      <c r="J4" s="67">
        <f>+'Cons spec tot e finalizzati'!W23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110.23102310231023</v>
      </c>
      <c r="D6" s="237">
        <f t="shared" si="0"/>
        <v>103.96039603960396</v>
      </c>
      <c r="E6" s="237">
        <f t="shared" si="0"/>
        <v>119.14191419141915</v>
      </c>
      <c r="F6" s="237">
        <f t="shared" si="0"/>
        <v>111.88118811881189</v>
      </c>
      <c r="G6" s="237">
        <f t="shared" si="0"/>
        <v>87.45874587458746</v>
      </c>
      <c r="H6" s="237">
        <f t="shared" si="0"/>
        <v>82.50825082508251</v>
      </c>
      <c r="I6" s="237">
        <f t="shared" si="0"/>
        <v>118.48184818481849</v>
      </c>
      <c r="J6" s="237">
        <f t="shared" si="0"/>
        <v>124.75247524752476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131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'!F24</f>
        <v>468</v>
      </c>
      <c r="C3" s="65">
        <f>+'Cons spec netti '!G24</f>
        <v>159</v>
      </c>
      <c r="D3" s="65">
        <f>+'Cons spec netti '!H24</f>
        <v>258</v>
      </c>
      <c r="E3" s="65">
        <f>+'Cons spec netti '!I24</f>
        <v>150</v>
      </c>
      <c r="F3" s="65">
        <f>+'Cons spec netti '!J24</f>
        <v>127</v>
      </c>
      <c r="G3" s="65">
        <f>+'Cons spec netti '!K24</f>
        <v>73</v>
      </c>
      <c r="H3" s="65">
        <f>+'Cons spec netti '!L24</f>
        <v>71</v>
      </c>
      <c r="I3" s="65">
        <f>+'Cons spec netti '!M24</f>
        <v>124</v>
      </c>
      <c r="J3" s="65">
        <f>+'Cons spec netti '!N24</f>
        <v>63</v>
      </c>
    </row>
    <row r="4" spans="1:10" ht="15" customHeight="1">
      <c r="A4" s="80" t="s">
        <v>57</v>
      </c>
      <c r="B4" s="65">
        <f>+'Cons spec tot e finalizzati'!G24</f>
        <v>0</v>
      </c>
      <c r="C4" s="65">
        <f>+'Cons spec tot e finalizzati'!I24</f>
        <v>0</v>
      </c>
      <c r="D4" s="67">
        <f>+'Cons spec tot e finalizzati'!K24</f>
        <v>0</v>
      </c>
      <c r="E4" s="67">
        <f>+'Cons spec tot e finalizzati'!M24</f>
        <v>0</v>
      </c>
      <c r="F4" s="67">
        <f>+'Cons spec tot e finalizzati'!O24</f>
        <v>0</v>
      </c>
      <c r="G4" s="67">
        <f>+'Cons spec tot e finalizzati'!Q24</f>
        <v>0</v>
      </c>
      <c r="H4" s="67">
        <f>+'Cons spec tot e finalizzati'!S24</f>
        <v>0</v>
      </c>
      <c r="I4" s="67">
        <f>+'Cons spec tot e finalizzati'!U24</f>
        <v>0</v>
      </c>
      <c r="J4" s="67">
        <f>+'Cons spec tot e finalizzati'!W24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33.97435897435898</v>
      </c>
      <c r="D6" s="237">
        <f t="shared" si="0"/>
        <v>55.12820512820513</v>
      </c>
      <c r="E6" s="237">
        <f t="shared" si="0"/>
        <v>32.05128205128205</v>
      </c>
      <c r="F6" s="237">
        <f t="shared" si="0"/>
        <v>27.136752136752136</v>
      </c>
      <c r="G6" s="237">
        <f t="shared" si="0"/>
        <v>15.598290598290598</v>
      </c>
      <c r="H6" s="237">
        <f t="shared" si="0"/>
        <v>15.17094017094017</v>
      </c>
      <c r="I6" s="237">
        <f t="shared" si="0"/>
        <v>26.495726495726498</v>
      </c>
      <c r="J6" s="237">
        <f t="shared" si="0"/>
        <v>13.461538461538462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179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'!F25</f>
        <v>187</v>
      </c>
      <c r="C3" s="65">
        <f>+'Cons spec netti '!G25</f>
        <v>278</v>
      </c>
      <c r="D3" s="65">
        <f>+'Cons spec netti '!H25</f>
        <v>315</v>
      </c>
      <c r="E3" s="65">
        <f>+'Cons spec netti '!I25</f>
        <v>227</v>
      </c>
      <c r="F3" s="65">
        <f>+'Cons spec netti '!J25</f>
        <v>239</v>
      </c>
      <c r="G3" s="65">
        <f>+'Cons spec netti '!K25</f>
        <v>280</v>
      </c>
      <c r="H3" s="65">
        <f>+'Cons spec netti '!L25</f>
        <v>265</v>
      </c>
      <c r="I3" s="65">
        <f>+'Cons spec netti '!M25</f>
        <v>215</v>
      </c>
      <c r="J3" s="65">
        <f>+'Cons spec netti '!N25</f>
        <v>203</v>
      </c>
    </row>
    <row r="4" spans="1:10" ht="15" customHeight="1">
      <c r="A4" s="80" t="s">
        <v>57</v>
      </c>
      <c r="B4" s="65">
        <f>+'Cons spec tot e finalizzati'!G25</f>
        <v>0</v>
      </c>
      <c r="C4" s="65">
        <f>+'Cons spec tot e finalizzati'!I25</f>
        <v>0</v>
      </c>
      <c r="D4" s="67">
        <f>+'Cons spec tot e finalizzati'!K25</f>
        <v>0</v>
      </c>
      <c r="E4" s="67">
        <f>+'Cons spec tot e finalizzati'!M25</f>
        <v>0</v>
      </c>
      <c r="F4" s="67">
        <f>+'Cons spec tot e finalizzati'!O25</f>
        <v>0</v>
      </c>
      <c r="G4" s="67">
        <f>+'Cons spec tot e finalizzati'!Q25</f>
        <v>0</v>
      </c>
      <c r="H4" s="67">
        <f>+'Cons spec tot e finalizzati'!S25</f>
        <v>0</v>
      </c>
      <c r="I4" s="67">
        <f>+'Cons spec tot e finalizzati'!U25</f>
        <v>0</v>
      </c>
      <c r="J4" s="67">
        <f>+'Cons spec tot e finalizzati'!W25</f>
        <v>0</v>
      </c>
    </row>
    <row r="5" spans="2:3" ht="12.75">
      <c r="B5" s="65"/>
      <c r="C5" s="5"/>
    </row>
    <row r="6" spans="1:10" ht="12.75">
      <c r="A6" t="s">
        <v>58</v>
      </c>
      <c r="B6" s="236">
        <f>+B7</f>
        <v>100</v>
      </c>
      <c r="C6" s="237">
        <f aca="true" t="shared" si="0" ref="C6:J6">+C3/$B$3*100</f>
        <v>148.66310160427807</v>
      </c>
      <c r="D6" s="237">
        <f t="shared" si="0"/>
        <v>168.44919786096258</v>
      </c>
      <c r="E6" s="237">
        <f t="shared" si="0"/>
        <v>121.3903743315508</v>
      </c>
      <c r="F6" s="237">
        <f t="shared" si="0"/>
        <v>127.80748663101605</v>
      </c>
      <c r="G6" s="237">
        <f t="shared" si="0"/>
        <v>149.7326203208556</v>
      </c>
      <c r="H6" s="237">
        <f t="shared" si="0"/>
        <v>141.71122994652404</v>
      </c>
      <c r="I6" s="237">
        <f t="shared" si="0"/>
        <v>114.97326203208556</v>
      </c>
      <c r="J6" s="237">
        <f t="shared" si="0"/>
        <v>108.55614973262031</v>
      </c>
    </row>
    <row r="7" spans="1:10" ht="12.75">
      <c r="A7" t="s">
        <v>54</v>
      </c>
      <c r="B7" s="66">
        <v>100</v>
      </c>
      <c r="C7" s="66">
        <v>102.2</v>
      </c>
      <c r="D7" s="66">
        <v>104</v>
      </c>
      <c r="E7" s="66">
        <v>106.5</v>
      </c>
      <c r="F7">
        <v>109.3</v>
      </c>
      <c r="G7" s="66">
        <v>112</v>
      </c>
      <c r="H7">
        <v>114.2</v>
      </c>
      <c r="I7">
        <v>115.9</v>
      </c>
      <c r="J7">
        <v>117.6</v>
      </c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180</v>
      </c>
    </row>
    <row r="2" spans="2:10" ht="12.75">
      <c r="B2" s="238">
        <f>+'Cons spec netti '!F6</f>
        <v>1997</v>
      </c>
      <c r="C2" s="238">
        <f>+'Cons spec netti '!G6</f>
        <v>1998</v>
      </c>
      <c r="D2" s="238">
        <f>+'Cons spec netti '!H6</f>
        <v>1999</v>
      </c>
      <c r="E2" s="238">
        <f>+'Cons spec netti '!I6</f>
        <v>2000</v>
      </c>
      <c r="F2" s="238">
        <f>+'Cons spec netti '!J6</f>
        <v>2001</v>
      </c>
      <c r="G2" s="238">
        <f>+'Cons spec netti '!K6</f>
        <v>2002</v>
      </c>
      <c r="H2" s="238">
        <f>+'Cons spec netti '!L6</f>
        <v>2003</v>
      </c>
      <c r="I2" s="238">
        <f>+'Cons spec netti '!M6</f>
        <v>2004</v>
      </c>
      <c r="J2" s="238">
        <f>+'Cons spec netti '!N6</f>
        <v>2005</v>
      </c>
    </row>
    <row r="3" spans="1:10" ht="12.75">
      <c r="A3" s="80" t="s">
        <v>62</v>
      </c>
      <c r="B3" s="65">
        <f>+'Cons spec netti '!F26</f>
        <v>0</v>
      </c>
      <c r="C3" s="65">
        <f>+'Cons spec netti '!G26</f>
        <v>0</v>
      </c>
      <c r="D3" s="65">
        <f>+'Cons spec netti '!H26</f>
        <v>0</v>
      </c>
      <c r="E3" s="65">
        <f>+'Cons spec netti '!I26</f>
        <v>250</v>
      </c>
      <c r="F3" s="65">
        <f>+'Cons spec netti '!J26</f>
        <v>874</v>
      </c>
      <c r="G3" s="65">
        <f>+'Cons spec netti '!K26</f>
        <v>810</v>
      </c>
      <c r="H3" s="65">
        <f>+'Cons spec netti '!L26</f>
        <v>916</v>
      </c>
      <c r="I3" s="65">
        <f>+'Cons spec netti '!M26</f>
        <v>844</v>
      </c>
      <c r="J3" s="65">
        <f>+'Cons spec netti '!N26</f>
        <v>921</v>
      </c>
    </row>
    <row r="4" spans="1:10" ht="15" customHeight="1">
      <c r="A4" s="80" t="s">
        <v>57</v>
      </c>
      <c r="B4" s="65">
        <f>+'Cons spec tot e finalizzati'!G26</f>
        <v>0</v>
      </c>
      <c r="C4" s="65">
        <f>+'Cons spec tot e finalizzati'!I26</f>
        <v>0</v>
      </c>
      <c r="D4" s="67">
        <f>+'Cons spec tot e finalizzati'!K26</f>
        <v>0</v>
      </c>
      <c r="E4" s="67">
        <f>+'Cons spec tot e finalizzati'!M26</f>
        <v>0</v>
      </c>
      <c r="F4" s="67">
        <f>+'Cons spec tot e finalizzati'!O26</f>
        <v>0</v>
      </c>
      <c r="G4" s="67">
        <f>+'Cons spec tot e finalizzati'!Q26</f>
        <v>0</v>
      </c>
      <c r="H4" s="67">
        <f>+'Cons spec tot e finalizzati'!S26</f>
        <v>0</v>
      </c>
      <c r="I4" s="67">
        <f>+'Cons spec tot e finalizzati'!U26</f>
        <v>0</v>
      </c>
      <c r="J4" s="67">
        <f>+'Cons spec tot e finalizzati'!W26</f>
        <v>0</v>
      </c>
    </row>
    <row r="5" spans="2:3" ht="12.75">
      <c r="B5" s="65"/>
      <c r="C5" s="5"/>
    </row>
    <row r="6" spans="2:10" ht="12.75">
      <c r="B6" s="236"/>
      <c r="C6" s="237"/>
      <c r="D6" s="237"/>
      <c r="E6" s="237"/>
      <c r="F6" s="237"/>
      <c r="G6" s="237"/>
      <c r="H6" s="237"/>
      <c r="I6" s="237"/>
      <c r="J6" s="237"/>
    </row>
    <row r="7" spans="2:7" ht="12.75">
      <c r="B7" s="66"/>
      <c r="C7" s="66"/>
      <c r="D7" s="66"/>
      <c r="E7" s="66"/>
      <c r="G7" s="66"/>
    </row>
    <row r="8" spans="2:3" ht="12.75">
      <c r="B8" s="65"/>
      <c r="C8" s="5"/>
    </row>
    <row r="9" spans="2:3" ht="12.75">
      <c r="B9" s="65"/>
      <c r="C9" s="5"/>
    </row>
    <row r="10" spans="2:3" ht="12.75">
      <c r="B10" s="67"/>
      <c r="C10" s="67"/>
    </row>
    <row r="13" spans="2:3" ht="12.75">
      <c r="B13" s="66"/>
      <c r="C13" s="66"/>
    </row>
    <row r="14" spans="2:3" ht="12.75">
      <c r="B14" s="66"/>
      <c r="C14" s="66"/>
    </row>
    <row r="15" spans="2:3" ht="12.75">
      <c r="B15" s="66"/>
      <c r="C15" s="66"/>
    </row>
    <row r="16" spans="2:3" ht="12.75">
      <c r="B16" s="66"/>
      <c r="C16" s="66"/>
    </row>
    <row r="17" ht="12.75">
      <c r="B17" s="66"/>
    </row>
    <row r="18" spans="2:3" ht="12.75">
      <c r="B18" s="66"/>
      <c r="C18" s="66"/>
    </row>
    <row r="19" ht="12.75">
      <c r="B19" s="66"/>
    </row>
    <row r="20" ht="12.75">
      <c r="B20" s="66"/>
    </row>
    <row r="21" ht="12.75">
      <c r="B21" s="66"/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2005-06-10T08:22:51Z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