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worksheets/sheet23.xml" ContentType="application/vnd.openxmlformats-officedocument.spreadsheetml.worksheet+xml"/>
  <Override PartName="/xl/drawings/drawing21.xml" ContentType="application/vnd.openxmlformats-officedocument.drawing+xml"/>
  <Override PartName="/xl/worksheets/sheet24.xml" ContentType="application/vnd.openxmlformats-officedocument.spreadsheetml.worksheet+xml"/>
  <Override PartName="/xl/drawings/drawing22.xml" ContentType="application/vnd.openxmlformats-officedocument.drawing+xml"/>
  <Override PartName="/xl/worksheets/sheet25.xml" ContentType="application/vnd.openxmlformats-officedocument.spreadsheetml.worksheet+xml"/>
  <Override PartName="/xl/drawings/drawing23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drawings/drawing27.xml" ContentType="application/vnd.openxmlformats-officedocument.drawing+xml"/>
  <Override PartName="/xl/worksheets/sheet30.xml" ContentType="application/vnd.openxmlformats-officedocument.spreadsheetml.worksheet+xml"/>
  <Override PartName="/xl/drawings/drawing28.xml" ContentType="application/vnd.openxmlformats-officedocument.drawing+xml"/>
  <Override PartName="/xl/worksheets/sheet31.xml" ContentType="application/vnd.openxmlformats-officedocument.spreadsheetml.worksheet+xml"/>
  <Override PartName="/xl/drawings/drawing29.xml" ContentType="application/vnd.openxmlformats-officedocument.drawing+xml"/>
  <Override PartName="/xl/worksheets/sheet32.xml" ContentType="application/vnd.openxmlformats-officedocument.spreadsheetml.worksheet+xml"/>
  <Override PartName="/xl/drawings/drawing30.xml" ContentType="application/vnd.openxmlformats-officedocument.drawing+xml"/>
  <Override PartName="/xl/worksheets/sheet33.xml" ContentType="application/vnd.openxmlformats-officedocument.spreadsheetml.worksheet+xml"/>
  <Override PartName="/xl/drawings/drawing31.xml" ContentType="application/vnd.openxmlformats-officedocument.drawing+xml"/>
  <Override PartName="/xl/worksheets/sheet34.xml" ContentType="application/vnd.openxmlformats-officedocument.spreadsheetml.worksheet+xml"/>
  <Override PartName="/xl/drawings/drawing32.xml" ContentType="application/vnd.openxmlformats-officedocument.drawing+xml"/>
  <Override PartName="/xl/worksheets/sheet35.xml" ContentType="application/vnd.openxmlformats-officedocument.spreadsheetml.worksheet+xml"/>
  <Override PartName="/xl/drawings/drawing33.xml" ContentType="application/vnd.openxmlformats-officedocument.drawing+xml"/>
  <Override PartName="/xl/worksheets/sheet36.xml" ContentType="application/vnd.openxmlformats-officedocument.spreadsheetml.worksheet+xml"/>
  <Override PartName="/xl/drawings/drawing34.xml" ContentType="application/vnd.openxmlformats-officedocument.drawing+xml"/>
  <Override PartName="/xl/worksheets/sheet37.xml" ContentType="application/vnd.openxmlformats-officedocument.spreadsheetml.worksheet+xml"/>
  <Override PartName="/xl/drawings/drawing35.xml" ContentType="application/vnd.openxmlformats-officedocument.drawing+xml"/>
  <Override PartName="/xl/worksheets/sheet38.xml" ContentType="application/vnd.openxmlformats-officedocument.spreadsheetml.worksheet+xml"/>
  <Override PartName="/xl/drawings/drawing36.xml" ContentType="application/vnd.openxmlformats-officedocument.drawing+xml"/>
  <Override PartName="/xl/worksheets/sheet39.xml" ContentType="application/vnd.openxmlformats-officedocument.spreadsheetml.worksheet+xml"/>
  <Override PartName="/xl/drawings/drawing37.xml" ContentType="application/vnd.openxmlformats-officedocument.drawing+xml"/>
  <Override PartName="/xl/worksheets/sheet40.xml" ContentType="application/vnd.openxmlformats-officedocument.spreadsheetml.worksheet+xml"/>
  <Override PartName="/xl/drawings/drawing38.xml" ContentType="application/vnd.openxmlformats-officedocument.drawing+xml"/>
  <Override PartName="/xl/worksheets/sheet41.xml" ContentType="application/vnd.openxmlformats-officedocument.spreadsheetml.worksheet+xml"/>
  <Override PartName="/xl/drawings/drawing39.xml" ContentType="application/vnd.openxmlformats-officedocument.drawing+xml"/>
  <Override PartName="/xl/worksheets/sheet42.xml" ContentType="application/vnd.openxmlformats-officedocument.spreadsheetml.worksheet+xml"/>
  <Override PartName="/xl/drawings/drawing40.xml" ContentType="application/vnd.openxmlformats-officedocument.drawing+xml"/>
  <Override PartName="/xl/worksheets/sheet43.xml" ContentType="application/vnd.openxmlformats-officedocument.spreadsheetml.worksheet+xml"/>
  <Override PartName="/xl/drawings/drawing4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6165" windowHeight="5250" tabRatio="601" activeTab="0"/>
  </bookViews>
  <sheets>
    <sheet name="Cons spec tot e finalizzati" sheetId="1" r:id="rId1"/>
    <sheet name="Cons spec netti" sheetId="2" r:id="rId2"/>
    <sheet name="ISTRUZIONE" sheetId="3" r:id="rId3"/>
    <sheet name="SPORT E GIOVANI" sheetId="4" r:id="rId4"/>
    <sheet name="Lavori pubblici" sheetId="5" r:id="rId5"/>
    <sheet name="Ambiente e verde" sheetId="6" r:id="rId6"/>
    <sheet name="Interventi per casa" sheetId="7" r:id="rId7"/>
    <sheet name="PERSONALE" sheetId="8" r:id="rId8"/>
    <sheet name="P&amp;C" sheetId="9" r:id="rId9"/>
    <sheet name="SISTEMI INFO" sheetId="10" r:id="rId10"/>
    <sheet name="ECONOMIA" sheetId="11" r:id="rId11"/>
    <sheet name="CULTURA" sheetId="12" r:id="rId12"/>
    <sheet name="MOBILITA" sheetId="13" r:id="rId13"/>
    <sheet name="Programmi urbanistici" sheetId="14" r:id="rId14"/>
    <sheet name="PROGnuove ist museali" sheetId="15" r:id="rId15"/>
    <sheet name="PROGETTO PIAZZE" sheetId="16" r:id="rId16"/>
    <sheet name="SICUREZZA" sheetId="17" r:id="rId17"/>
    <sheet name="SALUTE" sheetId="18" r:id="rId18"/>
    <sheet name="SERVIZI SOCIALI" sheetId="19" r:id="rId19"/>
    <sheet name="GABINETTO" sheetId="20" r:id="rId20"/>
    <sheet name="SEGRETARIO" sheetId="21" r:id="rId21"/>
    <sheet name="SEGR.GEN" sheetId="22" r:id="rId22"/>
    <sheet name="STAFF AMM." sheetId="23" r:id="rId23"/>
    <sheet name="PM" sheetId="24" r:id="rId24"/>
    <sheet name="STAFF CONS" sheetId="25" r:id="rId25"/>
    <sheet name="PART. SOCIETARIE" sheetId="26" r:id="rId26"/>
    <sheet name="LEGALE" sheetId="27" r:id="rId27"/>
    <sheet name="RAGIONERIA" sheetId="28" r:id="rId28"/>
    <sheet name="ENTRATE" sheetId="29" r:id="rId29"/>
    <sheet name="AREA FINANZA" sheetId="30" r:id="rId30"/>
    <sheet name="PATRIMONIO" sheetId="31" r:id="rId31"/>
    <sheet name="Comunicazione" sheetId="32" r:id="rId32"/>
    <sheet name="QUARTIERI" sheetId="33" r:id="rId33"/>
    <sheet name="AFFARI IST" sheetId="34" r:id="rId34"/>
    <sheet name="ACQUISTI" sheetId="35" r:id="rId35"/>
    <sheet name="SPORTELLO IMPR" sheetId="36" r:id="rId36"/>
    <sheet name="DIREZIONE GEN" sheetId="37" r:id="rId37"/>
    <sheet name="AREA servizi persone" sheetId="38" r:id="rId38"/>
    <sheet name="AREA SAPERI ED EC" sheetId="39" r:id="rId39"/>
    <sheet name="AREA Urbanistica, amb, mob" sheetId="40" r:id="rId40"/>
    <sheet name="DEMOGRAFICI" sheetId="41" r:id="rId41"/>
    <sheet name="AREA COM. E RAP. CON CIT" sheetId="42" r:id="rId42"/>
    <sheet name="TOTALE" sheetId="43" r:id="rId43"/>
  </sheets>
  <externalReferences>
    <externalReference r:id="rId46"/>
  </externalReferences>
  <definedNames>
    <definedName name="_xlnm.Print_Area" localSheetId="34">'ACQUISTI'!$F$1:$S$22</definedName>
    <definedName name="_xlnm.Print_Area" localSheetId="33">'AFFARI IST'!$F$1:$S$22</definedName>
    <definedName name="_xlnm.Print_Area" localSheetId="5">'Ambiente e verde'!$E$1:$S$22</definedName>
    <definedName name="_xlnm.Print_Area" localSheetId="41">'AREA COM. E RAP. CON CIT'!$F$1:$U$24</definedName>
    <definedName name="_xlnm.Print_Area" localSheetId="29">'AREA FINANZA'!$F$1:$T$22</definedName>
    <definedName name="_xlnm.Print_Area" localSheetId="38">'AREA SAPERI ED EC'!$G$1:$T$23</definedName>
    <definedName name="_xlnm.Print_Area" localSheetId="37">'AREA servizi persone'!$F$1:$T$22</definedName>
    <definedName name="_xlnm.Print_Area" localSheetId="39">'AREA Urbanistica, amb, mob'!$F$1:$U$24</definedName>
    <definedName name="_xlnm.Print_Area" localSheetId="31">'Comunicazione'!$F$1:$S$22</definedName>
    <definedName name="_xlnm.Print_Area" localSheetId="1">'Cons spec netti'!$A$1:$M$240</definedName>
    <definedName name="_xlnm.Print_Area" localSheetId="0">'Cons spec tot e finalizzati'!$A$1:$U$244</definedName>
    <definedName name="_xlnm.Print_Area" localSheetId="11">'CULTURA'!$E$1:$S$21</definedName>
    <definedName name="_xlnm.Print_Area" localSheetId="40">'DEMOGRAFICI'!$A$20:$K$38</definedName>
    <definedName name="_xlnm.Print_Area" localSheetId="36">'DIREZIONE GEN'!$F$1:$T$23</definedName>
    <definedName name="_xlnm.Print_Area" localSheetId="10">'ECONOMIA'!$F$1:$U$23</definedName>
    <definedName name="_xlnm.Print_Area" localSheetId="28">'ENTRATE'!$F$1:$T$22</definedName>
    <definedName name="_xlnm.Print_Area" localSheetId="19">'GABINETTO'!$F$1:$T$22</definedName>
    <definedName name="_xlnm.Print_Area" localSheetId="6">'Interventi per casa'!$E$1:$S$22</definedName>
    <definedName name="_xlnm.Print_Area" localSheetId="2">'ISTRUZIONE'!$I$1:$W$18</definedName>
    <definedName name="_xlnm.Print_Area" localSheetId="4">'Lavori pubblici'!$D$2:$U$26</definedName>
    <definedName name="_xlnm.Print_Area" localSheetId="26">'LEGALE'!$F$3:$S$24</definedName>
    <definedName name="_xlnm.Print_Area" localSheetId="12">'MOBILITA'!$F$1:$U$23</definedName>
    <definedName name="_xlnm.Print_Area" localSheetId="8">'P&amp;C'!$F$1:$T$22</definedName>
    <definedName name="_xlnm.Print_Area" localSheetId="25">'PART. SOCIETARIE'!$F$1:$S$22</definedName>
    <definedName name="_xlnm.Print_Area" localSheetId="30">'PATRIMONIO'!$F$1:$S$22</definedName>
    <definedName name="_xlnm.Print_Area" localSheetId="7">'PERSONALE'!$E$1:$R$22</definedName>
    <definedName name="_xlnm.Print_Area" localSheetId="23">'PM'!$F$1:$S$23</definedName>
    <definedName name="_xlnm.Print_Area" localSheetId="15">'PROGETTO PIAZZE'!$H$1:$U$21</definedName>
    <definedName name="_xlnm.Print_Area" localSheetId="14">'PROGnuove ist museali'!$A$11:$H$30</definedName>
    <definedName name="_xlnm.Print_Area" localSheetId="13">'Programmi urbanistici'!$E$1:$T$22</definedName>
    <definedName name="_xlnm.Print_Area" localSheetId="32">'QUARTIERI'!$F$1:$T$22</definedName>
    <definedName name="_xlnm.Print_Area" localSheetId="27">'RAGIONERIA'!$F$1:$T$22</definedName>
    <definedName name="_xlnm.Print_Area" localSheetId="17">'SALUTE'!$G$1:$T$20</definedName>
    <definedName name="_xlnm.Print_Area" localSheetId="21">'SEGR.GEN'!$D$3:$K$23</definedName>
    <definedName name="_xlnm.Print_Area" localSheetId="20">'SEGRETARIO'!$D$3:$K$22</definedName>
    <definedName name="_xlnm.Print_Area" localSheetId="18">'SERVIZI SOCIALI'!$G$1:$T$20</definedName>
    <definedName name="_xlnm.Print_Area" localSheetId="16">'SICUREZZA'!$A$20:$K$38</definedName>
    <definedName name="_xlnm.Print_Area" localSheetId="9">'SISTEMI INFO'!$F$1:$S$20</definedName>
    <definedName name="_xlnm.Print_Area" localSheetId="3">'SPORT E GIOVANI'!$D$2:$R$22</definedName>
    <definedName name="_xlnm.Print_Area" localSheetId="35">'SPORTELLO IMPR'!$A$11:$E$31</definedName>
    <definedName name="_xlnm.Print_Area" localSheetId="22">'STAFF AMM.'!$D$3:$K$22</definedName>
    <definedName name="_xlnm.Print_Area" localSheetId="24">'STAFF CONS'!$F$1:$S$22</definedName>
    <definedName name="_xlnm.Print_Area" localSheetId="42">'TOTALE'!$F$1:$T$23</definedName>
    <definedName name="CRITERIO100">#REF!</definedName>
    <definedName name="CRITERIO101">#REF!</definedName>
    <definedName name="CRITERIO102">#REF!</definedName>
    <definedName name="CRITERIO103">#REF!</definedName>
    <definedName name="CRITERIO104">#REF!</definedName>
    <definedName name="CRITERIO105">#REF!</definedName>
    <definedName name="CRITERIO106">#REF!</definedName>
    <definedName name="CRITERIO107">#REF!</definedName>
    <definedName name="CRITERIO108">#REF!</definedName>
    <definedName name="CRITERIO109">#REF!</definedName>
    <definedName name="CRITERIO11">#REF!</definedName>
    <definedName name="CRITERIO116">#REF!</definedName>
    <definedName name="CRITERIO117">#REF!</definedName>
    <definedName name="CRITERIO118">#REF!</definedName>
    <definedName name="CRITERIO119">#REF!</definedName>
    <definedName name="CRITERIO120">#REF!</definedName>
    <definedName name="CRITERIO121">#REF!</definedName>
    <definedName name="CRITERIO123">#REF!</definedName>
    <definedName name="CRITERIO124">#REF!</definedName>
    <definedName name="CRITERIO125">#REF!</definedName>
    <definedName name="CRITERIO126">#REF!</definedName>
    <definedName name="CRITERIO127">#REF!</definedName>
    <definedName name="CRITERIO129">#REF!</definedName>
    <definedName name="CRITERIO130">#REF!</definedName>
    <definedName name="CRITERIO132">#REF!</definedName>
    <definedName name="CRITERIO133">#REF!</definedName>
    <definedName name="CRITERIO134">#REF!</definedName>
    <definedName name="CRITERIO135">#REF!</definedName>
    <definedName name="CRITERIO136">#REF!</definedName>
    <definedName name="CRITERIO137">#REF!</definedName>
    <definedName name="CRITERIO138">#REF!</definedName>
    <definedName name="CRITERIO139">#REF!</definedName>
    <definedName name="CRITERIO140">#REF!</definedName>
    <definedName name="CRITERIO141">#REF!</definedName>
    <definedName name="CRITERIO142">#REF!</definedName>
    <definedName name="CRITERIO143">#REF!</definedName>
    <definedName name="CRITERIO144">#REF!</definedName>
    <definedName name="CRITERIO145">#REF!</definedName>
    <definedName name="CRITERIO146">#REF!</definedName>
    <definedName name="CRITERIO156">#REF!</definedName>
    <definedName name="CRITERIO157">#REF!</definedName>
    <definedName name="CRITERIO158">#REF!</definedName>
    <definedName name="CRITERIO159">#REF!</definedName>
    <definedName name="CRITERIO160">#REF!</definedName>
    <definedName name="CRITERIO161">#REF!</definedName>
    <definedName name="CRITERIO162">#REF!</definedName>
    <definedName name="CRITERIO163">#REF!</definedName>
    <definedName name="CRITERIO164">#REF!</definedName>
    <definedName name="CRITERIO165">#REF!</definedName>
    <definedName name="CRITERIO166">#REF!</definedName>
    <definedName name="CRITERIO167">#REF!</definedName>
    <definedName name="CRITERIO168">#REF!</definedName>
    <definedName name="CRITERIO169">#REF!</definedName>
    <definedName name="CRITERIO170">#REF!</definedName>
    <definedName name="CRITERIO171">#REF!</definedName>
    <definedName name="CRITERIO172">#REF!</definedName>
    <definedName name="CRITERIO173">#REF!</definedName>
    <definedName name="CRITERIO174">#REF!</definedName>
    <definedName name="CRITERIO175">#REF!</definedName>
    <definedName name="CRITERIO176">#REF!</definedName>
    <definedName name="CRITERIO177">#REF!</definedName>
    <definedName name="CRITERIO178">#REF!</definedName>
    <definedName name="CRITERIO179">#REF!</definedName>
    <definedName name="CRITERIO180">#REF!</definedName>
    <definedName name="CRITERIO181">#REF!</definedName>
    <definedName name="CRITERIO182">#REF!</definedName>
    <definedName name="CRITERIO183">#REF!</definedName>
    <definedName name="CRITERIO184">#REF!</definedName>
    <definedName name="CRITERIO185">#REF!</definedName>
    <definedName name="CRITERIO186">#REF!</definedName>
    <definedName name="CRITERIO187">#REF!</definedName>
    <definedName name="CRITERIO188">#REF!</definedName>
    <definedName name="CRITERIO189">#REF!</definedName>
    <definedName name="CRITERIO190">#REF!</definedName>
    <definedName name="CRITERIO191">#REF!</definedName>
    <definedName name="CRITERIO192">#REF!</definedName>
    <definedName name="CRITERIO193">#REF!</definedName>
    <definedName name="CRITERIO194">#REF!</definedName>
    <definedName name="CRITERIO195">#REF!</definedName>
    <definedName name="CRITERIO196">#REF!</definedName>
    <definedName name="CRITERIO197">#REF!</definedName>
    <definedName name="CRITERIO198">#REF!</definedName>
    <definedName name="CRITERIO199">#REF!</definedName>
    <definedName name="CRITERIO2">#REF!</definedName>
    <definedName name="CRITERIO200">#REF!</definedName>
    <definedName name="CRITERIO201">#REF!</definedName>
    <definedName name="CRITERIO202">#REF!</definedName>
    <definedName name="CRITERIO203">#REF!</definedName>
    <definedName name="CRITERIO204">#REF!</definedName>
    <definedName name="CRITERIO205">#REF!</definedName>
    <definedName name="CRITERIO206">#REF!</definedName>
    <definedName name="CRITERIO207">#REF!</definedName>
    <definedName name="CRITERIO208">#REF!</definedName>
    <definedName name="CRITERIO209">#REF!</definedName>
    <definedName name="CRITERIO210">#REF!</definedName>
    <definedName name="CRITERIO211">#REF!</definedName>
    <definedName name="CRITERIO212">#REF!</definedName>
    <definedName name="CRITERIO213">#REF!</definedName>
    <definedName name="CRITERIO214">#REF!</definedName>
    <definedName name="CRITERIO215">#REF!</definedName>
    <definedName name="CRITERIO216">#REF!</definedName>
    <definedName name="CRITERIO217">#REF!</definedName>
    <definedName name="CRITERIO218">#REF!</definedName>
    <definedName name="CRITERIO219">#REF!</definedName>
    <definedName name="CRITERIO220">#REF!</definedName>
    <definedName name="CRITERIO221">#REF!</definedName>
    <definedName name="CRITERIO222">#REF!</definedName>
    <definedName name="CRITERIO223">#REF!</definedName>
    <definedName name="CRITERIO224">#REF!</definedName>
    <definedName name="CRITERIO225">#REF!</definedName>
    <definedName name="CRITERIO226">#REF!</definedName>
    <definedName name="CRITERIO227">#REF!</definedName>
    <definedName name="CRITERIO228">#REF!</definedName>
    <definedName name="CRITERIO229">#REF!</definedName>
    <definedName name="CRITERIO230">#REF!</definedName>
    <definedName name="CRITERIO231">#REF!</definedName>
    <definedName name="CRITERIO232">#REF!</definedName>
    <definedName name="CRITERIO233">#REF!</definedName>
    <definedName name="CRITERIO234">#REF!</definedName>
    <definedName name="CRITERIO235">#REF!</definedName>
    <definedName name="CRITERIO236">#REF!</definedName>
    <definedName name="CRITERIO237">#REF!</definedName>
    <definedName name="CRITERIO238">#REF!</definedName>
    <definedName name="CRITERIO239">#REF!</definedName>
    <definedName name="CRITERIO240">#REF!</definedName>
    <definedName name="CRITERIO241">#REF!</definedName>
    <definedName name="CRITERIO242">#REF!</definedName>
    <definedName name="CRITERIO243">#REF!</definedName>
    <definedName name="CRITERIO244">#REF!</definedName>
    <definedName name="CRITERIO245">#REF!</definedName>
    <definedName name="CRITERIO246">#REF!</definedName>
    <definedName name="CRITERIO251">#REF!</definedName>
    <definedName name="CRITERIO254">#REF!</definedName>
    <definedName name="CRITERIO259">#REF!</definedName>
    <definedName name="CRITERIO260">#REF!</definedName>
    <definedName name="CRITERIO28">#REF!</definedName>
    <definedName name="CRITERIO29">#REF!</definedName>
    <definedName name="CRITERIO30">#REF!</definedName>
    <definedName name="CRITERIO31">#REF!</definedName>
    <definedName name="CRITERIO32">#REF!</definedName>
    <definedName name="CRITERIO33">#REF!</definedName>
    <definedName name="CRITERIO34">#REF!</definedName>
    <definedName name="CRITERIO35">#REF!</definedName>
    <definedName name="CRITERIO36">#REF!</definedName>
    <definedName name="CRITERIO37">#REF!</definedName>
    <definedName name="CRITERIO38">#REF!</definedName>
    <definedName name="CRITERIO39">#REF!</definedName>
    <definedName name="CRITERIO4">#REF!</definedName>
    <definedName name="CRITERIO40">#REF!</definedName>
    <definedName name="CRITERIO41">#REF!</definedName>
    <definedName name="CRITERIO42">#REF!</definedName>
    <definedName name="CRITERIO43">#REF!</definedName>
    <definedName name="CRITERIO44">#REF!</definedName>
    <definedName name="CRITERIO45">#REF!</definedName>
    <definedName name="CRITERIO47">#REF!</definedName>
    <definedName name="CRITERIO48">#REF!</definedName>
    <definedName name="CRITERIO49">#REF!</definedName>
    <definedName name="CRITERIO5">#REF!</definedName>
    <definedName name="CRITERIO50">#REF!</definedName>
    <definedName name="CRITERIO51">#REF!</definedName>
    <definedName name="CRITERIO52">#REF!</definedName>
    <definedName name="CRITERIO53">#REF!</definedName>
    <definedName name="CRITERIO55">#REF!</definedName>
    <definedName name="CRITERIO56">#REF!</definedName>
    <definedName name="CRITERIO57">#REF!</definedName>
    <definedName name="CRITERIO58">#REF!</definedName>
    <definedName name="CRITERIO59">#REF!</definedName>
    <definedName name="CRITERIO6">#REF!</definedName>
    <definedName name="CRITERIO60">#REF!</definedName>
    <definedName name="CRITERIO61">#REF!</definedName>
    <definedName name="CRITERIO62">#REF!</definedName>
    <definedName name="CRITERIO63">#REF!</definedName>
    <definedName name="CRITERIO64">#REF!</definedName>
    <definedName name="CRITERIO65">#REF!</definedName>
    <definedName name="CRITERIO66">#REF!</definedName>
    <definedName name="CRITERIO67">#REF!</definedName>
    <definedName name="CRITERIO68">#REF!</definedName>
    <definedName name="CRITERIO69">#REF!</definedName>
    <definedName name="CRITERIO7">#REF!</definedName>
    <definedName name="CRITERIO70">#REF!</definedName>
    <definedName name="CRITERIO71">#REF!</definedName>
    <definedName name="CRITERIO72">#REF!</definedName>
    <definedName name="CRITERIO73">#REF!</definedName>
    <definedName name="CRITERIO74">#REF!</definedName>
    <definedName name="CRITERIO75">#REF!</definedName>
    <definedName name="CRITERIO76">#REF!</definedName>
    <definedName name="CRITERIO77">#REF!</definedName>
    <definedName name="CRITERIO78">#REF!</definedName>
    <definedName name="CRITERIO79">#REF!</definedName>
    <definedName name="CRITERIO8">#REF!</definedName>
    <definedName name="CRITERIO80">#REF!</definedName>
    <definedName name="CRITERIO81">#REF!</definedName>
    <definedName name="CRITERIO82">#REF!</definedName>
    <definedName name="CRITERIO83">#REF!</definedName>
    <definedName name="CRITERIO84">#REF!</definedName>
    <definedName name="CRITERIO85">#REF!</definedName>
    <definedName name="CRITERIO86">#REF!</definedName>
    <definedName name="CRITERIO87">#REF!</definedName>
    <definedName name="CRITERIO88">#REF!</definedName>
    <definedName name="CRITERIO89">#REF!</definedName>
    <definedName name="CRITERIO9">#REF!</definedName>
    <definedName name="CRITERIO90">#REF!</definedName>
    <definedName name="CRITERIO91">#REF!</definedName>
    <definedName name="CRITERIO92">#REF!</definedName>
    <definedName name="CRITERIO93">#REF!</definedName>
    <definedName name="CRITERIO94">#REF!</definedName>
    <definedName name="CRITERIO95">#REF!</definedName>
    <definedName name="CRITERIO96">#REF!</definedName>
    <definedName name="CRITERIO97">#REF!</definedName>
    <definedName name="CRITERIO98">#REF!</definedName>
    <definedName name="CRITERIO99">#REF!</definedName>
    <definedName name="dbase">'[1]file'!$A$1:$N$450</definedName>
    <definedName name="_xlnm.Print_Titles" localSheetId="1">'Cons spec netti'!$3:$5</definedName>
    <definedName name="_xlnm.Print_Titles" localSheetId="0">'Cons spec tot e finalizzati'!$6:$8</definedName>
  </definedNames>
  <calcPr fullCalcOnLoad="1"/>
</workbook>
</file>

<file path=xl/sharedStrings.xml><?xml version="1.0" encoding="utf-8"?>
<sst xmlns="http://schemas.openxmlformats.org/spreadsheetml/2006/main" count="704" uniqueCount="213">
  <si>
    <t>DIREZIONE GENERALE</t>
  </si>
  <si>
    <t>GABINETTO</t>
  </si>
  <si>
    <t>UFFICIO STAMPA</t>
  </si>
  <si>
    <t>CERIMONIALE</t>
  </si>
  <si>
    <t>STAFF CONSIGLIO</t>
  </si>
  <si>
    <t>PROTEZIONE CIVILE</t>
  </si>
  <si>
    <t>DIREZIONE, AMMINISTRAZIONE/ALTRO</t>
  </si>
  <si>
    <t>PROTOCOLLO ARCHIVIO</t>
  </si>
  <si>
    <t xml:space="preserve"> ACQUISTI</t>
  </si>
  <si>
    <t>DIREZIONE, AMMINISTRAZIONE, CDG/ALTRO</t>
  </si>
  <si>
    <t>GESTIONE ACQUISTI - FORNITORI</t>
  </si>
  <si>
    <t>DIREZIONE, AMMINISTRAZIONE, CDG, QUALITA'/ALTRO</t>
  </si>
  <si>
    <t>STUDI E INTERVENTI STORICO MONUMENTALI</t>
  </si>
  <si>
    <t>EDILIZIA PUBBLICA</t>
  </si>
  <si>
    <t>IMPIANTI TECNOLOGICI</t>
  </si>
  <si>
    <t>DIREZIONE, AMM.NE, CDG/ALTRO-MANUTENZIONE</t>
  </si>
  <si>
    <t>MANUTENZIONE STRADE</t>
  </si>
  <si>
    <t>MANUTENZIONE VERDE</t>
  </si>
  <si>
    <t>MANUTENZIONE EDILIZIA E SERVIZIO CALORE</t>
  </si>
  <si>
    <t>MANUTENZIONE ILLUMINAZIONE PUBBLICA</t>
  </si>
  <si>
    <t xml:space="preserve">MANUTENZIONE SEGNALETICA E SEMAFORI </t>
  </si>
  <si>
    <t>PERSONALE E ORGANIZZAZIONE</t>
  </si>
  <si>
    <t>PERSONALE E ORGANIZZAZIONE NON GESTITI</t>
  </si>
  <si>
    <t>PROGETTAZIONE E SVILUPPO</t>
  </si>
  <si>
    <t>BIBLIOTECA DELL'ARCHIGINNASIO</t>
  </si>
  <si>
    <t>MUSEO ARCHEOLOGICO</t>
  </si>
  <si>
    <t>MUSEI CIVICI DI ARTE ANTICA</t>
  </si>
  <si>
    <t>ISTITUZIONE CINETECA</t>
  </si>
  <si>
    <t xml:space="preserve">ISTITUZIONE GALLERIA D'ARTE MODERNA </t>
  </si>
  <si>
    <t>MUSEO DEL PATRIMONIO INDUSTRIALE</t>
  </si>
  <si>
    <t>ENTI CULTURALI NON GESTITI</t>
  </si>
  <si>
    <t>SPORT</t>
  </si>
  <si>
    <t>STUDI, PIANIFICAZIONE E PROGETTAZIONE</t>
  </si>
  <si>
    <t>DIREZIONE, AMMINISTRAZIONE E CDG/ALTRO</t>
  </si>
  <si>
    <t>SERVIZIO POLIZIA AMMINISTRATIVA</t>
  </si>
  <si>
    <t>SANITA' E IGIENE PUBBLICA</t>
  </si>
  <si>
    <t>DIREZIONE SERVIZI SOCIALI GESTIONE DIRETTA</t>
  </si>
  <si>
    <t>SERVIZI A MINORI E FAMIGLIE</t>
  </si>
  <si>
    <t>SERVIZI SOCIALI PER ADULTI</t>
  </si>
  <si>
    <t>SISTEMA INFORMATIVO TERRITORIALE</t>
  </si>
  <si>
    <t>STATO CIVILE</t>
  </si>
  <si>
    <t>ELETTORALE</t>
  </si>
  <si>
    <t>QUARTIERE BORGO PANIGALE</t>
  </si>
  <si>
    <t>DIREZIONE, AFFARI GENERALI E ISTITUZIONALI</t>
  </si>
  <si>
    <t>SERVIZI SOCIO-ASSISTENZIALI</t>
  </si>
  <si>
    <t>COORDINAMENTO SERVIZI SCOLASTICI</t>
  </si>
  <si>
    <t>SCUOLA DELL'INFANZIA</t>
  </si>
  <si>
    <t>QUARTIERE NAVILE</t>
  </si>
  <si>
    <t>QUARTIERE PORTO</t>
  </si>
  <si>
    <t>QUARTIERE RENO</t>
  </si>
  <si>
    <t>QUARTIERE S.DONATO</t>
  </si>
  <si>
    <t>QUARTIERE S.STEFANO</t>
  </si>
  <si>
    <t>QUARTIERE S.VITALE</t>
  </si>
  <si>
    <t>QUARTIERE SARAGOZZA</t>
  </si>
  <si>
    <t>QUARTIERE SAVENA</t>
  </si>
  <si>
    <t>GESTIONE ILLUMINAZIONE E SEMAFORI</t>
  </si>
  <si>
    <t>IN MIGLIAIA DI EURO</t>
  </si>
  <si>
    <t>POLITICHE GIOVANILI</t>
  </si>
  <si>
    <t>TOTALE</t>
  </si>
  <si>
    <t>+</t>
  </si>
  <si>
    <t>TOT</t>
  </si>
  <si>
    <t>RELAZIONI SINDACALI E ORGANIZZAZIONE</t>
  </si>
  <si>
    <t>TEATRI, SPETTACOLO E PROMOZ. GIOVANI ARTISTI E LL.FF.AA.</t>
  </si>
  <si>
    <t>Consumi specifici</t>
  </si>
  <si>
    <t>Indice cons spec</t>
  </si>
  <si>
    <t>Indice inflazione</t>
  </si>
  <si>
    <t>Personale</t>
  </si>
  <si>
    <t>Sistemi informativi</t>
  </si>
  <si>
    <t>Economia</t>
  </si>
  <si>
    <t>Cultura</t>
  </si>
  <si>
    <t xml:space="preserve">Salute </t>
  </si>
  <si>
    <t>Servizi sociali</t>
  </si>
  <si>
    <t>Gabinetto</t>
  </si>
  <si>
    <t>Segr gen</t>
  </si>
  <si>
    <t>CONTROLLO E SEGNALETICA</t>
  </si>
  <si>
    <t>CONS</t>
  </si>
  <si>
    <t>Consumi specifici finalizzati</t>
  </si>
  <si>
    <t>Indice consumi specifici netti</t>
  </si>
  <si>
    <t>Indice consumi specifii netti</t>
  </si>
  <si>
    <t>STATISTICA</t>
  </si>
  <si>
    <t>UNITA' GIURIDICO-AMINISTRATIVA</t>
  </si>
  <si>
    <t>EDILIZIA</t>
  </si>
  <si>
    <t>INTERVENTI PER LA CASA</t>
  </si>
  <si>
    <t>Consumi specifici netti</t>
  </si>
  <si>
    <t>AUTORIZZAZIONI, LICENZE E COORDINAMENTO INTERVENTI</t>
  </si>
  <si>
    <t>ATTIVITA' TURISTICHE</t>
  </si>
  <si>
    <t>Polizia municipale</t>
  </si>
  <si>
    <t>STAFF DEL DIRETTORE GENERALE</t>
  </si>
  <si>
    <t>SEGRETERIE DELL'ESECUTIVO</t>
  </si>
  <si>
    <t>COORDINAMENTO QUARTIERI</t>
  </si>
  <si>
    <t>FINANZA</t>
  </si>
  <si>
    <t xml:space="preserve">RAGIONERIA </t>
  </si>
  <si>
    <t>ENTRATE</t>
  </si>
  <si>
    <t>QUALITA'</t>
  </si>
  <si>
    <t>PROGRAMMAZIONE, CONTROLLI E STATISTICA</t>
  </si>
  <si>
    <t>TECNOLOGIE ED ESERCIZIO</t>
  </si>
  <si>
    <t>ISTRUZIONE</t>
  </si>
  <si>
    <t>SERVIZI ALL'INFANZIA</t>
  </si>
  <si>
    <t>FORMAZIONE PROFESSIONALE</t>
  </si>
  <si>
    <t>SPORT E GIOVANI</t>
  </si>
  <si>
    <t>AREA COMUNICAZIONE E RAPPORTO CON LA CITTADINANZA</t>
  </si>
  <si>
    <t>QUARTIERI</t>
  </si>
  <si>
    <t xml:space="preserve"> NETTI</t>
  </si>
  <si>
    <t xml:space="preserve">ISTRUZIONE </t>
  </si>
  <si>
    <t>PROGRAMMAZIONI, CONTROLLI - STATISTICA</t>
  </si>
  <si>
    <t xml:space="preserve">DIREZIONE, AMM.NE/ALTRO </t>
  </si>
  <si>
    <t xml:space="preserve">LEGALE </t>
  </si>
  <si>
    <t xml:space="preserve">SEGRETERIA GENERALE </t>
  </si>
  <si>
    <t xml:space="preserve">CONTROLLO ATTI SUPPORTO ORGANI </t>
  </si>
  <si>
    <t>SISTEMI INFORMATIVI E TELEMATICI</t>
  </si>
  <si>
    <t>INTERVENTI PER DISABILI DELEGATI ALL'A.U.S.L.</t>
  </si>
  <si>
    <t xml:space="preserve">LABORATORI E AULE DIDATTICHE CENTRALI </t>
  </si>
  <si>
    <t xml:space="preserve">DIRITTO ALLO STUDIO/HANDICAP/RETE SCOLASTICA </t>
  </si>
  <si>
    <t xml:space="preserve">COMITATO BOLOGNA 2000  </t>
  </si>
  <si>
    <t xml:space="preserve">SALA BORSA </t>
  </si>
  <si>
    <t xml:space="preserve">BIBLIOTECHE </t>
  </si>
  <si>
    <t xml:space="preserve">SISTEMA DEI MUSEI E ATTIVITA' ESPOSITIVE </t>
  </si>
  <si>
    <t>PROGETTI E RELAZIONI INTERNAZIONALI</t>
  </si>
  <si>
    <t xml:space="preserve">ISTITUTI ALDINI VALERIANI E SIRANI </t>
  </si>
  <si>
    <t xml:space="preserve">SCAMBI INTERNAZIONALI E ISTITUZIONI ESTIVE </t>
  </si>
  <si>
    <t>NOTA RELATIVE ALLE MODIFICHE ORGANIZZATIVE E CONSEGUENTE RIALLOCAZIONE DELLE RISORSE:</t>
  </si>
  <si>
    <t>(*) Il 2001 è al netto di contributi (€ 37.640 mgl) per trasporto pubblico locale da stato e regione trasferiti ad ATC</t>
  </si>
  <si>
    <t xml:space="preserve">INNOV. AMM.VA/REGOLAMENTI/CITTA' METROPOLITANA/CONTRATTI </t>
  </si>
  <si>
    <t>2001(*)</t>
  </si>
  <si>
    <t xml:space="preserve">SERVIZI SOCIALI ANZIANI E DISABILI </t>
  </si>
  <si>
    <t>ECONOMIA E LAVORO, PROGRAMMAZIONE E SVILUPPO EC.</t>
  </si>
  <si>
    <t>SVILUPPO E PROGRAMMAZIONE ATTIVITA' PRODUTTIVE E COMM.</t>
  </si>
  <si>
    <t>PROGRAMMAZIONE E CONTROLLI</t>
  </si>
  <si>
    <t>SPORT E INTERVENTI STRAORDINARI</t>
  </si>
  <si>
    <t xml:space="preserve">INFRASTRUTTURE </t>
  </si>
  <si>
    <t>STRADE E FOGNATURE</t>
  </si>
  <si>
    <t>SERVIZI SOCIALI PER ANZIANI</t>
  </si>
  <si>
    <t>SERVIZI SOCIALI PER DISABILI</t>
  </si>
  <si>
    <t xml:space="preserve">SERVIZI PER L'IMMIGRAZIONE </t>
  </si>
  <si>
    <t>ATTIVITA' CULTURALI E PALAZZO RE ENZO</t>
  </si>
  <si>
    <t>SOGGIORNI VACANZA</t>
  </si>
  <si>
    <t>SOGGIORNI STUDIO E PROMOZIONE SCAMBI SCOLASTICI</t>
  </si>
  <si>
    <t xml:space="preserve">GIOVANI </t>
  </si>
  <si>
    <t>FILM COMMISSION</t>
  </si>
  <si>
    <t>QUALITA' AMBIENTALE</t>
  </si>
  <si>
    <t>PROCESSI URBANISTICI</t>
  </si>
  <si>
    <t>COMUNICAZIONE E RAPPORTI CON I CITTADINI</t>
  </si>
  <si>
    <t xml:space="preserve">PARCHEGGI E GESTIONE PIANO SOSTA  </t>
  </si>
  <si>
    <t>SERVIZI TECNICI</t>
  </si>
  <si>
    <t>COORDINAMENTO SUOLO E SOTTOSUOLO</t>
  </si>
  <si>
    <t>PROGETTI SPECIALI</t>
  </si>
  <si>
    <t>TRASPORTI</t>
  </si>
  <si>
    <t>MANUTENZIONE STRADE E SEGNALETICA</t>
  </si>
  <si>
    <t>MANUTENZIONE IMPIANTI</t>
  </si>
  <si>
    <t>MANUTENZIONE EDILIZIA</t>
  </si>
  <si>
    <t>SERVIZI DI COMUNICAZIONE</t>
  </si>
  <si>
    <t>SERVIZI DI ANAGRAFE</t>
  </si>
  <si>
    <t>SPORTELLO IMPRESE</t>
  </si>
  <si>
    <t>RAPPORTI CON ISTITUZIONI, ASSOCIAZIONI E VOLONTARIATO</t>
  </si>
  <si>
    <t>RAPPORTI CON I CITTADINI, COMITATI E QUARTIERI</t>
  </si>
  <si>
    <t>SERVIZIO TECNICO</t>
  </si>
  <si>
    <t>ATTIVITA' SOCIALE DI PREVENZIONE</t>
  </si>
  <si>
    <t>COORDINAMENTO NUCLEO TERRITORIALE E CENTRO STORICO</t>
  </si>
  <si>
    <t xml:space="preserve">PROCEDURE AMMINISTRATIVE E POLIZIA GIUDIZIARIA </t>
  </si>
  <si>
    <t xml:space="preserve">MOBILITA' E SICUREZZA URBANA </t>
  </si>
  <si>
    <t>di cui fin.(*)</t>
  </si>
  <si>
    <t>* Per risorse "fin." si intendono le entrate derivanti da trasferimenti ed altro a cui corrisponde un'uscita vincolata.</t>
  </si>
  <si>
    <t>(**) Il 2001 è al netto di contributi (€ 37.640 mgl) per trasporto pubblico locale da stato e regione trasferiti ad ATC</t>
  </si>
  <si>
    <t>MOBILITA' URBANA (**)</t>
  </si>
  <si>
    <t>DIREZIONE, AMMINISTRAZIONE, CDG/ALTRO (**)</t>
  </si>
  <si>
    <t>PARTECIPAZIONI SOCIETARIE</t>
  </si>
  <si>
    <t>POLITICHE PER LA SICUREZZA</t>
  </si>
  <si>
    <t>SEGRETARIO GENERALE</t>
  </si>
  <si>
    <t>AFFARI ISTITUZIONALI E QUARTIERI</t>
  </si>
  <si>
    <t>STAFF AMMINISTRATIVO GARE E CONTRATTI</t>
  </si>
  <si>
    <t>AREA FINANZA</t>
  </si>
  <si>
    <t>PATRIMONIO</t>
  </si>
  <si>
    <t>LAVORI PUBBLICI</t>
  </si>
  <si>
    <t>POLIZIA MUNICIPALE E PROTEZIONE CIVILE</t>
  </si>
  <si>
    <t>SERVIZI SOCIALI</t>
  </si>
  <si>
    <t xml:space="preserve">SALUTE </t>
  </si>
  <si>
    <t>AREA SERVIZI PERSONE, FAMIGLIE, COMUNITA', POLITICHE DIFF.</t>
  </si>
  <si>
    <t>AREA SAPERI ED ECONOMIA</t>
  </si>
  <si>
    <t>DIREZIONE AREA SAPERI ED ECONOMIA</t>
  </si>
  <si>
    <t>MUSEO INTERNAZIONALE E BIBLIOTECA MUSICALE DI BOLOGNA</t>
  </si>
  <si>
    <t>ECONOMIA E ATTIVITA' TURISTICHE</t>
  </si>
  <si>
    <t>AREA URBANISTICA, AMBIENTE E MOBILITA'</t>
  </si>
  <si>
    <t>DIREZIONE AREA URBANISTICA, AMBIENTE E MOBILITA'</t>
  </si>
  <si>
    <t>PROGRAMMI URBANISTICI ED EDILIZI</t>
  </si>
  <si>
    <t>AMBIENTE E VERDE URBANO</t>
  </si>
  <si>
    <t>COMUNICAZIONE</t>
  </si>
  <si>
    <t>SERVIZI DEMOGRAFICI</t>
  </si>
  <si>
    <t>SPORTELLO PER LE IMPRESE</t>
  </si>
  <si>
    <t>DIRITTO ALLO STUDIO E ALTRE STRUTTURE EDUCATIVE</t>
  </si>
  <si>
    <t>CULTURA/GIOVANI/SPORT</t>
  </si>
  <si>
    <t xml:space="preserve">CONSUMI SPECIFICI: SERIE STORICA RICLASSIFICATA (1997- 2004) </t>
  </si>
  <si>
    <t xml:space="preserve">CONSUMI SPECIFICI: SERIE STORICA RICLASSIFICATA (1997-2004) </t>
  </si>
  <si>
    <t>Staff consiglio</t>
  </si>
  <si>
    <t>Segretario generale</t>
  </si>
  <si>
    <t>Staff Amministrativo</t>
  </si>
  <si>
    <t>RAGIONERIA</t>
  </si>
  <si>
    <t>PROGETTO PIAZZE</t>
  </si>
  <si>
    <t>Progetto nuove istituzioni museali</t>
  </si>
  <si>
    <t>PROGETTO NUOVE ISTITUZIONI MUSEALI</t>
  </si>
  <si>
    <t>CULTURA E RAPPORTI CON L'UNIVERSITA'</t>
  </si>
  <si>
    <t>Programmi urb</t>
  </si>
  <si>
    <t>Mobilità</t>
  </si>
  <si>
    <t>AMBIENTE</t>
  </si>
  <si>
    <t>demografici</t>
  </si>
  <si>
    <t>sicurezza</t>
  </si>
  <si>
    <t>DIREZIONE AREA SERVIZI ALLE PERSONE, FAMIGLIE, ETC…</t>
  </si>
  <si>
    <t xml:space="preserve">E' stata effettuata una riclassificazione delle risorse sulla struttura economica dei gruppi di centro di costo fatte salve alcuni eccezioni evidenziate in corsivo </t>
  </si>
  <si>
    <t>FORMAZIONE E CENTRO SERVIZI FORMATIVI</t>
  </si>
  <si>
    <t xml:space="preserve">NORMATIVA ED AMMINISTRAZIONE </t>
  </si>
  <si>
    <t>PROGETTO ATTUAZIONE PROGRAMMA PIAZZE</t>
  </si>
  <si>
    <t xml:space="preserve">ILLUMINAZIONE </t>
  </si>
  <si>
    <t>POLIZIA MORTUARIA/SERVIZI CIMITERIALI</t>
  </si>
  <si>
    <t>INTERVENTI E SERVIZI PER LA CASA</t>
  </si>
</sst>
</file>

<file path=xl/styles.xml><?xml version="1.0" encoding="utf-8"?>
<styleSheet xmlns="http://schemas.openxmlformats.org/spreadsheetml/2006/main">
  <numFmts count="2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_-* #,##0.0_-;\-* #,##0.0_-;_-* &quot;-&quot;_-;_-@_-"/>
    <numFmt numFmtId="179" formatCode="0.0"/>
    <numFmt numFmtId="180" formatCode="0.000"/>
    <numFmt numFmtId="181" formatCode="0_ ;\-0\ "/>
  </numFmts>
  <fonts count="36">
    <font>
      <sz val="10"/>
      <name val="Arial"/>
      <family val="0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12"/>
      <name val="Arial"/>
      <family val="0"/>
    </font>
    <font>
      <sz val="11.25"/>
      <name val="Arial"/>
      <family val="0"/>
    </font>
    <font>
      <b/>
      <sz val="17"/>
      <name val="Arial"/>
      <family val="0"/>
    </font>
    <font>
      <sz val="12"/>
      <name val="Arial"/>
      <family val="0"/>
    </font>
    <font>
      <sz val="10.5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8"/>
      <name val="Symbol"/>
      <family val="1"/>
    </font>
    <font>
      <i/>
      <sz val="8"/>
      <name val="Arial"/>
      <family val="2"/>
    </font>
    <font>
      <i/>
      <sz val="10"/>
      <name val="Arial"/>
      <family val="2"/>
    </font>
    <font>
      <sz val="10"/>
      <color indexed="39"/>
      <name val="Arial"/>
      <family val="2"/>
    </font>
    <font>
      <sz val="8"/>
      <color indexed="39"/>
      <name val="Arial"/>
      <family val="2"/>
    </font>
    <font>
      <b/>
      <sz val="9"/>
      <name val="Arial"/>
      <family val="2"/>
    </font>
    <font>
      <sz val="11.75"/>
      <name val="Arial"/>
      <family val="0"/>
    </font>
    <font>
      <b/>
      <sz val="14.25"/>
      <name val="Arial"/>
      <family val="0"/>
    </font>
    <font>
      <sz val="11.5"/>
      <name val="Arial"/>
      <family val="0"/>
    </font>
    <font>
      <sz val="11"/>
      <name val="Arial"/>
      <family val="0"/>
    </font>
    <font>
      <sz val="10.75"/>
      <name val="Arial"/>
      <family val="0"/>
    </font>
    <font>
      <sz val="10.25"/>
      <name val="Arial"/>
      <family val="0"/>
    </font>
    <font>
      <sz val="16"/>
      <name val="Symbol"/>
      <family val="1"/>
    </font>
    <font>
      <sz val="12"/>
      <name val="Symbol"/>
      <family val="1"/>
    </font>
    <font>
      <sz val="9.5"/>
      <name val="Arial"/>
      <family val="2"/>
    </font>
    <font>
      <b/>
      <sz val="10.75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8"/>
      <color indexed="10"/>
      <name val="Arial"/>
      <family val="2"/>
    </font>
    <font>
      <i/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5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0" fillId="0" borderId="0" xfId="0" applyFont="1" applyAlignment="1">
      <alignment horizontal="centerContinuous"/>
    </xf>
    <xf numFmtId="0" fontId="1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0" fillId="0" borderId="1" xfId="0" applyBorder="1" applyAlignment="1">
      <alignment/>
    </xf>
    <xf numFmtId="3" fontId="2" fillId="0" borderId="2" xfId="0" applyNumberFormat="1" applyFont="1" applyBorder="1" applyAlignment="1">
      <alignment horizontal="center"/>
    </xf>
    <xf numFmtId="0" fontId="10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4" xfId="0" applyFont="1" applyBorder="1" applyAlignment="1">
      <alignment/>
    </xf>
    <xf numFmtId="0" fontId="3" fillId="0" borderId="3" xfId="0" applyFont="1" applyBorder="1" applyAlignment="1" quotePrefix="1">
      <alignment/>
    </xf>
    <xf numFmtId="0" fontId="2" fillId="0" borderId="4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6" xfId="0" applyFont="1" applyBorder="1" applyAlignment="1">
      <alignment/>
    </xf>
    <xf numFmtId="0" fontId="0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10" fillId="0" borderId="7" xfId="0" applyFont="1" applyBorder="1" applyAlignment="1">
      <alignment/>
    </xf>
    <xf numFmtId="0" fontId="3" fillId="0" borderId="4" xfId="0" applyFont="1" applyBorder="1" applyAlignment="1">
      <alignment/>
    </xf>
    <xf numFmtId="3" fontId="4" fillId="0" borderId="4" xfId="0" applyNumberFormat="1" applyFont="1" applyFill="1" applyBorder="1" applyAlignment="1">
      <alignment horizontal="left"/>
    </xf>
    <xf numFmtId="3" fontId="4" fillId="0" borderId="4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3" fontId="3" fillId="0" borderId="8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0" fontId="0" fillId="0" borderId="8" xfId="0" applyBorder="1" applyAlignment="1">
      <alignment/>
    </xf>
    <xf numFmtId="0" fontId="10" fillId="2" borderId="1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10" fillId="2" borderId="2" xfId="0" applyFont="1" applyFill="1" applyBorder="1" applyAlignment="1">
      <alignment/>
    </xf>
    <xf numFmtId="3" fontId="3" fillId="2" borderId="11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10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3" fontId="3" fillId="2" borderId="12" xfId="0" applyNumberFormat="1" applyFont="1" applyFill="1" applyBorder="1" applyAlignment="1">
      <alignment/>
    </xf>
    <xf numFmtId="3" fontId="3" fillId="2" borderId="11" xfId="0" applyNumberFormat="1" applyFont="1" applyFill="1" applyBorder="1" applyAlignment="1">
      <alignment horizontal="right"/>
    </xf>
    <xf numFmtId="3" fontId="3" fillId="2" borderId="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8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8" fillId="3" borderId="1" xfId="0" applyFont="1" applyFill="1" applyBorder="1" applyAlignment="1">
      <alignment horizontal="centerContinuous"/>
    </xf>
    <xf numFmtId="0" fontId="18" fillId="3" borderId="7" xfId="0" applyFont="1" applyFill="1" applyBorder="1" applyAlignment="1">
      <alignment horizontal="centerContinuous"/>
    </xf>
    <xf numFmtId="0" fontId="3" fillId="3" borderId="11" xfId="0" applyFont="1" applyFill="1" applyBorder="1" applyAlignment="1">
      <alignment horizontal="centerContinuous"/>
    </xf>
    <xf numFmtId="3" fontId="2" fillId="0" borderId="4" xfId="0" applyNumberFormat="1" applyFont="1" applyFill="1" applyBorder="1" applyAlignment="1">
      <alignment/>
    </xf>
    <xf numFmtId="0" fontId="3" fillId="3" borderId="12" xfId="0" applyFont="1" applyFill="1" applyBorder="1" applyAlignment="1">
      <alignment horizontal="centerContinuous"/>
    </xf>
    <xf numFmtId="0" fontId="3" fillId="0" borderId="3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4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3" fillId="0" borderId="3" xfId="0" applyFont="1" applyFill="1" applyBorder="1" applyAlignment="1" quotePrefix="1">
      <alignment/>
    </xf>
    <xf numFmtId="41" fontId="0" fillId="0" borderId="0" xfId="18" applyAlignment="1">
      <alignment/>
    </xf>
    <xf numFmtId="0" fontId="0" fillId="0" borderId="0" xfId="0" applyFont="1" applyFill="1" applyAlignment="1">
      <alignment/>
    </xf>
    <xf numFmtId="3" fontId="3" fillId="0" borderId="13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0" fontId="0" fillId="0" borderId="2" xfId="0" applyFill="1" applyBorder="1" applyAlignment="1">
      <alignment/>
    </xf>
    <xf numFmtId="0" fontId="10" fillId="0" borderId="0" xfId="0" applyFont="1" applyFill="1" applyBorder="1" applyAlignment="1">
      <alignment/>
    </xf>
    <xf numFmtId="3" fontId="2" fillId="0" borderId="3" xfId="0" applyNumberFormat="1" applyFont="1" applyFill="1" applyBorder="1" applyAlignment="1">
      <alignment/>
    </xf>
    <xf numFmtId="3" fontId="2" fillId="0" borderId="4" xfId="0" applyNumberFormat="1" applyFont="1" applyFill="1" applyBorder="1" applyAlignment="1">
      <alignment horizontal="left"/>
    </xf>
    <xf numFmtId="0" fontId="14" fillId="0" borderId="4" xfId="0" applyFont="1" applyFill="1" applyBorder="1" applyAlignment="1">
      <alignment/>
    </xf>
    <xf numFmtId="0" fontId="15" fillId="0" borderId="0" xfId="0" applyFont="1" applyFill="1" applyAlignment="1">
      <alignment/>
    </xf>
    <xf numFmtId="3" fontId="2" fillId="0" borderId="7" xfId="0" applyNumberFormat="1" applyFont="1" applyFill="1" applyBorder="1" applyAlignment="1">
      <alignment/>
    </xf>
    <xf numFmtId="3" fontId="2" fillId="0" borderId="6" xfId="0" applyNumberFormat="1" applyFont="1" applyFill="1" applyBorder="1" applyAlignment="1">
      <alignment horizontal="left"/>
    </xf>
    <xf numFmtId="3" fontId="2" fillId="0" borderId="14" xfId="0" applyNumberFormat="1" applyFont="1" applyFill="1" applyBorder="1" applyAlignment="1">
      <alignment/>
    </xf>
    <xf numFmtId="3" fontId="3" fillId="0" borderId="7" xfId="0" applyNumberFormat="1" applyFont="1" applyFill="1" applyBorder="1" applyAlignment="1">
      <alignment/>
    </xf>
    <xf numFmtId="3" fontId="2" fillId="0" borderId="6" xfId="0" applyNumberFormat="1" applyFont="1" applyFill="1" applyBorder="1" applyAlignment="1">
      <alignment/>
    </xf>
    <xf numFmtId="0" fontId="10" fillId="0" borderId="5" xfId="0" applyFont="1" applyFill="1" applyBorder="1" applyAlignment="1">
      <alignment/>
    </xf>
    <xf numFmtId="0" fontId="10" fillId="0" borderId="6" xfId="0" applyFont="1" applyFill="1" applyBorder="1" applyAlignment="1">
      <alignment/>
    </xf>
    <xf numFmtId="3" fontId="1" fillId="0" borderId="4" xfId="0" applyNumberFormat="1" applyFont="1" applyFill="1" applyBorder="1" applyAlignment="1">
      <alignment horizontal="left"/>
    </xf>
    <xf numFmtId="3" fontId="2" fillId="0" borderId="4" xfId="0" applyNumberFormat="1" applyFont="1" applyFill="1" applyBorder="1" applyAlignment="1">
      <alignment horizontal="center"/>
    </xf>
    <xf numFmtId="0" fontId="0" fillId="0" borderId="3" xfId="0" applyFill="1" applyBorder="1" applyAlignment="1">
      <alignment/>
    </xf>
    <xf numFmtId="3" fontId="1" fillId="0" borderId="4" xfId="0" applyNumberFormat="1" applyFont="1" applyFill="1" applyBorder="1" applyAlignment="1">
      <alignment horizontal="center"/>
    </xf>
    <xf numFmtId="3" fontId="2" fillId="0" borderId="6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0" fillId="0" borderId="7" xfId="0" applyFill="1" applyBorder="1" applyAlignment="1">
      <alignment/>
    </xf>
    <xf numFmtId="3" fontId="3" fillId="0" borderId="1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3" xfId="0" applyFont="1" applyFill="1" applyBorder="1" applyAlignment="1">
      <alignment/>
    </xf>
    <xf numFmtId="3" fontId="17" fillId="0" borderId="4" xfId="0" applyNumberFormat="1" applyFont="1" applyFill="1" applyBorder="1" applyAlignment="1">
      <alignment horizontal="left"/>
    </xf>
    <xf numFmtId="3" fontId="3" fillId="0" borderId="3" xfId="0" applyNumberFormat="1" applyFont="1" applyFill="1" applyBorder="1" applyAlignment="1">
      <alignment/>
    </xf>
    <xf numFmtId="0" fontId="0" fillId="0" borderId="4" xfId="0" applyFill="1" applyBorder="1" applyAlignment="1">
      <alignment/>
    </xf>
    <xf numFmtId="0" fontId="10" fillId="0" borderId="0" xfId="0" applyFont="1" applyFill="1" applyAlignment="1">
      <alignment/>
    </xf>
    <xf numFmtId="3" fontId="2" fillId="0" borderId="2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3" fontId="3" fillId="0" borderId="3" xfId="0" applyNumberFormat="1" applyFont="1" applyFill="1" applyBorder="1" applyAlignment="1">
      <alignment/>
    </xf>
    <xf numFmtId="3" fontId="3" fillId="0" borderId="4" xfId="0" applyNumberFormat="1" applyFont="1" applyFill="1" applyBorder="1" applyAlignment="1">
      <alignment horizontal="left"/>
    </xf>
    <xf numFmtId="3" fontId="17" fillId="0" borderId="7" xfId="0" applyNumberFormat="1" applyFont="1" applyFill="1" applyBorder="1" applyAlignment="1">
      <alignment/>
    </xf>
    <xf numFmtId="3" fontId="17" fillId="0" borderId="6" xfId="0" applyNumberFormat="1" applyFont="1" applyFill="1" applyBorder="1" applyAlignment="1">
      <alignment horizontal="left"/>
    </xf>
    <xf numFmtId="3" fontId="2" fillId="0" borderId="3" xfId="0" applyNumberFormat="1" applyFont="1" applyFill="1" applyBorder="1" applyAlignment="1">
      <alignment/>
    </xf>
    <xf numFmtId="3" fontId="2" fillId="0" borderId="4" xfId="0" applyNumberFormat="1" applyFont="1" applyFill="1" applyBorder="1" applyAlignment="1">
      <alignment horizontal="left"/>
    </xf>
    <xf numFmtId="3" fontId="2" fillId="0" borderId="4" xfId="0" applyNumberFormat="1" applyFont="1" applyFill="1" applyBorder="1" applyAlignment="1">
      <alignment horizontal="center"/>
    </xf>
    <xf numFmtId="0" fontId="0" fillId="0" borderId="5" xfId="0" applyFill="1" applyBorder="1" applyAlignment="1">
      <alignment/>
    </xf>
    <xf numFmtId="3" fontId="2" fillId="0" borderId="7" xfId="0" applyNumberFormat="1" applyFont="1" applyFill="1" applyBorder="1" applyAlignment="1">
      <alignment/>
    </xf>
    <xf numFmtId="3" fontId="2" fillId="0" borderId="6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/>
    </xf>
    <xf numFmtId="3" fontId="3" fillId="0" borderId="8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0" xfId="0" applyFont="1" applyAlignment="1">
      <alignment/>
    </xf>
    <xf numFmtId="3" fontId="3" fillId="0" borderId="8" xfId="0" applyNumberFormat="1" applyFont="1" applyBorder="1" applyAlignment="1">
      <alignment horizontal="left"/>
    </xf>
    <xf numFmtId="41" fontId="0" fillId="0" borderId="0" xfId="18" applyAlignment="1">
      <alignment/>
    </xf>
    <xf numFmtId="179" fontId="0" fillId="0" borderId="0" xfId="0" applyNumberFormat="1" applyAlignment="1">
      <alignment/>
    </xf>
    <xf numFmtId="178" fontId="0" fillId="0" borderId="0" xfId="0" applyNumberFormat="1" applyAlignment="1">
      <alignment/>
    </xf>
    <xf numFmtId="41" fontId="0" fillId="0" borderId="0" xfId="0" applyNumberFormat="1" applyAlignment="1">
      <alignment/>
    </xf>
    <xf numFmtId="0" fontId="0" fillId="0" borderId="3" xfId="0" applyFont="1" applyBorder="1" applyAlignment="1">
      <alignment/>
    </xf>
    <xf numFmtId="0" fontId="3" fillId="0" borderId="7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" xfId="0" applyFont="1" applyBorder="1" applyAlignment="1">
      <alignment/>
    </xf>
    <xf numFmtId="3" fontId="3" fillId="0" borderId="11" xfId="0" applyNumberFormat="1" applyFont="1" applyBorder="1" applyAlignment="1">
      <alignment horizontal="left"/>
    </xf>
    <xf numFmtId="0" fontId="18" fillId="3" borderId="11" xfId="0" applyFont="1" applyFill="1" applyBorder="1" applyAlignment="1">
      <alignment horizontal="centerContinuous"/>
    </xf>
    <xf numFmtId="0" fontId="18" fillId="3" borderId="9" xfId="0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41" fontId="2" fillId="0" borderId="8" xfId="18" applyFont="1" applyFill="1" applyBorder="1" applyAlignment="1">
      <alignment horizontal="right"/>
    </xf>
    <xf numFmtId="41" fontId="2" fillId="0" borderId="4" xfId="18" applyFont="1" applyFill="1" applyBorder="1" applyAlignment="1">
      <alignment horizontal="right"/>
    </xf>
    <xf numFmtId="41" fontId="2" fillId="0" borderId="4" xfId="18" applyFont="1" applyFill="1" applyBorder="1" applyAlignment="1">
      <alignment/>
    </xf>
    <xf numFmtId="0" fontId="0" fillId="0" borderId="10" xfId="0" applyBorder="1" applyAlignment="1">
      <alignment/>
    </xf>
    <xf numFmtId="0" fontId="12" fillId="0" borderId="0" xfId="0" applyFont="1" applyAlignment="1">
      <alignment/>
    </xf>
    <xf numFmtId="3" fontId="3" fillId="0" borderId="8" xfId="0" applyNumberFormat="1" applyFont="1" applyBorder="1" applyAlignment="1">
      <alignment/>
    </xf>
    <xf numFmtId="0" fontId="0" fillId="0" borderId="0" xfId="0" applyAlignment="1">
      <alignment wrapText="1"/>
    </xf>
    <xf numFmtId="0" fontId="11" fillId="0" borderId="0" xfId="0" applyFont="1" applyAlignment="1">
      <alignment vertical="center"/>
    </xf>
    <xf numFmtId="41" fontId="2" fillId="0" borderId="8" xfId="18" applyFont="1" applyFill="1" applyBorder="1" applyAlignment="1">
      <alignment/>
    </xf>
    <xf numFmtId="41" fontId="2" fillId="0" borderId="4" xfId="18" applyFont="1" applyBorder="1" applyAlignment="1">
      <alignment/>
    </xf>
    <xf numFmtId="41" fontId="2" fillId="0" borderId="6" xfId="18" applyFont="1" applyFill="1" applyBorder="1" applyAlignment="1">
      <alignment/>
    </xf>
    <xf numFmtId="41" fontId="2" fillId="0" borderId="8" xfId="18" applyFont="1" applyBorder="1" applyAlignment="1">
      <alignment/>
    </xf>
    <xf numFmtId="0" fontId="10" fillId="2" borderId="3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10" fillId="2" borderId="4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0" fillId="4" borderId="0" xfId="0" applyFill="1" applyAlignment="1">
      <alignment/>
    </xf>
    <xf numFmtId="0" fontId="10" fillId="0" borderId="5" xfId="0" applyFont="1" applyFill="1" applyBorder="1" applyAlignment="1">
      <alignment/>
    </xf>
    <xf numFmtId="3" fontId="10" fillId="4" borderId="8" xfId="0" applyNumberFormat="1" applyFont="1" applyFill="1" applyBorder="1" applyAlignment="1">
      <alignment/>
    </xf>
    <xf numFmtId="0" fontId="10" fillId="4" borderId="3" xfId="0" applyFont="1" applyFill="1" applyBorder="1" applyAlignment="1">
      <alignment/>
    </xf>
    <xf numFmtId="0" fontId="14" fillId="0" borderId="5" xfId="0" applyFont="1" applyFill="1" applyBorder="1" applyAlignment="1">
      <alignment/>
    </xf>
    <xf numFmtId="0" fontId="14" fillId="0" borderId="6" xfId="0" applyFont="1" applyFill="1" applyBorder="1" applyAlignment="1">
      <alignment/>
    </xf>
    <xf numFmtId="0" fontId="15" fillId="0" borderId="5" xfId="0" applyFont="1" applyFill="1" applyBorder="1" applyAlignment="1">
      <alignment/>
    </xf>
    <xf numFmtId="41" fontId="14" fillId="0" borderId="9" xfId="18" applyFont="1" applyFill="1" applyBorder="1" applyAlignment="1">
      <alignment/>
    </xf>
    <xf numFmtId="3" fontId="3" fillId="0" borderId="8" xfId="0" applyNumberFormat="1" applyFont="1" applyFill="1" applyBorder="1" applyAlignment="1">
      <alignment horizontal="right"/>
    </xf>
    <xf numFmtId="3" fontId="5" fillId="5" borderId="12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14" fillId="0" borderId="3" xfId="0" applyFont="1" applyFill="1" applyBorder="1" applyAlignment="1">
      <alignment/>
    </xf>
    <xf numFmtId="0" fontId="15" fillId="0" borderId="0" xfId="0" applyFont="1" applyBorder="1" applyAlignment="1">
      <alignment/>
    </xf>
    <xf numFmtId="181" fontId="0" fillId="0" borderId="0" xfId="18" applyNumberFormat="1" applyAlignment="1">
      <alignment/>
    </xf>
    <xf numFmtId="0" fontId="3" fillId="0" borderId="7" xfId="0" applyFont="1" applyFill="1" applyBorder="1" applyAlignment="1">
      <alignment/>
    </xf>
    <xf numFmtId="41" fontId="0" fillId="0" borderId="0" xfId="18" applyFill="1" applyAlignment="1">
      <alignment/>
    </xf>
    <xf numFmtId="41" fontId="2" fillId="0" borderId="0" xfId="18" applyFont="1" applyAlignment="1">
      <alignment/>
    </xf>
    <xf numFmtId="41" fontId="13" fillId="0" borderId="0" xfId="18" applyFont="1" applyBorder="1" applyAlignment="1">
      <alignment horizontal="centerContinuous"/>
    </xf>
    <xf numFmtId="41" fontId="3" fillId="3" borderId="12" xfId="18" applyFont="1" applyFill="1" applyBorder="1" applyAlignment="1">
      <alignment horizontal="centerContinuous"/>
    </xf>
    <xf numFmtId="41" fontId="3" fillId="2" borderId="11" xfId="18" applyFont="1" applyFill="1" applyBorder="1" applyAlignment="1">
      <alignment/>
    </xf>
    <xf numFmtId="41" fontId="14" fillId="0" borderId="8" xfId="18" applyFont="1" applyFill="1" applyBorder="1" applyAlignment="1">
      <alignment/>
    </xf>
    <xf numFmtId="41" fontId="2" fillId="0" borderId="9" xfId="18" applyFont="1" applyBorder="1" applyAlignment="1">
      <alignment/>
    </xf>
    <xf numFmtId="41" fontId="3" fillId="2" borderId="12" xfId="18" applyFont="1" applyFill="1" applyBorder="1" applyAlignment="1">
      <alignment/>
    </xf>
    <xf numFmtId="41" fontId="3" fillId="2" borderId="8" xfId="18" applyFont="1" applyFill="1" applyBorder="1" applyAlignment="1">
      <alignment/>
    </xf>
    <xf numFmtId="41" fontId="2" fillId="0" borderId="8" xfId="18" applyFont="1" applyBorder="1" applyAlignment="1">
      <alignment horizontal="right"/>
    </xf>
    <xf numFmtId="41" fontId="3" fillId="2" borderId="11" xfId="18" applyFont="1" applyFill="1" applyBorder="1" applyAlignment="1">
      <alignment horizontal="right"/>
    </xf>
    <xf numFmtId="41" fontId="2" fillId="0" borderId="9" xfId="18" applyFont="1" applyBorder="1" applyAlignment="1">
      <alignment horizontal="right"/>
    </xf>
    <xf numFmtId="41" fontId="2" fillId="0" borderId="9" xfId="18" applyFont="1" applyFill="1" applyBorder="1" applyAlignment="1">
      <alignment horizontal="right"/>
    </xf>
    <xf numFmtId="41" fontId="10" fillId="4" borderId="8" xfId="18" applyFont="1" applyFill="1" applyBorder="1" applyAlignment="1">
      <alignment/>
    </xf>
    <xf numFmtId="41" fontId="3" fillId="0" borderId="8" xfId="18" applyFont="1" applyFill="1" applyBorder="1" applyAlignment="1">
      <alignment/>
    </xf>
    <xf numFmtId="41" fontId="2" fillId="0" borderId="3" xfId="18" applyFont="1" applyFill="1" applyBorder="1" applyAlignment="1">
      <alignment/>
    </xf>
    <xf numFmtId="41" fontId="3" fillId="0" borderId="9" xfId="18" applyFont="1" applyFill="1" applyBorder="1" applyAlignment="1">
      <alignment horizontal="right"/>
    </xf>
    <xf numFmtId="41" fontId="3" fillId="0" borderId="8" xfId="18" applyFont="1" applyBorder="1" applyAlignment="1">
      <alignment/>
    </xf>
    <xf numFmtId="41" fontId="2" fillId="0" borderId="9" xfId="18" applyFont="1" applyFill="1" applyBorder="1" applyAlignment="1">
      <alignment/>
    </xf>
    <xf numFmtId="41" fontId="3" fillId="0" borderId="8" xfId="18" applyFont="1" applyFill="1" applyBorder="1" applyAlignment="1">
      <alignment horizontal="right"/>
    </xf>
    <xf numFmtId="41" fontId="2" fillId="0" borderId="9" xfId="18" applyFont="1" applyBorder="1" applyAlignment="1">
      <alignment/>
    </xf>
    <xf numFmtId="41" fontId="3" fillId="0" borderId="8" xfId="18" applyFont="1" applyBorder="1" applyAlignment="1">
      <alignment horizontal="right"/>
    </xf>
    <xf numFmtId="41" fontId="3" fillId="0" borderId="9" xfId="18" applyFont="1" applyBorder="1" applyAlignment="1">
      <alignment/>
    </xf>
    <xf numFmtId="41" fontId="3" fillId="0" borderId="8" xfId="18" applyFont="1" applyBorder="1" applyAlignment="1">
      <alignment horizontal="left"/>
    </xf>
    <xf numFmtId="41" fontId="2" fillId="0" borderId="8" xfId="18" applyFont="1" applyBorder="1" applyAlignment="1">
      <alignment/>
    </xf>
    <xf numFmtId="41" fontId="3" fillId="0" borderId="11" xfId="18" applyFont="1" applyBorder="1" applyAlignment="1">
      <alignment horizontal="left"/>
    </xf>
    <xf numFmtId="41" fontId="5" fillId="5" borderId="9" xfId="18" applyFont="1" applyFill="1" applyBorder="1" applyAlignment="1">
      <alignment/>
    </xf>
    <xf numFmtId="41" fontId="2" fillId="0" borderId="0" xfId="18" applyFont="1" applyAlignment="1">
      <alignment/>
    </xf>
    <xf numFmtId="41" fontId="2" fillId="0" borderId="6" xfId="18" applyFont="1" applyBorder="1" applyAlignment="1">
      <alignment/>
    </xf>
    <xf numFmtId="41" fontId="3" fillId="2" borderId="14" xfId="18" applyFont="1" applyFill="1" applyBorder="1" applyAlignment="1">
      <alignment/>
    </xf>
    <xf numFmtId="41" fontId="3" fillId="2" borderId="12" xfId="18" applyFont="1" applyFill="1" applyBorder="1" applyAlignment="1">
      <alignment/>
    </xf>
    <xf numFmtId="41" fontId="2" fillId="0" borderId="4" xfId="18" applyFont="1" applyBorder="1" applyAlignment="1">
      <alignment horizontal="right"/>
    </xf>
    <xf numFmtId="41" fontId="3" fillId="0" borderId="6" xfId="18" applyFont="1" applyFill="1" applyBorder="1" applyAlignment="1">
      <alignment/>
    </xf>
    <xf numFmtId="41" fontId="3" fillId="0" borderId="4" xfId="18" applyFont="1" applyBorder="1" applyAlignment="1">
      <alignment/>
    </xf>
    <xf numFmtId="41" fontId="2" fillId="0" borderId="0" xfId="18" applyFont="1" applyFill="1" applyAlignment="1">
      <alignment/>
    </xf>
    <xf numFmtId="41" fontId="8" fillId="0" borderId="0" xfId="18" applyFont="1" applyFill="1" applyAlignment="1">
      <alignment/>
    </xf>
    <xf numFmtId="41" fontId="26" fillId="0" borderId="0" xfId="18" applyFont="1" applyFill="1" applyBorder="1" applyAlignment="1">
      <alignment horizontal="left"/>
    </xf>
    <xf numFmtId="41" fontId="25" fillId="0" borderId="0" xfId="18" applyFont="1" applyBorder="1" applyAlignment="1">
      <alignment horizontal="centerContinuous"/>
    </xf>
    <xf numFmtId="41" fontId="2" fillId="0" borderId="0" xfId="18" applyFont="1" applyBorder="1" applyAlignment="1">
      <alignment/>
    </xf>
    <xf numFmtId="41" fontId="18" fillId="3" borderId="7" xfId="18" applyFont="1" applyFill="1" applyBorder="1" applyAlignment="1">
      <alignment horizontal="centerContinuous"/>
    </xf>
    <xf numFmtId="41" fontId="18" fillId="3" borderId="6" xfId="18" applyFont="1" applyFill="1" applyBorder="1" applyAlignment="1">
      <alignment horizontal="centerContinuous"/>
    </xf>
    <xf numFmtId="41" fontId="14" fillId="0" borderId="8" xfId="18" applyFont="1" applyFill="1" applyBorder="1" applyAlignment="1">
      <alignment horizontal="right"/>
    </xf>
    <xf numFmtId="41" fontId="14" fillId="0" borderId="4" xfId="18" applyFont="1" applyFill="1" applyBorder="1" applyAlignment="1">
      <alignment horizontal="right"/>
    </xf>
    <xf numFmtId="41" fontId="0" fillId="0" borderId="0" xfId="18" applyFill="1" applyBorder="1" applyAlignment="1">
      <alignment/>
    </xf>
    <xf numFmtId="41" fontId="2" fillId="0" borderId="6" xfId="18" applyFont="1" applyBorder="1" applyAlignment="1">
      <alignment horizontal="right"/>
    </xf>
    <xf numFmtId="41" fontId="3" fillId="2" borderId="14" xfId="18" applyFont="1" applyFill="1" applyBorder="1" applyAlignment="1">
      <alignment/>
    </xf>
    <xf numFmtId="41" fontId="14" fillId="0" borderId="4" xfId="18" applyFont="1" applyFill="1" applyBorder="1" applyAlignment="1">
      <alignment/>
    </xf>
    <xf numFmtId="41" fontId="14" fillId="0" borderId="8" xfId="18" applyFont="1" applyBorder="1" applyAlignment="1">
      <alignment/>
    </xf>
    <xf numFmtId="41" fontId="2" fillId="0" borderId="6" xfId="18" applyFont="1" applyFill="1" applyBorder="1" applyAlignment="1">
      <alignment horizontal="right"/>
    </xf>
    <xf numFmtId="41" fontId="2" fillId="0" borderId="0" xfId="18" applyFont="1" applyFill="1" applyBorder="1" applyAlignment="1">
      <alignment/>
    </xf>
    <xf numFmtId="41" fontId="2" fillId="0" borderId="0" xfId="18" applyFont="1" applyFill="1" applyBorder="1" applyAlignment="1">
      <alignment horizontal="right"/>
    </xf>
    <xf numFmtId="41" fontId="3" fillId="0" borderId="6" xfId="18" applyFont="1" applyFill="1" applyBorder="1" applyAlignment="1">
      <alignment horizontal="right"/>
    </xf>
    <xf numFmtId="41" fontId="3" fillId="0" borderId="0" xfId="18" applyFont="1" applyFill="1" applyAlignment="1">
      <alignment/>
    </xf>
    <xf numFmtId="41" fontId="14" fillId="0" borderId="9" xfId="18" applyFont="1" applyFill="1" applyBorder="1" applyAlignment="1">
      <alignment horizontal="right"/>
    </xf>
    <xf numFmtId="41" fontId="14" fillId="0" borderId="6" xfId="18" applyFont="1" applyFill="1" applyBorder="1" applyAlignment="1">
      <alignment horizontal="right"/>
    </xf>
    <xf numFmtId="41" fontId="14" fillId="0" borderId="9" xfId="18" applyFont="1" applyBorder="1" applyAlignment="1">
      <alignment/>
    </xf>
    <xf numFmtId="41" fontId="15" fillId="0" borderId="0" xfId="18" applyFont="1" applyFill="1" applyAlignment="1">
      <alignment/>
    </xf>
    <xf numFmtId="41" fontId="3" fillId="0" borderId="4" xfId="18" applyFont="1" applyBorder="1" applyAlignment="1">
      <alignment/>
    </xf>
    <xf numFmtId="41" fontId="3" fillId="0" borderId="8" xfId="18" applyFont="1" applyBorder="1" applyAlignment="1">
      <alignment/>
    </xf>
    <xf numFmtId="41" fontId="0" fillId="4" borderId="0" xfId="18" applyFill="1" applyAlignment="1">
      <alignment/>
    </xf>
    <xf numFmtId="41" fontId="3" fillId="0" borderId="4" xfId="18" applyFont="1" applyFill="1" applyBorder="1" applyAlignment="1">
      <alignment/>
    </xf>
    <xf numFmtId="41" fontId="3" fillId="0" borderId="0" xfId="18" applyFont="1" applyFill="1" applyBorder="1" applyAlignment="1">
      <alignment/>
    </xf>
    <xf numFmtId="41" fontId="2" fillId="0" borderId="0" xfId="18" applyFont="1" applyBorder="1" applyAlignment="1">
      <alignment horizontal="right"/>
    </xf>
    <xf numFmtId="41" fontId="14" fillId="0" borderId="0" xfId="18" applyFont="1" applyFill="1" applyBorder="1" applyAlignment="1">
      <alignment horizontal="right"/>
    </xf>
    <xf numFmtId="41" fontId="2" fillId="0" borderId="8" xfId="18" applyFont="1" applyFill="1" applyBorder="1" applyAlignment="1">
      <alignment/>
    </xf>
    <xf numFmtId="41" fontId="2" fillId="0" borderId="0" xfId="18" applyFont="1" applyFill="1" applyBorder="1" applyAlignment="1">
      <alignment/>
    </xf>
    <xf numFmtId="41" fontId="2" fillId="0" borderId="5" xfId="18" applyFont="1" applyBorder="1" applyAlignment="1">
      <alignment/>
    </xf>
    <xf numFmtId="41" fontId="3" fillId="0" borderId="4" xfId="18" applyFont="1" applyBorder="1" applyAlignment="1">
      <alignment horizontal="right"/>
    </xf>
    <xf numFmtId="41" fontId="3" fillId="0" borderId="4" xfId="18" applyFont="1" applyBorder="1" applyAlignment="1">
      <alignment horizontal="right"/>
    </xf>
    <xf numFmtId="41" fontId="2" fillId="0" borderId="8" xfId="18" applyFont="1" applyBorder="1" applyAlignment="1">
      <alignment horizontal="left"/>
    </xf>
    <xf numFmtId="41" fontId="2" fillId="0" borderId="4" xfId="18" applyFont="1" applyBorder="1" applyAlignment="1">
      <alignment/>
    </xf>
    <xf numFmtId="0" fontId="18" fillId="3" borderId="1" xfId="18" applyNumberFormat="1" applyFont="1" applyFill="1" applyBorder="1" applyAlignment="1">
      <alignment horizontal="centerContinuous"/>
    </xf>
    <xf numFmtId="0" fontId="18" fillId="3" borderId="2" xfId="18" applyNumberFormat="1" applyFont="1" applyFill="1" applyBorder="1" applyAlignment="1">
      <alignment horizontal="centerContinuous"/>
    </xf>
    <xf numFmtId="0" fontId="3" fillId="3" borderId="2" xfId="18" applyNumberFormat="1" applyFont="1" applyFill="1" applyBorder="1" applyAlignment="1">
      <alignment horizontal="centerContinuous"/>
    </xf>
    <xf numFmtId="0" fontId="30" fillId="0" borderId="3" xfId="0" applyFont="1" applyFill="1" applyBorder="1" applyAlignment="1">
      <alignment/>
    </xf>
    <xf numFmtId="0" fontId="30" fillId="0" borderId="7" xfId="0" applyFont="1" applyFill="1" applyBorder="1" applyAlignment="1">
      <alignment/>
    </xf>
    <xf numFmtId="0" fontId="31" fillId="0" borderId="0" xfId="0" applyFont="1" applyBorder="1" applyAlignment="1">
      <alignment/>
    </xf>
    <xf numFmtId="0" fontId="14" fillId="0" borderId="0" xfId="0" applyFont="1" applyBorder="1" applyAlignment="1">
      <alignment/>
    </xf>
    <xf numFmtId="41" fontId="14" fillId="0" borderId="4" xfId="18" applyFont="1" applyBorder="1" applyAlignment="1">
      <alignment/>
    </xf>
    <xf numFmtId="41" fontId="32" fillId="0" borderId="4" xfId="18" applyFont="1" applyBorder="1" applyAlignment="1">
      <alignment/>
    </xf>
    <xf numFmtId="3" fontId="14" fillId="0" borderId="8" xfId="0" applyNumberFormat="1" applyFont="1" applyBorder="1" applyAlignment="1">
      <alignment/>
    </xf>
    <xf numFmtId="3" fontId="15" fillId="0" borderId="0" xfId="0" applyNumberFormat="1" applyFont="1" applyFill="1" applyAlignment="1">
      <alignment/>
    </xf>
    <xf numFmtId="0" fontId="15" fillId="0" borderId="3" xfId="0" applyFont="1" applyFill="1" applyBorder="1" applyAlignment="1">
      <alignment/>
    </xf>
    <xf numFmtId="3" fontId="33" fillId="0" borderId="4" xfId="0" applyNumberFormat="1" applyFont="1" applyFill="1" applyBorder="1" applyAlignment="1">
      <alignment horizontal="left"/>
    </xf>
    <xf numFmtId="3" fontId="14" fillId="0" borderId="3" xfId="0" applyNumberFormat="1" applyFont="1" applyFill="1" applyBorder="1" applyAlignment="1">
      <alignment/>
    </xf>
    <xf numFmtId="3" fontId="14" fillId="0" borderId="4" xfId="0" applyNumberFormat="1" applyFont="1" applyFill="1" applyBorder="1" applyAlignment="1">
      <alignment/>
    </xf>
    <xf numFmtId="3" fontId="14" fillId="0" borderId="9" xfId="0" applyNumberFormat="1" applyFont="1" applyBorder="1" applyAlignment="1">
      <alignment/>
    </xf>
    <xf numFmtId="3" fontId="14" fillId="0" borderId="4" xfId="0" applyNumberFormat="1" applyFont="1" applyFill="1" applyBorder="1" applyAlignment="1">
      <alignment horizontal="left"/>
    </xf>
    <xf numFmtId="0" fontId="34" fillId="0" borderId="0" xfId="15" applyFill="1" applyBorder="1" applyAlignment="1">
      <alignment/>
    </xf>
    <xf numFmtId="0" fontId="34" fillId="0" borderId="4" xfId="15" applyFill="1" applyBorder="1" applyAlignment="1">
      <alignment/>
    </xf>
    <xf numFmtId="0" fontId="34" fillId="0" borderId="0" xfId="15" applyAlignment="1">
      <alignment/>
    </xf>
    <xf numFmtId="0" fontId="34" fillId="2" borderId="1" xfId="15" applyFill="1" applyBorder="1" applyAlignment="1">
      <alignment/>
    </xf>
    <xf numFmtId="0" fontId="34" fillId="2" borderId="10" xfId="15" applyFill="1" applyBorder="1" applyAlignment="1">
      <alignment/>
    </xf>
    <xf numFmtId="0" fontId="34" fillId="2" borderId="2" xfId="15" applyFill="1" applyBorder="1" applyAlignment="1">
      <alignment/>
    </xf>
    <xf numFmtId="0" fontId="34" fillId="0" borderId="0" xfId="15" applyFill="1" applyBorder="1" applyAlignment="1">
      <alignment/>
    </xf>
    <xf numFmtId="0" fontId="34" fillId="0" borderId="0" xfId="15" applyBorder="1" applyAlignment="1">
      <alignment/>
    </xf>
    <xf numFmtId="0" fontId="34" fillId="0" borderId="4" xfId="15" applyBorder="1" applyAlignment="1">
      <alignment/>
    </xf>
    <xf numFmtId="0" fontId="34" fillId="0" borderId="5" xfId="15" applyFill="1" applyBorder="1" applyAlignment="1">
      <alignment/>
    </xf>
    <xf numFmtId="0" fontId="34" fillId="0" borderId="6" xfId="15" applyFill="1" applyBorder="1" applyAlignment="1">
      <alignment/>
    </xf>
    <xf numFmtId="0" fontId="34" fillId="2" borderId="3" xfId="15" applyFill="1" applyBorder="1" applyAlignment="1">
      <alignment/>
    </xf>
    <xf numFmtId="0" fontId="34" fillId="2" borderId="0" xfId="15" applyFill="1" applyBorder="1" applyAlignment="1">
      <alignment/>
    </xf>
    <xf numFmtId="0" fontId="34" fillId="2" borderId="4" xfId="15" applyFill="1" applyBorder="1" applyAlignment="1">
      <alignment/>
    </xf>
    <xf numFmtId="0" fontId="34" fillId="4" borderId="10" xfId="15" applyFill="1" applyBorder="1" applyAlignment="1">
      <alignment/>
    </xf>
    <xf numFmtId="0" fontId="34" fillId="4" borderId="2" xfId="15" applyFill="1" applyBorder="1" applyAlignment="1">
      <alignment/>
    </xf>
    <xf numFmtId="0" fontId="34" fillId="4" borderId="0" xfId="15" applyFill="1" applyBorder="1" applyAlignment="1">
      <alignment/>
    </xf>
    <xf numFmtId="0" fontId="34" fillId="4" borderId="4" xfId="15" applyFill="1" applyBorder="1" applyAlignment="1">
      <alignment/>
    </xf>
    <xf numFmtId="0" fontId="34" fillId="4" borderId="3" xfId="15" applyFill="1" applyBorder="1" applyAlignment="1">
      <alignment/>
    </xf>
    <xf numFmtId="0" fontId="34" fillId="0" borderId="13" xfId="15" applyBorder="1" applyAlignment="1">
      <alignment/>
    </xf>
    <xf numFmtId="0" fontId="34" fillId="0" borderId="15" xfId="15" applyBorder="1" applyAlignment="1">
      <alignment/>
    </xf>
    <xf numFmtId="0" fontId="34" fillId="0" borderId="14" xfId="15" applyBorder="1" applyAlignment="1">
      <alignment/>
    </xf>
    <xf numFmtId="0" fontId="34" fillId="2" borderId="1" xfId="15" applyFont="1" applyFill="1" applyBorder="1" applyAlignment="1">
      <alignment/>
    </xf>
    <xf numFmtId="0" fontId="34" fillId="0" borderId="0" xfId="15" applyFont="1" applyBorder="1" applyAlignment="1">
      <alignment/>
    </xf>
    <xf numFmtId="0" fontId="0" fillId="0" borderId="6" xfId="0" applyFill="1" applyBorder="1" applyAlignment="1">
      <alignment/>
    </xf>
    <xf numFmtId="0" fontId="34" fillId="0" borderId="0" xfId="15" applyFont="1" applyFill="1" applyBorder="1" applyAlignment="1">
      <alignment/>
    </xf>
    <xf numFmtId="0" fontId="34" fillId="0" borderId="0" xfId="15" applyFont="1" applyFill="1" applyBorder="1" applyAlignment="1">
      <alignment/>
    </xf>
    <xf numFmtId="3" fontId="17" fillId="0" borderId="3" xfId="0" applyNumberFormat="1" applyFont="1" applyFill="1" applyBorder="1" applyAlignment="1">
      <alignment/>
    </xf>
    <xf numFmtId="41" fontId="0" fillId="0" borderId="0" xfId="0" applyNumberFormat="1" applyFill="1" applyAlignment="1">
      <alignment/>
    </xf>
    <xf numFmtId="0" fontId="34" fillId="2" borderId="15" xfId="15" applyFill="1" applyBorder="1" applyAlignment="1">
      <alignment/>
    </xf>
    <xf numFmtId="0" fontId="34" fillId="2" borderId="14" xfId="15" applyFill="1" applyBorder="1" applyAlignment="1">
      <alignment/>
    </xf>
    <xf numFmtId="0" fontId="0" fillId="2" borderId="15" xfId="0" applyFill="1" applyBorder="1" applyAlignment="1">
      <alignment/>
    </xf>
    <xf numFmtId="0" fontId="0" fillId="0" borderId="5" xfId="0" applyBorder="1" applyAlignment="1">
      <alignment/>
    </xf>
    <xf numFmtId="0" fontId="34" fillId="0" borderId="5" xfId="15" applyBorder="1" applyAlignment="1">
      <alignment/>
    </xf>
    <xf numFmtId="0" fontId="0" fillId="0" borderId="0" xfId="0" applyAlignment="1">
      <alignment horizontal="right"/>
    </xf>
    <xf numFmtId="0" fontId="34" fillId="4" borderId="1" xfId="15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41" fontId="3" fillId="0" borderId="4" xfId="18" applyFont="1" applyFill="1" applyBorder="1" applyAlignment="1">
      <alignment horizontal="right"/>
    </xf>
    <xf numFmtId="41" fontId="10" fillId="0" borderId="0" xfId="18" applyFont="1" applyFill="1" applyAlignment="1">
      <alignment/>
    </xf>
    <xf numFmtId="0" fontId="0" fillId="0" borderId="4" xfId="0" applyBorder="1" applyAlignment="1">
      <alignment/>
    </xf>
    <xf numFmtId="0" fontId="15" fillId="0" borderId="4" xfId="0" applyFont="1" applyFill="1" applyBorder="1" applyAlignment="1">
      <alignment/>
    </xf>
    <xf numFmtId="41" fontId="15" fillId="0" borderId="0" xfId="0" applyNumberFormat="1" applyFont="1" applyFill="1" applyAlignment="1">
      <alignment/>
    </xf>
    <xf numFmtId="3" fontId="30" fillId="0" borderId="3" xfId="0" applyNumberFormat="1" applyFont="1" applyFill="1" applyBorder="1" applyAlignment="1">
      <alignment/>
    </xf>
    <xf numFmtId="41" fontId="14" fillId="0" borderId="9" xfId="18" applyFont="1" applyBorder="1" applyAlignment="1">
      <alignment horizontal="right"/>
    </xf>
    <xf numFmtId="41" fontId="14" fillId="0" borderId="6" xfId="18" applyFont="1" applyBorder="1" applyAlignment="1">
      <alignment horizontal="right"/>
    </xf>
    <xf numFmtId="3" fontId="14" fillId="0" borderId="4" xfId="0" applyNumberFormat="1" applyFont="1" applyFill="1" applyBorder="1" applyAlignment="1">
      <alignment horizontal="center"/>
    </xf>
    <xf numFmtId="0" fontId="34" fillId="2" borderId="13" xfId="15" applyFont="1" applyFill="1" applyBorder="1" applyAlignment="1">
      <alignment/>
    </xf>
    <xf numFmtId="41" fontId="18" fillId="3" borderId="7" xfId="18" applyFont="1" applyFill="1" applyBorder="1" applyAlignment="1">
      <alignment horizontal="center"/>
    </xf>
    <xf numFmtId="41" fontId="0" fillId="0" borderId="6" xfId="18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externalLink" Target="externalLinks/externalLink1.xml" /><Relationship Id="rId4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Istruzione
</a:t>
            </a:r>
          </a:p>
        </c:rich>
      </c:tx>
      <c:layout>
        <c:manualLayout>
          <c:xMode val="factor"/>
          <c:yMode val="factor"/>
          <c:x val="-0.009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6225"/>
          <c:w val="0.961"/>
          <c:h val="0.811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ISTRUZIONE!$B$2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ISTRUZIONE!$A$3:$A$10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ISTRUZIONE!$B$3:$B$10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0"/>
          <c:order val="1"/>
          <c:tx>
            <c:strRef>
              <c:f>ISTRUZIONE!$C$2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ISTRUZIONE!$A$3:$A$10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ISTRUZIONE!$C$3:$C$10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axId val="13805142"/>
        <c:axId val="57137415"/>
      </c:barChart>
      <c:catAx>
        <c:axId val="13805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137415"/>
        <c:crosses val="autoZero"/>
        <c:auto val="0"/>
        <c:lblOffset val="100"/>
        <c:noMultiLvlLbl val="0"/>
      </c:catAx>
      <c:valAx>
        <c:axId val="571374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805142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08825"/>
          <c:y val="0.89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-0.03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555"/>
          <c:w val="0.95175"/>
          <c:h val="0.72725"/>
        </c:manualLayout>
      </c:layout>
      <c:lineChart>
        <c:grouping val="standard"/>
        <c:varyColors val="0"/>
        <c:ser>
          <c:idx val="0"/>
          <c:order val="0"/>
          <c:tx>
            <c:strRef>
              <c:f>'Interventi per casa'!$B$11</c:f>
              <c:strCache>
                <c:ptCount val="1"/>
                <c:pt idx="0">
                  <c:v>Indice cons spec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'Interventi per casa'!$A$12:$A$19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'Interventi per casa'!$B$12:$B$19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'Interventi per casa'!$C$11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'Interventi per casa'!$A$12:$A$19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'Interventi per casa'!$C$12:$C$19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46696720"/>
        <c:axId val="17617297"/>
      </c:lineChart>
      <c:catAx>
        <c:axId val="46696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617297"/>
        <c:crossesAt val="60"/>
        <c:auto val="1"/>
        <c:lblOffset val="100"/>
        <c:noMultiLvlLbl val="0"/>
      </c:catAx>
      <c:valAx>
        <c:axId val="17617297"/>
        <c:scaling>
          <c:orientation val="minMax"/>
          <c:max val="2500"/>
          <c:min val="6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696720"/>
        <c:crossesAt val="1"/>
        <c:crossBetween val="between"/>
        <c:dispUnits/>
        <c:maj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Personale ed organizzazione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1555"/>
          <c:w val="0.95075"/>
          <c:h val="0.815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PERSONALE!$B$2</c:f>
              <c:strCache>
                <c:ptCount val="1"/>
                <c:pt idx="0">
                  <c:v>Consumi specifici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PERSONALE!$A$3:$A$10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PERSONALE!$B$3:$B$10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0"/>
          <c:order val="1"/>
          <c:tx>
            <c:strRef>
              <c:f>PERSONALE!$C$2</c:f>
              <c:strCache>
                <c:ptCount val="1"/>
                <c:pt idx="0">
                  <c:v>Consumi specifici finalizzati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PERSONALE!$A$3:$A$10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PERSONALE!$C$3:$C$10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axId val="24337946"/>
        <c:axId val="17714923"/>
      </c:barChart>
      <c:catAx>
        <c:axId val="24337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714923"/>
        <c:crosses val="autoZero"/>
        <c:auto val="0"/>
        <c:lblOffset val="100"/>
        <c:noMultiLvlLbl val="0"/>
      </c:catAx>
      <c:valAx>
        <c:axId val="17714923"/>
        <c:scaling>
          <c:orientation val="minMax"/>
          <c:max val="14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243379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PERSONALE!$B$11</c:f>
              <c:strCache>
                <c:ptCount val="1"/>
                <c:pt idx="0">
                  <c:v>Indice consumi specifii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PERSONALE!$A$12:$A$19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PERSONALE!$B$12:$B$19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PERSONALE!$C$11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PERSONALE!$A$12:$A$19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PERSONALE!$C$12:$C$19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25216580"/>
        <c:axId val="25622629"/>
      </c:lineChart>
      <c:catAx>
        <c:axId val="252165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622629"/>
        <c:crossesAt val="100"/>
        <c:auto val="1"/>
        <c:lblOffset val="100"/>
        <c:noMultiLvlLbl val="0"/>
      </c:catAx>
      <c:valAx>
        <c:axId val="25622629"/>
        <c:scaling>
          <c:orientation val="minMax"/>
          <c:max val="16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21658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Programmazione, Controlli e Statistica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'P&amp;C'!$B$2</c:f>
              <c:strCache>
                <c:ptCount val="1"/>
                <c:pt idx="0">
                  <c:v>Consumi specifici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'P&amp;C'!$A$3:$A$10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'P&amp;C'!$B$3:$B$10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0"/>
          <c:order val="1"/>
          <c:tx>
            <c:strRef>
              <c:f>'P&amp;C'!$C$2</c:f>
              <c:strCache>
                <c:ptCount val="1"/>
                <c:pt idx="0">
                  <c:v>Consumi specifici finalizzati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'P&amp;C'!$A$3:$A$10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'P&amp;C'!$C$3:$C$10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9277070"/>
        <c:axId val="62167039"/>
      </c:barChart>
      <c:catAx>
        <c:axId val="292770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2167039"/>
        <c:crosses val="autoZero"/>
        <c:auto val="0"/>
        <c:lblOffset val="100"/>
        <c:noMultiLvlLbl val="0"/>
      </c:catAx>
      <c:valAx>
        <c:axId val="62167039"/>
        <c:scaling>
          <c:orientation val="minMax"/>
          <c:max val="120"/>
        </c:scaling>
        <c:axPos val="l"/>
        <c:delete val="0"/>
        <c:numFmt formatCode="General" sourceLinked="1"/>
        <c:majorTickMark val="in"/>
        <c:minorTickMark val="none"/>
        <c:tickLblPos val="nextTo"/>
        <c:crossAx val="292770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'P&amp;C'!$B$11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'P&amp;C'!$A$12:$A$19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'P&amp;C'!$B$12:$B$19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'P&amp;C'!$C$11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'P&amp;C'!$A$12:$A$19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'P&amp;C'!$C$12:$C$19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22632440"/>
        <c:axId val="2365369"/>
      </c:lineChart>
      <c:catAx>
        <c:axId val="22632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65369"/>
        <c:crossesAt val="60"/>
        <c:auto val="1"/>
        <c:lblOffset val="100"/>
        <c:noMultiLvlLbl val="0"/>
      </c:catAx>
      <c:valAx>
        <c:axId val="2365369"/>
        <c:scaling>
          <c:orientation val="minMax"/>
          <c:max val="170"/>
          <c:min val="6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632440"/>
        <c:crossesAt val="1"/>
        <c:crossBetween val="between"/>
        <c:dispUnits/>
        <c:majorUnit val="1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Sistemi informativi e telematici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45"/>
          <c:w val="0.97075"/>
          <c:h val="0.66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'SISTEMI INFO'!$B$2</c:f>
              <c:strCache>
                <c:ptCount val="1"/>
                <c:pt idx="0">
                  <c:v>Consumi specifici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'SISTEMI INFO'!$A$3:$A$10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'SISTEMI INFO'!$B$3:$B$10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0"/>
          <c:order val="1"/>
          <c:tx>
            <c:strRef>
              <c:f>'SISTEMI INFO'!$C$2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'SISTEMI INFO'!$A$3:$A$10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'SISTEMI INFO'!$C$3:$C$10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axId val="21288322"/>
        <c:axId val="57377171"/>
      </c:barChart>
      <c:catAx>
        <c:axId val="21288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377171"/>
        <c:crosses val="autoZero"/>
        <c:auto val="0"/>
        <c:lblOffset val="100"/>
        <c:noMultiLvlLbl val="0"/>
      </c:catAx>
      <c:valAx>
        <c:axId val="573771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2883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1"/>
          <c:y val="0.84525"/>
          <c:w val="0.81375"/>
          <c:h val="0.11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'SISTEMI INFO'!$B$11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'SISTEMI INFO'!$A$12:$A$19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'SISTEMI INFO'!$B$12:$B$19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'SISTEMI INFO'!$C$11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'SISTEMI INFO'!$A$12:$A$19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'SISTEMI INFO'!$C$12:$C$19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46632492"/>
        <c:axId val="17039245"/>
      </c:lineChart>
      <c:catAx>
        <c:axId val="46632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039245"/>
        <c:crossesAt val="100"/>
        <c:auto val="1"/>
        <c:lblOffset val="100"/>
        <c:noMultiLvlLbl val="0"/>
      </c:catAx>
      <c:valAx>
        <c:axId val="17039245"/>
        <c:scaling>
          <c:orientation val="minMax"/>
          <c:max val="13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6324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Economia e attività turistiche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09"/>
          <c:w val="0.95375"/>
          <c:h val="0.786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ECONOMIA!$B$2</c:f>
              <c:strCache>
                <c:ptCount val="1"/>
                <c:pt idx="0">
                  <c:v>Consumi specifici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ECONOMIA!$A$3:$A$10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ECONOMIA!$B$3:$B$10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0"/>
          <c:order val="1"/>
          <c:tx>
            <c:strRef>
              <c:f>ECONOMIA!$C$2</c:f>
              <c:strCache>
                <c:ptCount val="1"/>
                <c:pt idx="0">
                  <c:v>Consumi specifici finalizzati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ECONOMIA!$A$3:$A$10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ECONOMIA!$C$3:$C$10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axId val="19135478"/>
        <c:axId val="38001575"/>
      </c:barChart>
      <c:catAx>
        <c:axId val="19135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001575"/>
        <c:crosses val="autoZero"/>
        <c:auto val="0"/>
        <c:lblOffset val="100"/>
        <c:noMultiLvlLbl val="0"/>
      </c:catAx>
      <c:valAx>
        <c:axId val="38001575"/>
        <c:scaling>
          <c:orientation val="minMax"/>
          <c:max val="6000"/>
        </c:scaling>
        <c:axPos val="l"/>
        <c:delete val="0"/>
        <c:numFmt formatCode="General" sourceLinked="1"/>
        <c:majorTickMark val="out"/>
        <c:minorTickMark val="none"/>
        <c:tickLblPos val="nextTo"/>
        <c:crossAx val="191354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25"/>
          <c:y val="0.92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ECONOMIA!$B$11</c:f>
              <c:strCache>
                <c:ptCount val="1"/>
                <c:pt idx="0">
                  <c:v>Indice cons spec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ECONOMIA!$A$12:$A$19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ECONOMIA!$B$12:$B$19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ECONOMIA!$C$11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ECONOMIA!$A$12:$A$19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ECONOMIA!$C$12:$C$19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6469856"/>
        <c:axId val="58228705"/>
      </c:lineChart>
      <c:catAx>
        <c:axId val="6469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228705"/>
        <c:crossesAt val="100"/>
        <c:auto val="1"/>
        <c:lblOffset val="100"/>
        <c:noMultiLvlLbl val="0"/>
      </c:catAx>
      <c:valAx>
        <c:axId val="58228705"/>
        <c:scaling>
          <c:orientation val="minMax"/>
          <c:max val="40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69856"/>
        <c:crossesAt val="1"/>
        <c:crossBetween val="between"/>
        <c:dispUnits/>
        <c:majorUnit val="5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Cultura e rapporti con l'Università </a:t>
            </a:r>
          </a:p>
        </c:rich>
      </c:tx>
      <c:layout>
        <c:manualLayout>
          <c:xMode val="factor"/>
          <c:yMode val="factor"/>
          <c:x val="0.00525"/>
          <c:y val="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2"/>
          <c:w val="0.94925"/>
          <c:h val="0.80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CULTURA!$B$2</c:f>
              <c:strCache>
                <c:ptCount val="1"/>
                <c:pt idx="0">
                  <c:v>Consumi specifici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CULTURA!$A$3:$A$10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CULTURA!$B$3:$B$10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0"/>
          <c:order val="1"/>
          <c:tx>
            <c:strRef>
              <c:f>CULTURA!$C$2</c:f>
              <c:strCache>
                <c:ptCount val="1"/>
                <c:pt idx="0">
                  <c:v>Consumi specifici finalizzati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CULTURA!$A$3:$A$10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CULTURA!$C$3:$C$10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axId val="54296298"/>
        <c:axId val="18904635"/>
      </c:barChart>
      <c:catAx>
        <c:axId val="54296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904635"/>
        <c:crosses val="autoZero"/>
        <c:auto val="0"/>
        <c:lblOffset val="100"/>
        <c:noMultiLvlLbl val="0"/>
      </c:catAx>
      <c:valAx>
        <c:axId val="18904635"/>
        <c:scaling>
          <c:orientation val="minMax"/>
          <c:max val="17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2962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475"/>
          <c:y val="0.901"/>
          <c:w val="0.89025"/>
          <c:h val="0.083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7525"/>
          <c:w val="0.95175"/>
          <c:h val="0.68725"/>
        </c:manualLayout>
      </c:layout>
      <c:lineChart>
        <c:grouping val="standard"/>
        <c:varyColors val="0"/>
        <c:ser>
          <c:idx val="0"/>
          <c:order val="0"/>
          <c:tx>
            <c:strRef>
              <c:f>ISTRUZIONE!$B$13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ISTRUZIONE!$A$14:$A$21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ISTRUZIONE!$B$14:$B$21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ISTRUZIONE!$C$13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ISTRUZIONE!$A$14:$A$21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ISTRUZIONE!$C$14:$C$21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44474688"/>
        <c:axId val="64727873"/>
      </c:lineChart>
      <c:catAx>
        <c:axId val="44474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727873"/>
        <c:crossesAt val="100"/>
        <c:auto val="1"/>
        <c:lblOffset val="100"/>
        <c:noMultiLvlLbl val="0"/>
      </c:catAx>
      <c:valAx>
        <c:axId val="64727873"/>
        <c:scaling>
          <c:orientation val="minMax"/>
          <c:max val="45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474688"/>
        <c:crossesAt val="1"/>
        <c:crossBetween val="between"/>
        <c:dispUnits/>
        <c:majorUnit val="5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CULTURA!$B$11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CULTURA!$A$12:$A$19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CULTURA!$B$12:$B$19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CULTURA!$C$11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CULTURA!$A$12:$A$19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CULTURA!$C$12:$C$19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35923988"/>
        <c:axId val="54880437"/>
      </c:lineChart>
      <c:catAx>
        <c:axId val="35923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880437"/>
        <c:crossesAt val="100"/>
        <c:auto val="1"/>
        <c:lblOffset val="100"/>
        <c:noMultiLvlLbl val="0"/>
      </c:catAx>
      <c:valAx>
        <c:axId val="54880437"/>
        <c:scaling>
          <c:orientation val="minMax"/>
          <c:max val="17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92398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Mobilità urbana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MOBILITA!$B$2</c:f>
              <c:strCache>
                <c:ptCount val="1"/>
                <c:pt idx="0">
                  <c:v>Consumi specifici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MOBILITA!$A$3:$A$10</c:f>
              <c:strCache/>
            </c:strRef>
          </c:cat>
          <c:val>
            <c:numRef>
              <c:f>MOBILITA!$B$3:$B$10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0"/>
          <c:order val="1"/>
          <c:tx>
            <c:strRef>
              <c:f>MOBILITA!$C$2</c:f>
              <c:strCache>
                <c:ptCount val="1"/>
                <c:pt idx="0">
                  <c:v>Consumi specifici finalizzati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MOBILITA!$A$3:$A$10</c:f>
              <c:strCache/>
            </c:strRef>
          </c:cat>
          <c:val>
            <c:numRef>
              <c:f>MOBILITA!$C$3:$C$10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axId val="24161886"/>
        <c:axId val="16130383"/>
      </c:barChart>
      <c:catAx>
        <c:axId val="24161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130383"/>
        <c:crosses val="autoZero"/>
        <c:auto val="0"/>
        <c:lblOffset val="100"/>
        <c:noMultiLvlLbl val="0"/>
      </c:catAx>
      <c:valAx>
        <c:axId val="16130383"/>
        <c:scaling>
          <c:orientation val="minMax"/>
          <c:max val="4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24161886"/>
        <c:crossesAt val="1"/>
        <c:crossBetween val="between"/>
        <c:dispUnits/>
        <c:maj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MOBILITA!$B$11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MOBILITA!$A$12:$A$19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MOBILITA!$B$12:$B$19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MOBILITA!$C$11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MOBILITA!$A$12:$A$19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MOBILITA!$C$12:$C$19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10955720"/>
        <c:axId val="31492617"/>
      </c:lineChart>
      <c:catAx>
        <c:axId val="10955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492617"/>
        <c:crossesAt val="90"/>
        <c:auto val="1"/>
        <c:lblOffset val="100"/>
        <c:noMultiLvlLbl val="0"/>
      </c:catAx>
      <c:valAx>
        <c:axId val="31492617"/>
        <c:scaling>
          <c:orientation val="minMax"/>
          <c:max val="325"/>
          <c:min val="9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955720"/>
        <c:crossesAt val="1"/>
        <c:crossBetween val="between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Programmi urbanistici ed edilizi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7925"/>
          <c:w val="0.95475"/>
          <c:h val="0.804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'Programmi urbanistici'!$B$2</c:f>
              <c:strCache>
                <c:ptCount val="1"/>
                <c:pt idx="0">
                  <c:v>Consumi specifici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'Programmi urbanistici'!$A$3:$A$9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'Programmi urbanistici'!$B$3:$B$9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0"/>
          <c:order val="1"/>
          <c:tx>
            <c:strRef>
              <c:f>'Programmi urbanistici'!$C$2</c:f>
              <c:strCache>
                <c:ptCount val="1"/>
                <c:pt idx="0">
                  <c:v>Consumi specifici finalizzati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'Programmi urbanistici'!$A$3:$A$9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'Programmi urbanistici'!$C$3:$C$9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14998098"/>
        <c:axId val="765155"/>
      </c:barChart>
      <c:catAx>
        <c:axId val="149980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65155"/>
        <c:crosses val="autoZero"/>
        <c:auto val="0"/>
        <c:lblOffset val="100"/>
        <c:noMultiLvlLbl val="0"/>
      </c:catAx>
      <c:valAx>
        <c:axId val="765155"/>
        <c:scaling>
          <c:orientation val="minMax"/>
          <c:max val="3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998098"/>
        <c:crossesAt val="1"/>
        <c:crossBetween val="between"/>
        <c:dispUnits/>
        <c:majorUnit val="500"/>
      </c:valAx>
      <c:spPr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"/>
          <c:y val="0.89975"/>
          <c:w val="0.77425"/>
          <c:h val="0.07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'Programmi urbanistici'!$B$11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'Programmi urbanistici'!$A$12:$A$18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'Programmi urbanistici'!$B$12:$B$18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'Programmi urbanistici'!$C$11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'Programmi urbanistici'!$A$12:$A$18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'Programmi urbanistici'!$C$12:$C$18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6886396"/>
        <c:axId val="61977565"/>
      </c:lineChart>
      <c:catAx>
        <c:axId val="68863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977565"/>
        <c:crossesAt val="20"/>
        <c:auto val="1"/>
        <c:lblOffset val="100"/>
        <c:noMultiLvlLbl val="0"/>
      </c:catAx>
      <c:valAx>
        <c:axId val="61977565"/>
        <c:scaling>
          <c:orientation val="minMax"/>
          <c:max val="120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886396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Progetto nuove istituzioni museali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32"/>
          <c:w val="0.9505"/>
          <c:h val="0.74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'PROGnuove ist museali'!$B$2</c:f>
              <c:strCache>
                <c:ptCount val="1"/>
                <c:pt idx="0">
                  <c:v>Consumi specifici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'PROGnuove ist museali'!$A$3:$A$10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'PROGnuove ist museali'!$B$3:$B$10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0"/>
          <c:order val="1"/>
          <c:tx>
            <c:strRef>
              <c:f>'PROGnuove ist museali'!$C$2</c:f>
              <c:strCache>
                <c:ptCount val="1"/>
                <c:pt idx="0">
                  <c:v>Consumi specifici finalizzati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'PROGnuove ist museali'!$A$3:$A$10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'PROGnuove ist museali'!$C$3:$C$10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axId val="20927174"/>
        <c:axId val="54126839"/>
      </c:barChart>
      <c:catAx>
        <c:axId val="20927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126839"/>
        <c:crosses val="autoZero"/>
        <c:auto val="0"/>
        <c:lblOffset val="100"/>
        <c:noMultiLvlLbl val="0"/>
      </c:catAx>
      <c:valAx>
        <c:axId val="54126839"/>
        <c:scaling>
          <c:orientation val="minMax"/>
          <c:max val="600"/>
        </c:scaling>
        <c:axPos val="l"/>
        <c:delete val="0"/>
        <c:numFmt formatCode="General" sourceLinked="1"/>
        <c:majorTickMark val="out"/>
        <c:minorTickMark val="none"/>
        <c:tickLblPos val="nextTo"/>
        <c:crossAx val="209271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775"/>
          <c:y val="0.91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Progetto attuazione programma piazze</a:t>
            </a:r>
          </a:p>
        </c:rich>
      </c:tx>
      <c:layout>
        <c:manualLayout>
          <c:xMode val="factor"/>
          <c:yMode val="factor"/>
          <c:x val="0.005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95"/>
          <c:w val="0.948"/>
          <c:h val="0.775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'PROGETTO PIAZZE'!$B$2</c:f>
              <c:strCache>
                <c:ptCount val="1"/>
                <c:pt idx="0">
                  <c:v>Consumi specifici</c:v>
                </c:pt>
              </c:strCache>
            </c:strRef>
          </c:tx>
          <c:spPr>
            <a:solidFill>
              <a:srgbClr val="33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00"/>
              </a:solidFill>
            </c:spPr>
          </c:dPt>
          <c:dPt>
            <c:idx val="1"/>
            <c:invertIfNegative val="0"/>
            <c:spPr>
              <a:solidFill>
                <a:srgbClr val="333300"/>
              </a:solidFill>
            </c:spPr>
          </c:dPt>
          <c:dPt>
            <c:idx val="2"/>
            <c:invertIfNegative val="0"/>
            <c:spPr>
              <a:solidFill>
                <a:srgbClr val="333300"/>
              </a:solidFill>
            </c:spPr>
          </c:dPt>
          <c:dPt>
            <c:idx val="3"/>
            <c:invertIfNegative val="0"/>
            <c:spPr>
              <a:solidFill>
                <a:srgbClr val="3333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'PROGETTO PIAZZE'!$A$3:$A$10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'PROGETTO PIAZZE'!$B$3:$B$10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0"/>
          <c:order val="1"/>
          <c:tx>
            <c:strRef>
              <c:f>'PROGETTO PIAZZE'!$C$2</c:f>
              <c:strCache>
                <c:ptCount val="1"/>
                <c:pt idx="0">
                  <c:v>Consumi specifici finalizzati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'PROGETTO PIAZZE'!$A$3:$A$10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'PROGETTO PIAZZE'!$C$3:$C$10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axId val="17379504"/>
        <c:axId val="22197809"/>
      </c:barChart>
      <c:catAx>
        <c:axId val="17379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197809"/>
        <c:crosses val="autoZero"/>
        <c:auto val="0"/>
        <c:lblOffset val="100"/>
        <c:noMultiLvlLbl val="0"/>
      </c:catAx>
      <c:valAx>
        <c:axId val="22197809"/>
        <c:scaling>
          <c:orientation val="minMax"/>
          <c:max val="9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379504"/>
        <c:crossesAt val="1"/>
        <c:crossBetween val="between"/>
        <c:dispUnits/>
        <c:majorUnit val="300"/>
        <c:minorUnit val="50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inflazione/consumi specifici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5675"/>
          <c:w val="0.95575"/>
          <c:h val="0.71775"/>
        </c:manualLayout>
      </c:layout>
      <c:lineChart>
        <c:grouping val="standard"/>
        <c:varyColors val="0"/>
        <c:ser>
          <c:idx val="0"/>
          <c:order val="0"/>
          <c:tx>
            <c:strRef>
              <c:f>'PROGETTO PIAZZE'!$B$11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'PROGETTO PIAZZE'!$A$12:$A$19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'PROGETTO PIAZZE'!$B$12:$B$19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'PROGETTO PIAZZE'!$C$11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'PROGETTO PIAZZE'!$A$12:$A$19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'PROGETTO PIAZZE'!$C$12:$C$19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65562554"/>
        <c:axId val="53192075"/>
      </c:lineChart>
      <c:catAx>
        <c:axId val="65562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192075"/>
        <c:crossesAt val="0"/>
        <c:auto val="1"/>
        <c:lblOffset val="100"/>
        <c:noMultiLvlLbl val="0"/>
      </c:catAx>
      <c:valAx>
        <c:axId val="53192075"/>
        <c:scaling>
          <c:orientation val="minMax"/>
          <c:max val="12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562554"/>
        <c:crossesAt val="1"/>
        <c:crossBetween val="between"/>
        <c:dispUnits/>
        <c:majorUnit val="2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0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Politiche per la Sicurezza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089"/>
          <c:w val="0.94875"/>
          <c:h val="0.775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SICUREZZA!$B$2</c:f>
              <c:strCache>
                <c:ptCount val="1"/>
                <c:pt idx="0">
                  <c:v>Consumi specifici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3300"/>
              </a:solidFill>
            </c:spPr>
          </c:dPt>
          <c:dPt>
            <c:idx val="1"/>
            <c:invertIfNegative val="0"/>
            <c:spPr>
              <a:solidFill>
                <a:srgbClr val="993300"/>
              </a:solidFill>
            </c:spPr>
          </c:dPt>
          <c:dPt>
            <c:idx val="2"/>
            <c:invertIfNegative val="0"/>
            <c:spPr>
              <a:solidFill>
                <a:srgbClr val="993300"/>
              </a:solidFill>
            </c:spPr>
          </c:dPt>
          <c:dPt>
            <c:idx val="3"/>
            <c:invertIfNegative val="0"/>
            <c:spPr>
              <a:solidFill>
                <a:srgbClr val="9933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SICUREZZA!$A$3:$A$10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SICUREZZA!$B$3:$B$10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0"/>
          <c:order val="1"/>
          <c:tx>
            <c:strRef>
              <c:f>SICUREZZA!$C$2</c:f>
              <c:strCache>
                <c:ptCount val="1"/>
                <c:pt idx="0">
                  <c:v>Consumi specifici finalizzati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SICUREZZA!$A$3:$A$10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SICUREZZA!$C$3:$C$10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axId val="8966628"/>
        <c:axId val="13590789"/>
      </c:barChart>
      <c:catAx>
        <c:axId val="8966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590789"/>
        <c:crosses val="autoZero"/>
        <c:auto val="0"/>
        <c:lblOffset val="100"/>
        <c:noMultiLvlLbl val="0"/>
      </c:catAx>
      <c:valAx>
        <c:axId val="13590789"/>
        <c:scaling>
          <c:orientation val="minMax"/>
          <c:max val="18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966628"/>
        <c:crossesAt val="1"/>
        <c:crossBetween val="between"/>
        <c:dispUnits/>
        <c:majorUnit val="200"/>
      </c:valAx>
      <c:spPr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525"/>
          <c:y val="0.8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inflazione/consumi specifici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SICUREZZA!$B$11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SICUREZZA!$A$12:$A$19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SICUREZZA!$B$12:$B$19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SICUREZZA!$C$11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SICUREZZA!$A$12:$A$19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SICUREZZA!$C$12:$C$19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55208238"/>
        <c:axId val="27112095"/>
      </c:lineChart>
      <c:catAx>
        <c:axId val="55208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112095"/>
        <c:crossesAt val="70"/>
        <c:auto val="1"/>
        <c:lblOffset val="100"/>
        <c:noMultiLvlLbl val="0"/>
      </c:catAx>
      <c:valAx>
        <c:axId val="27112095"/>
        <c:scaling>
          <c:orientation val="minMax"/>
          <c:max val="210"/>
          <c:min val="7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208238"/>
        <c:crossesAt val="1"/>
        <c:crossBetween val="between"/>
        <c:dispUnits/>
        <c:majorUnit val="2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Sport e giovani 
</a:t>
            </a:r>
          </a:p>
        </c:rich>
      </c:tx>
      <c:layout/>
      <c:spPr>
        <a:ln w="3175">
          <a:noFill/>
        </a:ln>
      </c:spPr>
    </c:title>
    <c:plotArea>
      <c:layout>
        <c:manualLayout>
          <c:xMode val="edge"/>
          <c:yMode val="edge"/>
          <c:x val="0.0115"/>
          <c:y val="0.151"/>
          <c:w val="0.9625"/>
          <c:h val="0.743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'SPORT E GIOVANI'!$B$2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'SPORT E GIOVANI'!$A$3:$A$10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'SPORT E GIOVANI'!$B$3:$B$10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0"/>
          <c:order val="1"/>
          <c:tx>
            <c:strRef>
              <c:f>'SPORT E GIOVANI'!$C$2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'SPORT E GIOVANI'!$A$3:$A$10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'SPORT E GIOVANI'!$C$3:$C$10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axId val="45679946"/>
        <c:axId val="8466331"/>
      </c:barChart>
      <c:catAx>
        <c:axId val="45679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466331"/>
        <c:crossesAt val="0"/>
        <c:auto val="0"/>
        <c:lblOffset val="100"/>
        <c:noMultiLvlLbl val="0"/>
      </c:catAx>
      <c:valAx>
        <c:axId val="8466331"/>
        <c:scaling>
          <c:orientation val="minMax"/>
          <c:max val="45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679946"/>
        <c:crossesAt val="1"/>
        <c:crossBetween val="between"/>
        <c:dispUnits/>
        <c:majorUnit val="500"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21"/>
          <c:y val="0.9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Salute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SALUTE!$B$2</c:f>
              <c:strCache>
                <c:ptCount val="1"/>
                <c:pt idx="0">
                  <c:v>Consumi specifici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</c:spPr>
          </c:dPt>
          <c:dPt>
            <c:idx val="1"/>
            <c:invertIfNegative val="0"/>
            <c:spPr>
              <a:solidFill>
                <a:srgbClr val="800000"/>
              </a:solidFill>
            </c:spPr>
          </c:dPt>
          <c:dPt>
            <c:idx val="2"/>
            <c:invertIfNegative val="0"/>
            <c:spPr>
              <a:solidFill>
                <a:srgbClr val="800000"/>
              </a:solidFill>
            </c:spPr>
          </c:dPt>
          <c:dPt>
            <c:idx val="3"/>
            <c:invertIfNegative val="0"/>
            <c:spPr>
              <a:solidFill>
                <a:srgbClr val="800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SALUTE!$A$3:$A$10</c:f>
              <c:numCache/>
            </c:numRef>
          </c:cat>
          <c:val>
            <c:numRef>
              <c:f>SALUTE!$B$3:$B$10</c:f>
              <c:numCache/>
            </c:numRef>
          </c:val>
        </c:ser>
        <c:ser>
          <c:idx val="0"/>
          <c:order val="1"/>
          <c:tx>
            <c:strRef>
              <c:f>SALUTE!$C$2</c:f>
              <c:strCache>
                <c:ptCount val="1"/>
                <c:pt idx="0">
                  <c:v>Consumi specifici finalizzati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SALUTE!$A$3:$A$10</c:f>
              <c:numCache/>
            </c:numRef>
          </c:cat>
          <c:val>
            <c:numRef>
              <c:f>SALUTE!$C$3:$C$10</c:f>
              <c:numCache/>
            </c:numRef>
          </c:val>
        </c:ser>
        <c:overlap val="100"/>
        <c:axId val="42682264"/>
        <c:axId val="48596057"/>
      </c:barChart>
      <c:catAx>
        <c:axId val="42682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596057"/>
        <c:crosses val="autoZero"/>
        <c:auto val="0"/>
        <c:lblOffset val="100"/>
        <c:noMultiLvlLbl val="0"/>
      </c:catAx>
      <c:valAx>
        <c:axId val="485960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6822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inflazione/consumi specifici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SALUTE!$B$11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SALUTE!$A$12:$A$19</c:f>
              <c:numCache/>
            </c:numRef>
          </c:cat>
          <c:val>
            <c:numRef>
              <c:f>SALUTE!$B$12:$B$19</c:f>
              <c:numCache/>
            </c:numRef>
          </c:val>
          <c:smooth val="0"/>
        </c:ser>
        <c:ser>
          <c:idx val="1"/>
          <c:order val="1"/>
          <c:tx>
            <c:strRef>
              <c:f>SALUTE!$C$11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SALUTE!$A$12:$A$19</c:f>
              <c:numCache/>
            </c:numRef>
          </c:cat>
          <c:val>
            <c:numRef>
              <c:f>SALUTE!$C$12:$C$19</c:f>
              <c:numCache/>
            </c:numRef>
          </c:val>
          <c:smooth val="0"/>
        </c:ser>
        <c:marker val="1"/>
        <c:axId val="34711330"/>
        <c:axId val="43966515"/>
      </c:lineChart>
      <c:catAx>
        <c:axId val="34711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966515"/>
        <c:crossesAt val="90"/>
        <c:auto val="1"/>
        <c:lblOffset val="100"/>
        <c:noMultiLvlLbl val="0"/>
      </c:catAx>
      <c:valAx>
        <c:axId val="43966515"/>
        <c:scaling>
          <c:orientation val="minMax"/>
          <c:max val="150"/>
          <c:min val="9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711330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Servizi sociali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'SERVIZI SOCIALI'!$B$2</c:f>
              <c:strCache>
                <c:ptCount val="1"/>
                <c:pt idx="0">
                  <c:v>Consumi specifici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Pt>
            <c:idx val="1"/>
            <c:invertIfNegative val="0"/>
            <c:spPr>
              <a:solidFill>
                <a:srgbClr val="FF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Pt>
            <c:idx val="3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'SERVIZI SOCIALI'!$A$3:$A$10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'SERVIZI SOCIALI'!$B$3:$B$10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0"/>
          <c:order val="1"/>
          <c:tx>
            <c:strRef>
              <c:f>'SERVIZI SOCIALI'!$C$2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'SERVIZI SOCIALI'!$A$3:$A$10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'SERVIZI SOCIALI'!$C$3:$C$10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axId val="60154316"/>
        <c:axId val="4517933"/>
      </c:barChart>
      <c:catAx>
        <c:axId val="60154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17933"/>
        <c:crosses val="autoZero"/>
        <c:auto val="0"/>
        <c:lblOffset val="100"/>
        <c:noMultiLvlLbl val="0"/>
      </c:catAx>
      <c:valAx>
        <c:axId val="45179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1543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inflazione/consumi specifici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'SERVIZI SOCIALI'!$B$11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'SERVIZI SOCIALI'!$A$12:$A$19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'SERVIZI SOCIALI'!$B$12:$B$19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'SERVIZI SOCIALI'!$C$11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'SERVIZI SOCIALI'!$A$12:$A$19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'SERVIZI SOCIALI'!$C$12:$C$19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40661398"/>
        <c:axId val="30408263"/>
      </c:lineChart>
      <c:catAx>
        <c:axId val="40661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408263"/>
        <c:crossesAt val="100"/>
        <c:auto val="1"/>
        <c:lblOffset val="100"/>
        <c:noMultiLvlLbl val="0"/>
      </c:catAx>
      <c:valAx>
        <c:axId val="30408263"/>
        <c:scaling>
          <c:orientation val="minMax"/>
          <c:max val="21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661398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Gabinetto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GABINETTO!$B$2</c:f>
              <c:strCache>
                <c:ptCount val="1"/>
                <c:pt idx="0">
                  <c:v>Consumi specifici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GABINETTO!$A$3:$A$10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GABINETTO!$B$3:$B$10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0"/>
          <c:order val="1"/>
          <c:tx>
            <c:strRef>
              <c:f>GABINETTO!$C$2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GABINETTO!$A$3:$A$10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GABINETTO!$C$3:$C$10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axId val="5238912"/>
        <c:axId val="47150209"/>
      </c:barChart>
      <c:catAx>
        <c:axId val="5238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150209"/>
        <c:crosses val="autoZero"/>
        <c:auto val="0"/>
        <c:lblOffset val="100"/>
        <c:noMultiLvlLbl val="0"/>
      </c:catAx>
      <c:valAx>
        <c:axId val="471502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389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GABINETTO!$B$11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GABINETTO!$A$12:$A$19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GABINETTO!$B$12:$B$19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GABINETTO!$C$11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GABINETTO!$A$12:$A$19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GABINETTO!$C$12:$C$19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21698698"/>
        <c:axId val="61070555"/>
      </c:lineChart>
      <c:catAx>
        <c:axId val="21698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070555"/>
        <c:crossesAt val="100"/>
        <c:auto val="1"/>
        <c:lblOffset val="100"/>
        <c:noMultiLvlLbl val="0"/>
      </c:catAx>
      <c:valAx>
        <c:axId val="61070555"/>
        <c:scaling>
          <c:orientation val="minMax"/>
          <c:max val="175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698698"/>
        <c:crossesAt val="1"/>
        <c:crossBetween val="between"/>
        <c:dispUnits/>
        <c:majorUnit val="2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Segretario generale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5475"/>
          <c:w val="0.97425"/>
          <c:h val="0.80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SEGRETARIO!$B$2</c:f>
              <c:strCache>
                <c:ptCount val="1"/>
                <c:pt idx="0">
                  <c:v>Consumi specifici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SEGRETARIO!$A$3:$A$10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SEGRETARIO!$B$3:$B$10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0"/>
          <c:order val="1"/>
          <c:tx>
            <c:strRef>
              <c:f>SEGRETARIO!$C$2</c:f>
              <c:strCache>
                <c:ptCount val="1"/>
                <c:pt idx="0">
                  <c:v>Consumi specifici finalizzati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SEGRETARIO!$A$3:$A$10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SEGRETARIO!$C$3:$C$10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2764084"/>
        <c:axId val="47767893"/>
      </c:barChart>
      <c:catAx>
        <c:axId val="127640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767893"/>
        <c:crosses val="autoZero"/>
        <c:auto val="0"/>
        <c:lblOffset val="100"/>
        <c:noMultiLvlLbl val="0"/>
      </c:catAx>
      <c:valAx>
        <c:axId val="4776789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12764084"/>
        <c:crossesAt val="1"/>
        <c:crossBetween val="between"/>
        <c:dispUnits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Segreteria generale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5475"/>
          <c:w val="0.97425"/>
          <c:h val="0.80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'SEGR.GEN'!$B$2</c:f>
              <c:strCache>
                <c:ptCount val="1"/>
                <c:pt idx="0">
                  <c:v>Consumi specifici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'SEGR.GEN'!$A$3:$A$10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'SEGR.GEN'!$B$3:$B$10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0"/>
          <c:order val="1"/>
          <c:tx>
            <c:strRef>
              <c:f>'SEGR.GEN'!$C$2</c:f>
              <c:strCache>
                <c:ptCount val="1"/>
                <c:pt idx="0">
                  <c:v>Consumi specifici finalizzati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'SEGR.GEN'!$A$3:$A$10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'SEGR.GEN'!$C$3:$C$10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7257854"/>
        <c:axId val="43994095"/>
      </c:barChart>
      <c:catAx>
        <c:axId val="272578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994095"/>
        <c:crosses val="autoZero"/>
        <c:auto val="0"/>
        <c:lblOffset val="100"/>
        <c:noMultiLvlLbl val="0"/>
      </c:catAx>
      <c:valAx>
        <c:axId val="43994095"/>
        <c:scaling>
          <c:orientation val="minMax"/>
          <c:max val="10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272578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Staff amministrativo gare e contratti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5475"/>
          <c:w val="0.97425"/>
          <c:h val="0.80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'STAFF AMM.'!$B$2</c:f>
              <c:strCache>
                <c:ptCount val="1"/>
                <c:pt idx="0">
                  <c:v>Consumi specifici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'STAFF AMM.'!$A$3:$A$10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'STAFF AMM.'!$B$3:$B$10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0"/>
          <c:order val="1"/>
          <c:tx>
            <c:strRef>
              <c:f>'STAFF AMM.'!$C$2</c:f>
              <c:strCache>
                <c:ptCount val="1"/>
                <c:pt idx="0">
                  <c:v>Consumi specifici finalizzati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'STAFF AMM.'!$A$3:$A$10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'STAFF AMM.'!$C$3:$C$10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60402536"/>
        <c:axId val="6751913"/>
      </c:barChart>
      <c:catAx>
        <c:axId val="604025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751913"/>
        <c:crosses val="autoZero"/>
        <c:auto val="0"/>
        <c:lblOffset val="100"/>
        <c:noMultiLvlLbl val="0"/>
      </c:catAx>
      <c:valAx>
        <c:axId val="675191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60402536"/>
        <c:crossesAt val="1"/>
        <c:crossBetween val="between"/>
        <c:dispUnits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Polizia municipale e protezione civile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07475"/>
          <c:w val="0.9245"/>
          <c:h val="0.821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PM!$B$2</c:f>
              <c:strCache>
                <c:ptCount val="1"/>
                <c:pt idx="0">
                  <c:v>Consumi specifici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PM!$A$3:$A$10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PM!$B$3:$B$10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0"/>
          <c:order val="1"/>
          <c:tx>
            <c:strRef>
              <c:f>PM!$C$2</c:f>
              <c:strCache>
                <c:ptCount val="1"/>
                <c:pt idx="0">
                  <c:v>Consumi specifici finalizzati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PM!$A$3:$A$10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PM!$C$3:$C$10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axId val="60767218"/>
        <c:axId val="10034051"/>
      </c:barChart>
      <c:catAx>
        <c:axId val="60767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034051"/>
        <c:crosses val="autoZero"/>
        <c:auto val="0"/>
        <c:lblOffset val="100"/>
        <c:noMultiLvlLbl val="0"/>
      </c:catAx>
      <c:valAx>
        <c:axId val="100340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767218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5"/>
          <c:y val="0.90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'SPORT E GIOVANI'!$B$13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'SPORT E GIOVANI'!$A$14:$A$21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'SPORT E GIOVANI'!$B$14:$B$21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'SPORT E GIOVANI'!$C$13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'SPORT E GIOVANI'!$A$14:$A$21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'SPORT E GIOVANI'!$C$14:$C$21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9088116"/>
        <c:axId val="14684181"/>
      </c:lineChart>
      <c:catAx>
        <c:axId val="9088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684181"/>
        <c:crossesAt val="90"/>
        <c:auto val="1"/>
        <c:lblOffset val="100"/>
        <c:noMultiLvlLbl val="0"/>
      </c:catAx>
      <c:valAx>
        <c:axId val="14684181"/>
        <c:scaling>
          <c:orientation val="minMax"/>
          <c:max val="118"/>
          <c:min val="9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088116"/>
        <c:crossesAt val="1"/>
        <c:crossBetween val="between"/>
        <c:dispUnits/>
        <c:majorUnit val="3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PM!$B$11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PM!$A$12:$A$19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PM!$B$12:$B$19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PM!$C$11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PM!$A$12:$A$19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PM!$C$12:$C$19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23197596"/>
        <c:axId val="7451773"/>
      </c:lineChart>
      <c:catAx>
        <c:axId val="23197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451773"/>
        <c:crossesAt val="100"/>
        <c:auto val="1"/>
        <c:lblOffset val="100"/>
        <c:noMultiLvlLbl val="0"/>
      </c:catAx>
      <c:valAx>
        <c:axId val="7451773"/>
        <c:scaling>
          <c:orientation val="minMax"/>
          <c:max val="40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197596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Staff del Consiglio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'STAFF CONS'!$B$2</c:f>
              <c:strCache>
                <c:ptCount val="1"/>
                <c:pt idx="0">
                  <c:v>Consumi specifici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'STAFF CONS'!$A$3:$A$10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'STAFF CONS'!$B$3:$B$10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0"/>
          <c:order val="1"/>
          <c:tx>
            <c:strRef>
              <c:f>'STAFF CONS'!$C$2</c:f>
              <c:strCache>
                <c:ptCount val="1"/>
                <c:pt idx="0">
                  <c:v>Consumi specifici finalizzati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'STAFF CONS'!$A$3:$A$10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'STAFF CONS'!$C$3:$C$10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67065958"/>
        <c:axId val="66722711"/>
      </c:barChart>
      <c:catAx>
        <c:axId val="670659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722711"/>
        <c:crosses val="autoZero"/>
        <c:auto val="0"/>
        <c:lblOffset val="100"/>
        <c:noMultiLvlLbl val="0"/>
      </c:catAx>
      <c:valAx>
        <c:axId val="6672271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70659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'STAFF CONS'!$B$11</c:f>
              <c:strCache>
                <c:ptCount val="1"/>
                <c:pt idx="0">
                  <c:v>Indice cons spec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'STAFF CONS'!$A$12:$A$19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'STAFF CONS'!$B$12:$B$19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'STAFF CONS'!$C$11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'STAFF CONS'!$A$12:$A$19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'STAFF CONS'!$C$12:$C$19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63633488"/>
        <c:axId val="35830481"/>
      </c:lineChart>
      <c:catAx>
        <c:axId val="63633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830481"/>
        <c:crossesAt val="80"/>
        <c:auto val="1"/>
        <c:lblOffset val="100"/>
        <c:noMultiLvlLbl val="0"/>
      </c:catAx>
      <c:valAx>
        <c:axId val="35830481"/>
        <c:scaling>
          <c:orientation val="minMax"/>
          <c:max val="120"/>
          <c:min val="8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633488"/>
        <c:crossesAt val="1"/>
        <c:crossBetween val="between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Partecipazioni societarie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'PART. SOCIETARIE'!$B$2</c:f>
              <c:strCache>
                <c:ptCount val="1"/>
                <c:pt idx="0">
                  <c:v>Consumi specifici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'PART. SOCIETARIE'!$A$3:$A$10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'PART. SOCIETARIE'!$B$3:$B$10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0"/>
          <c:order val="1"/>
          <c:tx>
            <c:strRef>
              <c:f>'PART. SOCIETARIE'!$C$2</c:f>
              <c:strCache>
                <c:ptCount val="1"/>
                <c:pt idx="0">
                  <c:v>Consumi specifici finalizzati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'PART. SOCIETARIE'!$A$3:$A$10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'PART. SOCIETARIE'!$C$3:$C$10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axId val="54038874"/>
        <c:axId val="16587819"/>
      </c:barChart>
      <c:catAx>
        <c:axId val="54038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587819"/>
        <c:crosses val="autoZero"/>
        <c:auto val="0"/>
        <c:lblOffset val="100"/>
        <c:noMultiLvlLbl val="0"/>
      </c:catAx>
      <c:valAx>
        <c:axId val="165878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0388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'PART. SOCIETARIE'!$B$11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'PART. SOCIETARIE'!$A$12:$A$19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'PART. SOCIETARIE'!$B$12:$B$19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'PART. SOCIETARIE'!$C$11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'PART. SOCIETARIE'!$A$12:$A$19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'PART. SOCIETARIE'!$C$12:$C$19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15072644"/>
        <c:axId val="1436069"/>
      </c:lineChart>
      <c:catAx>
        <c:axId val="15072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36069"/>
        <c:crossesAt val="0"/>
        <c:auto val="1"/>
        <c:lblOffset val="100"/>
        <c:noMultiLvlLbl val="0"/>
      </c:catAx>
      <c:valAx>
        <c:axId val="1436069"/>
        <c:scaling>
          <c:orientation val="minMax"/>
          <c:max val="120"/>
          <c:min val="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072644"/>
        <c:crossesAt val="1"/>
        <c:crossBetween val="between"/>
        <c:dispUnits/>
        <c:majorUnit val="1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Legale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LEGALE!$B$2</c:f>
              <c:strCache>
                <c:ptCount val="1"/>
                <c:pt idx="0">
                  <c:v>Consumi specifici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LEGALE!$A$3:$A$10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LEGALE!$B$3:$B$10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0"/>
          <c:order val="1"/>
          <c:tx>
            <c:strRef>
              <c:f>LEGALE!$C$2</c:f>
              <c:strCache>
                <c:ptCount val="1"/>
                <c:pt idx="0">
                  <c:v>Consumi specifici finalizzati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LEGALE!$A$3:$A$10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LEGALE!$C$3:$C$10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2924622"/>
        <c:axId val="49212735"/>
      </c:barChart>
      <c:catAx>
        <c:axId val="129246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9212735"/>
        <c:crosses val="autoZero"/>
        <c:auto val="0"/>
        <c:lblOffset val="100"/>
        <c:noMultiLvlLbl val="0"/>
      </c:catAx>
      <c:valAx>
        <c:axId val="4921273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29246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LEGALE!$B$11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LEGALE!$A$12:$A$19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LEGALE!$B$12:$B$19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LEGALE!$C$11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LEGALE!$A$12:$A$19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LEGALE!$C$12:$C$19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40261432"/>
        <c:axId val="26808569"/>
      </c:lineChart>
      <c:catAx>
        <c:axId val="40261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808569"/>
        <c:crossesAt val="100"/>
        <c:auto val="1"/>
        <c:lblOffset val="100"/>
        <c:noMultiLvlLbl val="0"/>
      </c:catAx>
      <c:valAx>
        <c:axId val="26808569"/>
        <c:scaling>
          <c:orientation val="minMax"/>
          <c:max val="17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261432"/>
        <c:crossesAt val="1"/>
        <c:crossBetween val="between"/>
        <c:dispUnits/>
        <c:majorUnit val="1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Ragioneria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09975"/>
          <c:w val="0.94875"/>
          <c:h val="0.87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RAGIONERIA!$B$2</c:f>
              <c:strCache>
                <c:ptCount val="1"/>
                <c:pt idx="0">
                  <c:v>Consumi specifici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RAGIONERIA!$A$3:$A$10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RAGIONERIA!$B$3:$B$10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0"/>
          <c:order val="1"/>
          <c:tx>
            <c:strRef>
              <c:f>RAGIONERIA!$C$2</c:f>
              <c:strCache>
                <c:ptCount val="1"/>
                <c:pt idx="0">
                  <c:v>Consumi specifici finalizzati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RAGIONERIA!$A$3:$A$10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RAGIONERIA!$C$3:$C$10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9950530"/>
        <c:axId val="24010451"/>
      </c:barChart>
      <c:catAx>
        <c:axId val="399505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010451"/>
        <c:crosses val="autoZero"/>
        <c:auto val="0"/>
        <c:lblOffset val="100"/>
        <c:noMultiLvlLbl val="0"/>
      </c:catAx>
      <c:valAx>
        <c:axId val="2401045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99505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RAGIONERIA!$B$11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RAGIONERIA!$A$12:$A$19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RAGIONERIA!$B$12:$B$19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RAGIONERIA!$C$11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RAGIONERIA!$A$12:$A$19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RAGIONERIA!$C$12:$C$19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14767468"/>
        <c:axId val="65798349"/>
      </c:lineChart>
      <c:catAx>
        <c:axId val="14767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798349"/>
        <c:crossesAt val="100"/>
        <c:auto val="1"/>
        <c:lblOffset val="100"/>
        <c:noMultiLvlLbl val="0"/>
      </c:catAx>
      <c:valAx>
        <c:axId val="65798349"/>
        <c:scaling>
          <c:orientation val="minMax"/>
          <c:max val="80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767468"/>
        <c:crossesAt val="1"/>
        <c:crossBetween val="between"/>
        <c:dispUnits/>
        <c:majorUnit val="10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Entrate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09975"/>
          <c:w val="0.94875"/>
          <c:h val="0.87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ENTRATE!$B$2</c:f>
              <c:strCache>
                <c:ptCount val="1"/>
                <c:pt idx="0">
                  <c:v>Consumi specifici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ENTRATE!$A$3:$A$10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ENTRATE!$B$3:$B$10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0"/>
          <c:order val="1"/>
          <c:tx>
            <c:strRef>
              <c:f>ENTRATE!$C$2</c:f>
              <c:strCache>
                <c:ptCount val="1"/>
                <c:pt idx="0">
                  <c:v>Consumi specifici finalizzati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ENTRATE!$A$3:$A$10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ENTRATE!$C$3:$C$10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5314230"/>
        <c:axId val="28066023"/>
      </c:barChart>
      <c:catAx>
        <c:axId val="553142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066023"/>
        <c:crosses val="autoZero"/>
        <c:auto val="0"/>
        <c:lblOffset val="100"/>
        <c:noMultiLvlLbl val="0"/>
      </c:catAx>
      <c:valAx>
        <c:axId val="2806602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53142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13"/>
          <c:w val="0.9615"/>
          <c:h val="0.7795"/>
        </c:manualLayout>
      </c:layout>
      <c:lineChart>
        <c:grouping val="standard"/>
        <c:varyColors val="0"/>
        <c:ser>
          <c:idx val="0"/>
          <c:order val="0"/>
          <c:tx>
            <c:strRef>
              <c:f>'Lavori pubblici'!$B$11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'Lavori pubblici'!$A$12:$A$19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'Lavori pubblici'!$B$12:$B$19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'Lavori pubblici'!$C$11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'Lavori pubblici'!$A$12:$A$19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'Lavori pubblici'!$C$12:$C$19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65048766"/>
        <c:axId val="48567983"/>
      </c:lineChart>
      <c:catAx>
        <c:axId val="65048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8567983"/>
        <c:crossesAt val="90"/>
        <c:auto val="1"/>
        <c:lblOffset val="100"/>
        <c:noMultiLvlLbl val="0"/>
      </c:catAx>
      <c:valAx>
        <c:axId val="48567983"/>
        <c:scaling>
          <c:orientation val="minMax"/>
          <c:max val="150"/>
          <c:min val="9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65048766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25"/>
          <c:y val="0.92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ENTRATE!$B$11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ENTRATE!$A$12:$A$19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ENTRATE!$B$12:$B$19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ENTRATE!$C$11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ENTRATE!$A$12:$A$19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ENTRATE!$C$12:$C$19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51267616"/>
        <c:axId val="58755361"/>
      </c:lineChart>
      <c:catAx>
        <c:axId val="51267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755361"/>
        <c:crossesAt val="100"/>
        <c:auto val="1"/>
        <c:lblOffset val="100"/>
        <c:noMultiLvlLbl val="0"/>
      </c:catAx>
      <c:valAx>
        <c:axId val="58755361"/>
        <c:scaling>
          <c:orientation val="minMax"/>
          <c:max val="80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267616"/>
        <c:crossesAt val="1"/>
        <c:crossBetween val="between"/>
        <c:dispUnits/>
        <c:majorUnit val="10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Area Finanza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09975"/>
          <c:w val="0.94875"/>
          <c:h val="0.87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'AREA FINANZA'!$B$2</c:f>
              <c:strCache>
                <c:ptCount val="1"/>
                <c:pt idx="0">
                  <c:v>Consumi specifici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'AREA FINANZA'!$A$3:$A$10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'AREA FINANZA'!$B$3:$B$10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0"/>
          <c:order val="1"/>
          <c:tx>
            <c:strRef>
              <c:f>'AREA FINANZA'!$C$2</c:f>
              <c:strCache>
                <c:ptCount val="1"/>
                <c:pt idx="0">
                  <c:v>Consumi specifici finalizzati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 FINANZA'!$A$3:$A$10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'AREA FINANZA'!$C$3:$C$10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9036202"/>
        <c:axId val="61563771"/>
      </c:barChart>
      <c:catAx>
        <c:axId val="590362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1563771"/>
        <c:crosses val="autoZero"/>
        <c:auto val="0"/>
        <c:lblOffset val="100"/>
        <c:noMultiLvlLbl val="0"/>
      </c:catAx>
      <c:valAx>
        <c:axId val="6156377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90362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'AREA FINANZA'!$B$11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 FINANZA'!$A$12:$A$19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'AREA FINANZA'!$B$12:$B$19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'AREA FINANZA'!$C$11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 FINANZA'!$A$12:$A$19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'AREA FINANZA'!$C$12:$C$19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17203028"/>
        <c:axId val="20609525"/>
      </c:lineChart>
      <c:catAx>
        <c:axId val="17203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609525"/>
        <c:crossesAt val="100"/>
        <c:auto val="1"/>
        <c:lblOffset val="100"/>
        <c:noMultiLvlLbl val="0"/>
      </c:catAx>
      <c:valAx>
        <c:axId val="20609525"/>
        <c:scaling>
          <c:orientation val="minMax"/>
          <c:max val="60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203028"/>
        <c:crossesAt val="1"/>
        <c:crossBetween val="between"/>
        <c:dispUnits/>
        <c:majorUnit val="5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Patrimonio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PATRIMONIO!$B$2</c:f>
              <c:strCache>
                <c:ptCount val="1"/>
                <c:pt idx="0">
                  <c:v>Consumi specifici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PATRIMONIO!$A$3:$A$10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PATRIMONIO!$B$3:$B$10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0"/>
          <c:order val="1"/>
          <c:tx>
            <c:strRef>
              <c:f>PATRIMONIO!$C$2</c:f>
              <c:strCache>
                <c:ptCount val="1"/>
                <c:pt idx="0">
                  <c:v>Consumi specifici finalizzati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PATRIMONIO!$A$3:$A$10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PATRIMONIO!$C$3:$C$10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1267998"/>
        <c:axId val="58758799"/>
      </c:barChart>
      <c:catAx>
        <c:axId val="512679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758799"/>
        <c:crosses val="autoZero"/>
        <c:auto val="0"/>
        <c:lblOffset val="100"/>
        <c:noMultiLvlLbl val="0"/>
      </c:catAx>
      <c:valAx>
        <c:axId val="58758799"/>
        <c:scaling>
          <c:orientation val="minMax"/>
          <c:max val="3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51267998"/>
        <c:crossesAt val="1"/>
        <c:crossBetween val="between"/>
        <c:dispUnits/>
        <c:majorUnit val="5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PATRIMONIO!$B$11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PATRIMONIO!$A$12:$A$19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PATRIMONIO!$B$12:$B$19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PATRIMONIO!$C$11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PATRIMONIO!$A$12:$A$19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PATRIMONIO!$C$12:$C$19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59067144"/>
        <c:axId val="61842249"/>
      </c:lineChart>
      <c:catAx>
        <c:axId val="59067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842249"/>
        <c:crossesAt val="90"/>
        <c:auto val="1"/>
        <c:lblOffset val="100"/>
        <c:noMultiLvlLbl val="0"/>
      </c:catAx>
      <c:valAx>
        <c:axId val="61842249"/>
        <c:scaling>
          <c:orientation val="minMax"/>
          <c:max val="200"/>
          <c:min val="9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067144"/>
        <c:crossesAt val="1"/>
        <c:crossBetween val="between"/>
        <c:dispUnits/>
        <c:majorUnit val="1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Comunicazione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Comunicazione!$B$2</c:f>
              <c:strCache>
                <c:ptCount val="1"/>
                <c:pt idx="0">
                  <c:v>Consumi specifici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 1.108 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Comunicazione!$A$3:$A$10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Comunicazione!$B$3:$B$10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0"/>
          <c:order val="1"/>
          <c:tx>
            <c:strRef>
              <c:f>Comunicazione!$C$2</c:f>
              <c:strCache>
                <c:ptCount val="1"/>
                <c:pt idx="0">
                  <c:v>Consumi specifici finalizzati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Comunicazione!$A$3:$A$10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Comunicazione!$C$3:$C$10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axId val="19709330"/>
        <c:axId val="43166243"/>
      </c:barChart>
      <c:catAx>
        <c:axId val="19709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166243"/>
        <c:crosses val="autoZero"/>
        <c:auto val="0"/>
        <c:lblOffset val="100"/>
        <c:noMultiLvlLbl val="0"/>
      </c:catAx>
      <c:valAx>
        <c:axId val="43166243"/>
        <c:scaling>
          <c:orientation val="minMax"/>
          <c:max val="18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197093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27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555"/>
          <c:w val="0.94775"/>
          <c:h val="0.73025"/>
        </c:manualLayout>
      </c:layout>
      <c:lineChart>
        <c:grouping val="standard"/>
        <c:varyColors val="0"/>
        <c:ser>
          <c:idx val="0"/>
          <c:order val="0"/>
          <c:tx>
            <c:strRef>
              <c:f>Comunicazione!$B$11</c:f>
              <c:strCache>
                <c:ptCount val="1"/>
                <c:pt idx="0">
                  <c:v>Indice cons spec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Comunicazione!$A$12:$A$19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Comunicazione!$B$12:$B$19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Comunicazione!$C$11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Comunicazione!$A$12:$A$19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Comunicazione!$C$12:$C$19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52951868"/>
        <c:axId val="6804765"/>
      </c:lineChart>
      <c:catAx>
        <c:axId val="52951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804765"/>
        <c:crossesAt val="60"/>
        <c:auto val="1"/>
        <c:lblOffset val="100"/>
        <c:noMultiLvlLbl val="0"/>
      </c:catAx>
      <c:valAx>
        <c:axId val="6804765"/>
        <c:scaling>
          <c:orientation val="minMax"/>
          <c:max val="160"/>
          <c:min val="6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951868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Quartieri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QUARTIERI!$B$2</c:f>
              <c:strCache>
                <c:ptCount val="1"/>
                <c:pt idx="0">
                  <c:v>Consumi specifici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QUARTIERI!$A$3:$A$10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QUARTIERI!$B$3:$B$10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0"/>
          <c:order val="1"/>
          <c:tx>
            <c:strRef>
              <c:f>QUARTIERI!$C$2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QUARTIERI!$A$3:$A$10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QUARTIERI!$C$3:$C$10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axId val="61242886"/>
        <c:axId val="14315063"/>
      </c:barChart>
      <c:catAx>
        <c:axId val="61242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315063"/>
        <c:crosses val="autoZero"/>
        <c:auto val="0"/>
        <c:lblOffset val="100"/>
        <c:noMultiLvlLbl val="0"/>
      </c:catAx>
      <c:valAx>
        <c:axId val="14315063"/>
        <c:scaling>
          <c:orientation val="minMax"/>
          <c:max val="35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612428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QUARTIERI!$B$11</c:f>
              <c:strCache>
                <c:ptCount val="1"/>
                <c:pt idx="0">
                  <c:v>Indice cons spec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QUARTIERI!$A$12:$A$19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QUARTIERI!$B$12:$B$19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QUARTIERI!$C$11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QUARTIERI!$A$12:$A$19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QUARTIERI!$C$12:$C$19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61726704"/>
        <c:axId val="18669425"/>
      </c:lineChart>
      <c:catAx>
        <c:axId val="61726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669425"/>
        <c:crossesAt val="100"/>
        <c:auto val="1"/>
        <c:lblOffset val="100"/>
        <c:noMultiLvlLbl val="0"/>
      </c:catAx>
      <c:valAx>
        <c:axId val="18669425"/>
        <c:scaling>
          <c:orientation val="minMax"/>
          <c:max val="16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726704"/>
        <c:crossesAt val="1"/>
        <c:crossBetween val="between"/>
        <c:dispUnits/>
        <c:majorUnit val="1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Affari istituzionali e quartieri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'AFFARI IST'!$B$2</c:f>
              <c:strCache>
                <c:ptCount val="1"/>
                <c:pt idx="0">
                  <c:v>Consumi specifici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'AFFARI IST'!$A$3:$A$10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'AFFARI IST'!$B$3:$B$10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0"/>
          <c:order val="1"/>
          <c:tx>
            <c:strRef>
              <c:f>'AFFARI IST'!$C$2</c:f>
              <c:strCache>
                <c:ptCount val="1"/>
                <c:pt idx="0">
                  <c:v>Consumi specifici finalizzati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'AFFARI IST'!$A$3:$A$10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'AFFARI IST'!$C$3:$C$10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axId val="33807098"/>
        <c:axId val="35828427"/>
      </c:barChart>
      <c:catAx>
        <c:axId val="338070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828427"/>
        <c:crosses val="autoZero"/>
        <c:auto val="0"/>
        <c:lblOffset val="100"/>
        <c:noMultiLvlLbl val="0"/>
      </c:catAx>
      <c:valAx>
        <c:axId val="358284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8070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LAVORI PUBBLICI</a:t>
            </a:r>
          </a:p>
        </c:rich>
      </c:tx>
      <c:layout>
        <c:manualLayout>
          <c:xMode val="factor"/>
          <c:yMode val="factor"/>
          <c:x val="0.00575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875"/>
          <c:w val="0.95975"/>
          <c:h val="0.7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'Lavori pubblici'!$B$2</c:f>
              <c:strCache>
                <c:ptCount val="1"/>
                <c:pt idx="0">
                  <c:v>Consumi specifici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dPt>
            <c:idx val="3"/>
            <c:invertIfNegative val="0"/>
            <c:spPr>
              <a:solidFill>
                <a:srgbClr val="00FF00"/>
              </a:solidFill>
            </c:spPr>
          </c:dPt>
          <c:dPt>
            <c:idx val="4"/>
            <c:invertIfNegative val="0"/>
            <c:spPr>
              <a:solidFill>
                <a:srgbClr val="00FF00"/>
              </a:solidFill>
            </c:spPr>
          </c:dPt>
          <c:dPt>
            <c:idx val="5"/>
            <c:invertIfNegative val="0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'Lavori pubblici'!$A$3:$A$10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'Lavori pubblici'!$B$3:$B$10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'Lavori pubblici'!$C$2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'Lavori pubblici'!$A$3:$A$10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'Lavori pubblici'!$C$3:$C$10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axId val="34458664"/>
        <c:axId val="41692521"/>
      </c:barChart>
      <c:catAx>
        <c:axId val="34458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41692521"/>
        <c:crosses val="autoZero"/>
        <c:auto val="1"/>
        <c:lblOffset val="100"/>
        <c:noMultiLvlLbl val="0"/>
      </c:catAx>
      <c:valAx>
        <c:axId val="416925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34458664"/>
        <c:crossesAt val="1"/>
        <c:crossBetween val="between"/>
        <c:dispUnits/>
      </c:valAx>
      <c:spPr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'AFFARI IST'!$B$11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'AFFARI IST'!$A$12:$A$19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'AFFARI IST'!$B$12:$B$19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'AFFARI IST'!$C$11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'AFFARI IST'!$A$12:$A$19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'AFFARI IST'!$C$12:$C$19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54020388"/>
        <c:axId val="16421445"/>
      </c:lineChart>
      <c:catAx>
        <c:axId val="54020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421445"/>
        <c:crossesAt val="20"/>
        <c:auto val="1"/>
        <c:lblOffset val="100"/>
        <c:noMultiLvlLbl val="0"/>
      </c:catAx>
      <c:valAx>
        <c:axId val="16421445"/>
        <c:scaling>
          <c:orientation val="minMax"/>
          <c:max val="170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020388"/>
        <c:crossesAt val="1"/>
        <c:crossBetween val="between"/>
        <c:dispUnits/>
        <c:majorUnit val="1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Acquisti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ACQUISTI!$B$2</c:f>
              <c:strCache>
                <c:ptCount val="1"/>
                <c:pt idx="0">
                  <c:v>Consumi specifici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ACQUISTI!$A$3:$A$10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ACQUISTI!$B$3:$B$10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0"/>
          <c:order val="1"/>
          <c:tx>
            <c:strRef>
              <c:f>ACQUISTI!$C$2</c:f>
              <c:strCache>
                <c:ptCount val="1"/>
                <c:pt idx="0">
                  <c:v>Consumi specifici finalizzati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ACQUISTI!$A$3:$A$10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ACQUISTI!$C$3:$C$10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3575278"/>
        <c:axId val="55068639"/>
      </c:barChart>
      <c:catAx>
        <c:axId val="135752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068639"/>
        <c:crosses val="autoZero"/>
        <c:auto val="0"/>
        <c:lblOffset val="100"/>
        <c:noMultiLvlLbl val="0"/>
      </c:catAx>
      <c:valAx>
        <c:axId val="5506863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35752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ACQUISTI!$B$11</c:f>
              <c:strCache>
                <c:ptCount val="1"/>
                <c:pt idx="0">
                  <c:v>Indice cons spec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ACQUISTI!$A$12:$A$19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ACQUISTI!$B$12:$B$19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ACQUISTI!$C$11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ACQUISTI!$A$12:$A$19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ACQUISTI!$C$12:$C$19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25855704"/>
        <c:axId val="31374745"/>
      </c:lineChart>
      <c:catAx>
        <c:axId val="25855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374745"/>
        <c:crossesAt val="0"/>
        <c:auto val="1"/>
        <c:lblOffset val="100"/>
        <c:noMultiLvlLbl val="0"/>
      </c:catAx>
      <c:valAx>
        <c:axId val="31374745"/>
        <c:scaling>
          <c:orientation val="minMax"/>
          <c:max val="17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855704"/>
        <c:crossesAt val="1"/>
        <c:crossBetween val="between"/>
        <c:dispUnits/>
        <c:majorUnit val="2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Sportello per le imprese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14525"/>
          <c:w val="0.949"/>
          <c:h val="0.71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'SPORTELLO IMPR'!$B$2</c:f>
              <c:strCache>
                <c:ptCount val="1"/>
                <c:pt idx="0">
                  <c:v>Consumi specifici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'SPORTELLO IMPR'!$A$3:$A$10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'SPORTELLO IMPR'!$B$3:$B$10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0"/>
          <c:order val="1"/>
          <c:tx>
            <c:strRef>
              <c:f>'SPORTELLO IMPR'!$C$2</c:f>
              <c:strCache>
                <c:ptCount val="1"/>
                <c:pt idx="0">
                  <c:v>Consumi specifici finalizzati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'SPORTELLO IMPR'!$A$3:$A$10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'SPORTELLO IMPR'!$C$3:$C$10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axId val="13937250"/>
        <c:axId val="58326387"/>
      </c:barChart>
      <c:catAx>
        <c:axId val="13937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326387"/>
        <c:crosses val="autoZero"/>
        <c:auto val="0"/>
        <c:lblOffset val="100"/>
        <c:noMultiLvlLbl val="0"/>
      </c:catAx>
      <c:valAx>
        <c:axId val="58326387"/>
        <c:scaling>
          <c:orientation val="minMax"/>
          <c:max val="25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13937250"/>
        <c:crossesAt val="1"/>
        <c:crossBetween val="between"/>
        <c:dispUnits/>
        <c:majorUnit val="50"/>
        <c:min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65"/>
          <c:y val="0.91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Direzione generale </a:t>
            </a:r>
          </a:p>
        </c:rich>
      </c:tx>
      <c:layout>
        <c:manualLayout>
          <c:xMode val="factor"/>
          <c:yMode val="factor"/>
          <c:x val="0.0205"/>
          <c:y val="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515"/>
          <c:w val="0.95175"/>
          <c:h val="0.8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'DIREZIONE GEN'!$B$2</c:f>
              <c:strCache>
                <c:ptCount val="1"/>
                <c:pt idx="0">
                  <c:v>Consumi specifici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'DIREZIONE GEN'!$A$3:$A$10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'DIREZIONE GEN'!$B$3:$B$10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axId val="55175436"/>
        <c:axId val="26816877"/>
      </c:barChart>
      <c:catAx>
        <c:axId val="55175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816877"/>
        <c:crosses val="autoZero"/>
        <c:auto val="0"/>
        <c:lblOffset val="100"/>
        <c:noMultiLvlLbl val="0"/>
      </c:catAx>
      <c:valAx>
        <c:axId val="26816877"/>
        <c:scaling>
          <c:orientation val="minMax"/>
          <c:max val="2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55175436"/>
        <c:crossesAt val="1"/>
        <c:crossBetween val="between"/>
        <c:dispUnits/>
        <c:majorUnit val="5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'DIREZIONE GEN'!$B$11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'DIREZIONE GEN'!$A$12:$A$19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'DIREZIONE GEN'!$B$12:$B$19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'DIREZIONE GEN'!$C$11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'DIREZIONE GEN'!$A$12:$A$19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'DIREZIONE GEN'!$C$12:$C$19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40025302"/>
        <c:axId val="24683399"/>
      </c:lineChart>
      <c:catAx>
        <c:axId val="40025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683399"/>
        <c:crossesAt val="50"/>
        <c:auto val="1"/>
        <c:lblOffset val="100"/>
        <c:noMultiLvlLbl val="0"/>
      </c:catAx>
      <c:valAx>
        <c:axId val="24683399"/>
        <c:scaling>
          <c:orientation val="minMax"/>
          <c:max val="7000"/>
          <c:min val="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025302"/>
        <c:crossesAt val="1"/>
        <c:crossBetween val="between"/>
        <c:dispUnits/>
        <c:majorUnit val="1000"/>
        <c:minorUnit val="13.9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Area Servizi alle persone, etc..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09375"/>
          <c:w val="0.94875"/>
          <c:h val="0.82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'AREA servizi persone'!$B$2</c:f>
              <c:strCache>
                <c:ptCount val="1"/>
                <c:pt idx="0">
                  <c:v>Consumi specifici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'AREA servizi persone'!$A$3:$A$10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'AREA servizi persone'!$B$3:$B$10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0"/>
          <c:order val="1"/>
          <c:tx>
            <c:strRef>
              <c:f>'AREA servizi persone'!$C$2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'AREA servizi persone'!$A$3:$A$10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'AREA servizi persone'!$C$3:$C$10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axId val="20824000"/>
        <c:axId val="53198273"/>
      </c:barChart>
      <c:catAx>
        <c:axId val="20824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198273"/>
        <c:crosses val="autoZero"/>
        <c:auto val="0"/>
        <c:lblOffset val="100"/>
        <c:noMultiLvlLbl val="0"/>
      </c:catAx>
      <c:valAx>
        <c:axId val="53198273"/>
        <c:scaling>
          <c:orientation val="minMax"/>
          <c:max val="4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20824000"/>
        <c:crossesAt val="1"/>
        <c:crossBetween val="between"/>
        <c:dispUnits/>
        <c:majorUnit val="5000"/>
        <c:minorUnit val="2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975"/>
          <c:y val="0.92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'AREA servizi persone'!$B$11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 servizi persone'!$A$12:$A$19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'AREA servizi persone'!$B$12:$B$19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'AREA servizi persone'!$C$11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 servizi persone'!$A$12:$A$19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'AREA servizi persone'!$C$12:$C$19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9022410"/>
        <c:axId val="14092827"/>
      </c:lineChart>
      <c:catAx>
        <c:axId val="9022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092827"/>
        <c:crossesAt val="100"/>
        <c:auto val="1"/>
        <c:lblOffset val="100"/>
        <c:noMultiLvlLbl val="0"/>
      </c:catAx>
      <c:valAx>
        <c:axId val="14092827"/>
        <c:scaling>
          <c:orientation val="minMax"/>
          <c:max val="20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022410"/>
        <c:crossesAt val="1"/>
        <c:crossBetween val="between"/>
        <c:dispUnits/>
        <c:majorUnit val="1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Area Saperi ed Economia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09075"/>
          <c:w val="0.95175"/>
          <c:h val="0.82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'AREA SAPERI ED EC'!$B$2</c:f>
              <c:strCache>
                <c:ptCount val="1"/>
                <c:pt idx="0">
                  <c:v>Consumi specifici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'AREA SAPERI ED EC'!$A$3:$A$10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'AREA SAPERI ED EC'!$B$3:$B$10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0"/>
          <c:order val="1"/>
          <c:tx>
            <c:strRef>
              <c:f>'AREA SAPERI ED EC'!$C$2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'AREA SAPERI ED EC'!$A$3:$A$10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'AREA SAPERI ED EC'!$C$3:$C$10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axId val="59726580"/>
        <c:axId val="668309"/>
      </c:barChart>
      <c:catAx>
        <c:axId val="597265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8309"/>
        <c:crosses val="autoZero"/>
        <c:auto val="0"/>
        <c:lblOffset val="100"/>
        <c:noMultiLvlLbl val="0"/>
      </c:catAx>
      <c:valAx>
        <c:axId val="668309"/>
        <c:scaling>
          <c:orientation val="minMax"/>
          <c:max val="3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59726580"/>
        <c:crossesAt val="1"/>
        <c:crossBetween val="between"/>
        <c:dispUnits/>
        <c:majorUnit val="5000"/>
        <c:minorUnit val="2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775"/>
          <c:y val="0.9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'AREA SAPERI ED EC'!$B$11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 SAPERI ED EC'!$A$12:$A$19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'AREA SAPERI ED EC'!$B$12:$B$19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'AREA SAPERI ED EC'!$C$11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 SAPERI ED EC'!$A$12:$A$19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'AREA SAPERI ED EC'!$C$12:$C$19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6014782"/>
        <c:axId val="54133039"/>
      </c:lineChart>
      <c:catAx>
        <c:axId val="6014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133039"/>
        <c:crossesAt val="100"/>
        <c:auto val="1"/>
        <c:lblOffset val="100"/>
        <c:noMultiLvlLbl val="0"/>
      </c:catAx>
      <c:valAx>
        <c:axId val="54133039"/>
        <c:scaling>
          <c:orientation val="minMax"/>
          <c:max val="16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14782"/>
        <c:crossesAt val="1"/>
        <c:crossBetween val="between"/>
        <c:dispUnits/>
        <c:majorUnit val="1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Ambiente e verde urbano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8425"/>
          <c:w val="0.99775"/>
          <c:h val="0.819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'Ambiente e verde'!$B$2</c:f>
              <c:strCache>
                <c:ptCount val="1"/>
                <c:pt idx="0">
                  <c:v>Consumi specifici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'Ambiente e verde'!$A$3:$A$10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'Ambiente e verde'!$B$3:$B$10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0"/>
          <c:order val="1"/>
          <c:tx>
            <c:strRef>
              <c:f>'Ambiente e verde'!$C$2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'Ambiente e verde'!$A$3:$A$10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'Ambiente e verde'!$C$3:$C$10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axId val="39688370"/>
        <c:axId val="21651011"/>
      </c:barChart>
      <c:catAx>
        <c:axId val="39688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651011"/>
        <c:crosses val="autoZero"/>
        <c:auto val="0"/>
        <c:lblOffset val="100"/>
        <c:noMultiLvlLbl val="0"/>
      </c:catAx>
      <c:valAx>
        <c:axId val="21651011"/>
        <c:scaling>
          <c:orientation val="minMax"/>
          <c:max val="700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6883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275"/>
          <c:y val="0.92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Area Urbanistica, Ambiente e Mobilità</a:t>
            </a:r>
          </a:p>
        </c:rich>
      </c:tx>
      <c:layout>
        <c:manualLayout>
          <c:xMode val="factor"/>
          <c:yMode val="factor"/>
          <c:x val="0.01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08775"/>
          <c:w val="0.95575"/>
          <c:h val="0.816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'AREA Urbanistica, amb, mob'!$B$2</c:f>
              <c:strCache>
                <c:ptCount val="1"/>
                <c:pt idx="0">
                  <c:v>Consumi specifici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'AREA Urbanistica, amb, mob'!$A$3:$A$10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'AREA Urbanistica, amb, mob'!$B$3:$B$10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0"/>
          <c:order val="1"/>
          <c:tx>
            <c:strRef>
              <c:f>'AREA Urbanistica, amb, mob'!$C$2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'AREA Urbanistica, amb, mob'!$A$3:$A$10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'AREA Urbanistica, amb, mob'!$C$3:$C$10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axId val="17435304"/>
        <c:axId val="22700009"/>
      </c:barChart>
      <c:catAx>
        <c:axId val="17435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700009"/>
        <c:crosses val="autoZero"/>
        <c:auto val="0"/>
        <c:lblOffset val="100"/>
        <c:noMultiLvlLbl val="0"/>
      </c:catAx>
      <c:valAx>
        <c:axId val="22700009"/>
        <c:scaling>
          <c:orientation val="minMax"/>
          <c:max val="2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435304"/>
        <c:crossesAt val="1"/>
        <c:crossBetween val="between"/>
        <c:dispUnits/>
        <c:majorUnit val="5000"/>
        <c:minorUnit val="250"/>
      </c:valAx>
      <c:spPr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175"/>
          <c:y val="0.90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'AREA Urbanistica, amb, mob'!$B$11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 Urbanistica, amb, mob'!$A$12:$A$19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'AREA Urbanistica, amb, mob'!$B$12:$B$19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'AREA Urbanistica, amb, mob'!$C$11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 Urbanistica, amb, mob'!$A$12:$A$19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'AREA Urbanistica, amb, mob'!$C$12:$C$19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2973490"/>
        <c:axId val="26761411"/>
      </c:lineChart>
      <c:catAx>
        <c:axId val="2973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761411"/>
        <c:crossesAt val="100"/>
        <c:auto val="1"/>
        <c:lblOffset val="100"/>
        <c:noMultiLvlLbl val="0"/>
      </c:catAx>
      <c:valAx>
        <c:axId val="26761411"/>
        <c:scaling>
          <c:orientation val="minMax"/>
          <c:max val="14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73490"/>
        <c:crossesAt val="1"/>
        <c:crossBetween val="between"/>
        <c:dispUnits/>
        <c:majorUnit val="1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Servizi demografici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089"/>
          <c:w val="0.94875"/>
          <c:h val="0.872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DEMOGRAFICI!$B$2</c:f>
              <c:strCache>
                <c:ptCount val="1"/>
                <c:pt idx="0">
                  <c:v>Consumi specifici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3300"/>
              </a:solidFill>
            </c:spPr>
          </c:dPt>
          <c:dPt>
            <c:idx val="1"/>
            <c:invertIfNegative val="0"/>
            <c:spPr>
              <a:solidFill>
                <a:srgbClr val="993300"/>
              </a:solidFill>
            </c:spPr>
          </c:dPt>
          <c:dPt>
            <c:idx val="2"/>
            <c:invertIfNegative val="0"/>
            <c:spPr>
              <a:solidFill>
                <a:srgbClr val="993300"/>
              </a:solidFill>
            </c:spPr>
          </c:dPt>
          <c:dPt>
            <c:idx val="3"/>
            <c:invertIfNegative val="0"/>
            <c:spPr>
              <a:solidFill>
                <a:srgbClr val="9933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DEMOGRAFICI!$A$3:$A$10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DEMOGRAFICI!$B$3:$B$10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axId val="39526108"/>
        <c:axId val="20190653"/>
      </c:barChart>
      <c:catAx>
        <c:axId val="39526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190653"/>
        <c:crosses val="autoZero"/>
        <c:auto val="0"/>
        <c:lblOffset val="100"/>
        <c:noMultiLvlLbl val="0"/>
      </c:catAx>
      <c:valAx>
        <c:axId val="20190653"/>
        <c:scaling>
          <c:orientation val="minMax"/>
          <c:max val="55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526108"/>
        <c:crossesAt val="1"/>
        <c:crossBetween val="between"/>
        <c:dispUnits/>
        <c:majorUnit val="50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inflazione/consumi specifici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DEMOGRAFICI!$B$11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DEMOGRAFICI!$A$12:$A$19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DEMOGRAFICI!$B$12:$B$19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DEMOGRAFICI!$C$11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DEMOGRAFICI!$A$12:$A$19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DEMOGRAFICI!$C$12:$C$19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47498150"/>
        <c:axId val="24830167"/>
      </c:lineChart>
      <c:catAx>
        <c:axId val="47498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830167"/>
        <c:crossesAt val="50"/>
        <c:auto val="1"/>
        <c:lblOffset val="100"/>
        <c:noMultiLvlLbl val="0"/>
      </c:catAx>
      <c:valAx>
        <c:axId val="24830167"/>
        <c:scaling>
          <c:orientation val="minMax"/>
          <c:max val="150"/>
          <c:min val="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498150"/>
        <c:crossesAt val="1"/>
        <c:crossBetween val="between"/>
        <c:dispUnits/>
        <c:majorUnit val="25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Area Comunicazione e Rapporti con la cittadinanza</a:t>
            </a:r>
          </a:p>
        </c:rich>
      </c:tx>
      <c:layout>
        <c:manualLayout>
          <c:xMode val="factor"/>
          <c:yMode val="factor"/>
          <c:x val="0.0132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455"/>
          <c:w val="0.9555"/>
          <c:h val="0.790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'AREA COM. E RAP. CON CIT'!$B$2</c:f>
              <c:strCache>
                <c:ptCount val="1"/>
                <c:pt idx="0">
                  <c:v>Consumi specifici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'AREA COM. E RAP. CON CIT'!$A$3:$A$10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'AREA COM. E RAP. CON CIT'!$B$3:$B$10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0"/>
          <c:order val="1"/>
          <c:tx>
            <c:strRef>
              <c:f>'AREA COM. E RAP. CON CIT'!$C$2</c:f>
              <c:strCache>
                <c:ptCount val="1"/>
                <c:pt idx="0">
                  <c:v>Consumi specifici finalizzati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'AREA COM. E RAP. CON CIT'!$A$3:$A$10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'AREA COM. E RAP. CON CIT'!$C$3:$C$10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axId val="22144912"/>
        <c:axId val="65086481"/>
      </c:barChart>
      <c:catAx>
        <c:axId val="22144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086481"/>
        <c:crosses val="autoZero"/>
        <c:auto val="0"/>
        <c:lblOffset val="100"/>
        <c:noMultiLvlLbl val="0"/>
      </c:catAx>
      <c:valAx>
        <c:axId val="65086481"/>
        <c:scaling>
          <c:orientation val="minMax"/>
          <c:max val="2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22144912"/>
        <c:crossesAt val="1"/>
        <c:crossBetween val="between"/>
        <c:dispUnits/>
        <c:majorUnit val="250"/>
        <c:minorUnit val="2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05"/>
          <c:y val="0.93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'AREA COM. E RAP. CON CIT'!$B$11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 COM. E RAP. CON CIT'!$A$13:$A$19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'AREA COM. E RAP. CON CIT'!$B$13:$B$19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'AREA COM. E RAP. CON CIT'!$C$11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 COM. E RAP. CON CIT'!$A$13:$A$19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'AREA COM. E RAP. CON CIT'!$C$13:$C$19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48907418"/>
        <c:axId val="37513579"/>
      </c:lineChart>
      <c:catAx>
        <c:axId val="48907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513579"/>
        <c:crossesAt val="80"/>
        <c:auto val="1"/>
        <c:lblOffset val="100"/>
        <c:noMultiLvlLbl val="0"/>
      </c:catAx>
      <c:valAx>
        <c:axId val="37513579"/>
        <c:scaling>
          <c:orientation val="minMax"/>
          <c:max val="130"/>
          <c:min val="8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907418"/>
        <c:crossesAt val="1"/>
        <c:crossBetween val="between"/>
        <c:dispUnits/>
        <c:majorUnit val="1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Totale Consumi Specifici</a:t>
            </a:r>
          </a:p>
        </c:rich>
      </c:tx>
      <c:layout>
        <c:manualLayout>
          <c:xMode val="factor"/>
          <c:yMode val="factor"/>
          <c:x val="0.0247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25"/>
          <c:w val="0.98675"/>
          <c:h val="0.84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TOTALE!$B$2</c:f>
              <c:strCache>
                <c:ptCount val="1"/>
                <c:pt idx="0">
                  <c:v>Consumi specifici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TOTALE!$A$3:$A$10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TOTALE!$B$3:$B$10</c:f>
              <c:numCache>
                <c:ptCount val="8"/>
                <c:pt idx="0">
                  <c:v>87295</c:v>
                </c:pt>
                <c:pt idx="1">
                  <c:v>105532</c:v>
                </c:pt>
                <c:pt idx="2">
                  <c:v>99214</c:v>
                </c:pt>
                <c:pt idx="3">
                  <c:v>108867</c:v>
                </c:pt>
                <c:pt idx="4">
                  <c:v>111910.12642864889</c:v>
                </c:pt>
                <c:pt idx="5">
                  <c:v>117320</c:v>
                </c:pt>
                <c:pt idx="6">
                  <c:v>121706</c:v>
                </c:pt>
                <c:pt idx="7">
                  <c:v>128283</c:v>
                </c:pt>
              </c:numCache>
            </c:numRef>
          </c:val>
        </c:ser>
        <c:ser>
          <c:idx val="0"/>
          <c:order val="1"/>
          <c:tx>
            <c:strRef>
              <c:f>TOTALE!$C$2</c:f>
              <c:strCache>
                <c:ptCount val="1"/>
                <c:pt idx="0">
                  <c:v>Consumi specifici finalizzati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TOTALE!$A$3:$A$10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TOTALE!$C$3:$C$10</c:f>
              <c:numCache>
                <c:ptCount val="8"/>
                <c:pt idx="0">
                  <c:v>5712</c:v>
                </c:pt>
                <c:pt idx="1">
                  <c:v>8376</c:v>
                </c:pt>
                <c:pt idx="2">
                  <c:v>14721</c:v>
                </c:pt>
                <c:pt idx="3">
                  <c:v>19397</c:v>
                </c:pt>
                <c:pt idx="4">
                  <c:v>15915.873571351103</c:v>
                </c:pt>
                <c:pt idx="5">
                  <c:v>21084</c:v>
                </c:pt>
                <c:pt idx="6">
                  <c:v>22419</c:v>
                </c:pt>
                <c:pt idx="7">
                  <c:v>23539</c:v>
                </c:pt>
              </c:numCache>
            </c:numRef>
          </c:val>
        </c:ser>
        <c:overlap val="100"/>
        <c:axId val="2077892"/>
        <c:axId val="18701029"/>
      </c:barChart>
      <c:catAx>
        <c:axId val="2077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701029"/>
        <c:crosses val="autoZero"/>
        <c:auto val="0"/>
        <c:lblOffset val="100"/>
        <c:noMultiLvlLbl val="0"/>
      </c:catAx>
      <c:valAx>
        <c:axId val="18701029"/>
        <c:scaling>
          <c:orientation val="minMax"/>
          <c:max val="16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77892"/>
        <c:crossesAt val="1"/>
        <c:crossBetween val="between"/>
        <c:dispUnits/>
        <c:majorUnit val="25000"/>
        <c:minorUnit val="400"/>
      </c:valAx>
      <c:spPr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725"/>
          <c:y val="0.9315"/>
          <c:w val="0.675"/>
          <c:h val="0.05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TOTALE!$B$11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TOTALE!$A$12:$A$19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TOTALE!$B$12:$B$19</c:f>
              <c:numCache>
                <c:ptCount val="8"/>
                <c:pt idx="0">
                  <c:v>100</c:v>
                </c:pt>
                <c:pt idx="1">
                  <c:v>120.89123088378486</c:v>
                </c:pt>
                <c:pt idx="2">
                  <c:v>113.65370296122343</c:v>
                </c:pt>
                <c:pt idx="3">
                  <c:v>124.71161005784981</c:v>
                </c:pt>
                <c:pt idx="4">
                  <c:v>128.1976360944486</c:v>
                </c:pt>
                <c:pt idx="5">
                  <c:v>134.39486797640186</c:v>
                </c:pt>
                <c:pt idx="6">
                  <c:v>139.41921072226359</c:v>
                </c:pt>
                <c:pt idx="7">
                  <c:v>146.95343375909275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TOTALE!$C$11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TOTALE!$A$12:$A$19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TOTALE!$C$12:$C$19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34091534"/>
        <c:axId val="38388351"/>
      </c:lineChart>
      <c:catAx>
        <c:axId val="34091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388351"/>
        <c:crossesAt val="100"/>
        <c:auto val="1"/>
        <c:lblOffset val="100"/>
        <c:noMultiLvlLbl val="0"/>
      </c:catAx>
      <c:valAx>
        <c:axId val="38388351"/>
        <c:scaling>
          <c:orientation val="minMax"/>
          <c:max val="15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091534"/>
        <c:crossesAt val="1"/>
        <c:crossBetween val="between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-0.03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555"/>
          <c:w val="0.95175"/>
          <c:h val="0.72725"/>
        </c:manualLayout>
      </c:layout>
      <c:lineChart>
        <c:grouping val="standard"/>
        <c:varyColors val="0"/>
        <c:ser>
          <c:idx val="0"/>
          <c:order val="0"/>
          <c:tx>
            <c:strRef>
              <c:f>'Ambiente e verde'!$B$11</c:f>
              <c:strCache>
                <c:ptCount val="1"/>
                <c:pt idx="0">
                  <c:v>Indice cons spec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'Ambiente e verde'!$A$12:$A$19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'Ambiente e verde'!$B$12:$B$19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'Ambiente e verde'!$C$11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'Ambiente e verde'!$A$12:$A$19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'Ambiente e verde'!$C$12:$C$19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60641372"/>
        <c:axId val="8901437"/>
      </c:lineChart>
      <c:catAx>
        <c:axId val="60641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901437"/>
        <c:crossesAt val="100"/>
        <c:auto val="1"/>
        <c:lblOffset val="100"/>
        <c:noMultiLvlLbl val="0"/>
      </c:catAx>
      <c:valAx>
        <c:axId val="8901437"/>
        <c:scaling>
          <c:orientation val="minMax"/>
          <c:max val="15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64137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Interventi e servizi per la casa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"/>
          <c:w val="0.99775"/>
          <c:h val="0.819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'Interventi per casa'!$B$2</c:f>
              <c:strCache>
                <c:ptCount val="1"/>
                <c:pt idx="0">
                  <c:v>Consumi specifici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'Interventi per casa'!$A$3:$A$10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'Interventi per casa'!$B$3:$B$10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0"/>
          <c:order val="1"/>
          <c:tx>
            <c:strRef>
              <c:f>'Interventi per casa'!$C$2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'Interventi per casa'!$A$3:$A$10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'Interventi per casa'!$C$3:$C$10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axId val="13004070"/>
        <c:axId val="49927767"/>
      </c:barChart>
      <c:catAx>
        <c:axId val="13004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927767"/>
        <c:crosses val="autoZero"/>
        <c:auto val="0"/>
        <c:lblOffset val="100"/>
        <c:noMultiLvlLbl val="0"/>
      </c:catAx>
      <c:valAx>
        <c:axId val="49927767"/>
        <c:scaling>
          <c:orientation val="minMax"/>
          <c:max val="700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0040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275"/>
          <c:y val="0.92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chart" Target="/xl/charts/chart33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Relationship Id="rId2" Type="http://schemas.openxmlformats.org/officeDocument/2006/relationships/chart" Target="/xl/charts/chart40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Relationship Id="rId2" Type="http://schemas.openxmlformats.org/officeDocument/2006/relationships/chart" Target="/xl/charts/chart4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Relationship Id="rId2" Type="http://schemas.openxmlformats.org/officeDocument/2006/relationships/chart" Target="/xl/charts/chart46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7.xml" /><Relationship Id="rId2" Type="http://schemas.openxmlformats.org/officeDocument/2006/relationships/chart" Target="/xl/charts/chart48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Relationship Id="rId2" Type="http://schemas.openxmlformats.org/officeDocument/2006/relationships/chart" Target="/xl/charts/chart50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1.xml" /><Relationship Id="rId2" Type="http://schemas.openxmlformats.org/officeDocument/2006/relationships/chart" Target="/xl/charts/chart52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3.xml" /><Relationship Id="rId2" Type="http://schemas.openxmlformats.org/officeDocument/2006/relationships/chart" Target="/xl/charts/chart5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5.xml" /><Relationship Id="rId2" Type="http://schemas.openxmlformats.org/officeDocument/2006/relationships/chart" Target="/xl/charts/chart56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7.xml" /><Relationship Id="rId2" Type="http://schemas.openxmlformats.org/officeDocument/2006/relationships/chart" Target="/xl/charts/chart58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9.xml" /><Relationship Id="rId2" Type="http://schemas.openxmlformats.org/officeDocument/2006/relationships/chart" Target="/xl/charts/chart60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1.xml" /><Relationship Id="rId2" Type="http://schemas.openxmlformats.org/officeDocument/2006/relationships/chart" Target="/xl/charts/chart62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3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4.xml" /><Relationship Id="rId2" Type="http://schemas.openxmlformats.org/officeDocument/2006/relationships/chart" Target="/xl/charts/chart65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6.xml" /><Relationship Id="rId2" Type="http://schemas.openxmlformats.org/officeDocument/2006/relationships/chart" Target="/xl/charts/chart67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8.xml" /><Relationship Id="rId2" Type="http://schemas.openxmlformats.org/officeDocument/2006/relationships/chart" Target="/xl/charts/chart69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0.xml" /><Relationship Id="rId2" Type="http://schemas.openxmlformats.org/officeDocument/2006/relationships/chart" Target="/xl/charts/chart71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2.xml" /><Relationship Id="rId2" Type="http://schemas.openxmlformats.org/officeDocument/2006/relationships/chart" Target="/xl/charts/chart7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4.xml" /><Relationship Id="rId2" Type="http://schemas.openxmlformats.org/officeDocument/2006/relationships/chart" Target="/xl/charts/chart75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6.xml" /><Relationship Id="rId2" Type="http://schemas.openxmlformats.org/officeDocument/2006/relationships/chart" Target="/xl/charts/chart7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85725</xdr:rowOff>
    </xdr:from>
    <xdr:to>
      <xdr:col>15</xdr:col>
      <xdr:colOff>314325</xdr:colOff>
      <xdr:row>17</xdr:row>
      <xdr:rowOff>57150</xdr:rowOff>
    </xdr:to>
    <xdr:graphicFrame>
      <xdr:nvGraphicFramePr>
        <xdr:cNvPr id="1" name="Chart 1"/>
        <xdr:cNvGraphicFramePr/>
      </xdr:nvGraphicFramePr>
      <xdr:xfrm>
        <a:off x="6981825" y="85725"/>
        <a:ext cx="39719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419100</xdr:colOff>
      <xdr:row>0</xdr:row>
      <xdr:rowOff>104775</xdr:rowOff>
    </xdr:from>
    <xdr:to>
      <xdr:col>22</xdr:col>
      <xdr:colOff>180975</xdr:colOff>
      <xdr:row>17</xdr:row>
      <xdr:rowOff>47625</xdr:rowOff>
    </xdr:to>
    <xdr:graphicFrame>
      <xdr:nvGraphicFramePr>
        <xdr:cNvPr id="2" name="Chart 2"/>
        <xdr:cNvGraphicFramePr/>
      </xdr:nvGraphicFramePr>
      <xdr:xfrm>
        <a:off x="11058525" y="104775"/>
        <a:ext cx="402907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0</xdr:row>
      <xdr:rowOff>47625</xdr:rowOff>
    </xdr:from>
    <xdr:to>
      <xdr:col>10</xdr:col>
      <xdr:colOff>447675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4591050" y="47625"/>
        <a:ext cx="39052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57150</xdr:colOff>
      <xdr:row>0</xdr:row>
      <xdr:rowOff>114300</xdr:rowOff>
    </xdr:from>
    <xdr:to>
      <xdr:col>17</xdr:col>
      <xdr:colOff>533400</xdr:colOff>
      <xdr:row>20</xdr:row>
      <xdr:rowOff>19050</xdr:rowOff>
    </xdr:to>
    <xdr:graphicFrame>
      <xdr:nvGraphicFramePr>
        <xdr:cNvPr id="2" name="Chart 2"/>
        <xdr:cNvGraphicFramePr/>
      </xdr:nvGraphicFramePr>
      <xdr:xfrm>
        <a:off x="8715375" y="114300"/>
        <a:ext cx="4133850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0</xdr:row>
      <xdr:rowOff>114300</xdr:rowOff>
    </xdr:from>
    <xdr:to>
      <xdr:col>11</xdr:col>
      <xdr:colOff>314325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4019550" y="114300"/>
        <a:ext cx="429577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476250</xdr:colOff>
      <xdr:row>0</xdr:row>
      <xdr:rowOff>114300</xdr:rowOff>
    </xdr:from>
    <xdr:to>
      <xdr:col>18</xdr:col>
      <xdr:colOff>400050</xdr:colOff>
      <xdr:row>22</xdr:row>
      <xdr:rowOff>19050</xdr:rowOff>
    </xdr:to>
    <xdr:graphicFrame>
      <xdr:nvGraphicFramePr>
        <xdr:cNvPr id="2" name="Chart 2"/>
        <xdr:cNvGraphicFramePr/>
      </xdr:nvGraphicFramePr>
      <xdr:xfrm>
        <a:off x="8477250" y="114300"/>
        <a:ext cx="4191000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1190625</xdr:colOff>
      <xdr:row>0</xdr:row>
      <xdr:rowOff>114300</xdr:rowOff>
    </xdr:from>
    <xdr:to>
      <xdr:col>10</xdr:col>
      <xdr:colOff>219075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4314825" y="114300"/>
        <a:ext cx="43053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361950</xdr:colOff>
      <xdr:row>0</xdr:row>
      <xdr:rowOff>123825</xdr:rowOff>
    </xdr:from>
    <xdr:to>
      <xdr:col>17</xdr:col>
      <xdr:colOff>200025</xdr:colOff>
      <xdr:row>21</xdr:row>
      <xdr:rowOff>123825</xdr:rowOff>
    </xdr:to>
    <xdr:graphicFrame>
      <xdr:nvGraphicFramePr>
        <xdr:cNvPr id="2" name="Chart 2"/>
        <xdr:cNvGraphicFramePr/>
      </xdr:nvGraphicFramePr>
      <xdr:xfrm>
        <a:off x="8763000" y="123825"/>
        <a:ext cx="4105275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11</xdr:row>
      <xdr:rowOff>47625</xdr:rowOff>
    </xdr:from>
    <xdr:to>
      <xdr:col>7</xdr:col>
      <xdr:colOff>190500</xdr:colOff>
      <xdr:row>29</xdr:row>
      <xdr:rowOff>104775</xdr:rowOff>
    </xdr:to>
    <xdr:graphicFrame>
      <xdr:nvGraphicFramePr>
        <xdr:cNvPr id="1" name="Chart 1"/>
        <xdr:cNvGraphicFramePr/>
      </xdr:nvGraphicFramePr>
      <xdr:xfrm>
        <a:off x="1047750" y="1828800"/>
        <a:ext cx="470535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600075</xdr:colOff>
      <xdr:row>0</xdr:row>
      <xdr:rowOff>104775</xdr:rowOff>
    </xdr:from>
    <xdr:to>
      <xdr:col>14</xdr:col>
      <xdr:colOff>76200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6162675" y="104775"/>
        <a:ext cx="374332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152400</xdr:colOff>
      <xdr:row>0</xdr:row>
      <xdr:rowOff>114300</xdr:rowOff>
    </xdr:from>
    <xdr:to>
      <xdr:col>20</xdr:col>
      <xdr:colOff>457200</xdr:colOff>
      <xdr:row>20</xdr:row>
      <xdr:rowOff>0</xdr:rowOff>
    </xdr:to>
    <xdr:graphicFrame>
      <xdr:nvGraphicFramePr>
        <xdr:cNvPr id="2" name="Chart 2"/>
        <xdr:cNvGraphicFramePr/>
      </xdr:nvGraphicFramePr>
      <xdr:xfrm>
        <a:off x="9982200" y="114300"/>
        <a:ext cx="3962400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19</xdr:row>
      <xdr:rowOff>85725</xdr:rowOff>
    </xdr:from>
    <xdr:to>
      <xdr:col>4</xdr:col>
      <xdr:colOff>295275</xdr:colOff>
      <xdr:row>36</xdr:row>
      <xdr:rowOff>95250</xdr:rowOff>
    </xdr:to>
    <xdr:graphicFrame>
      <xdr:nvGraphicFramePr>
        <xdr:cNvPr id="1" name="Chart 1"/>
        <xdr:cNvGraphicFramePr/>
      </xdr:nvGraphicFramePr>
      <xdr:xfrm>
        <a:off x="219075" y="3162300"/>
        <a:ext cx="38100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552450</xdr:colOff>
      <xdr:row>17</xdr:row>
      <xdr:rowOff>28575</xdr:rowOff>
    </xdr:from>
    <xdr:to>
      <xdr:col>11</xdr:col>
      <xdr:colOff>171450</xdr:colOff>
      <xdr:row>34</xdr:row>
      <xdr:rowOff>9525</xdr:rowOff>
    </xdr:to>
    <xdr:graphicFrame>
      <xdr:nvGraphicFramePr>
        <xdr:cNvPr id="2" name="Chart 2"/>
        <xdr:cNvGraphicFramePr/>
      </xdr:nvGraphicFramePr>
      <xdr:xfrm>
        <a:off x="4286250" y="2781300"/>
        <a:ext cx="388620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0</xdr:row>
      <xdr:rowOff>95250</xdr:rowOff>
    </xdr:from>
    <xdr:to>
      <xdr:col>13</xdr:col>
      <xdr:colOff>161925</xdr:colOff>
      <xdr:row>19</xdr:row>
      <xdr:rowOff>57150</xdr:rowOff>
    </xdr:to>
    <xdr:graphicFrame>
      <xdr:nvGraphicFramePr>
        <xdr:cNvPr id="1" name="Chart 1"/>
        <xdr:cNvGraphicFramePr/>
      </xdr:nvGraphicFramePr>
      <xdr:xfrm>
        <a:off x="5581650" y="95250"/>
        <a:ext cx="38004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276225</xdr:colOff>
      <xdr:row>0</xdr:row>
      <xdr:rowOff>95250</xdr:rowOff>
    </xdr:from>
    <xdr:to>
      <xdr:col>19</xdr:col>
      <xdr:colOff>514350</xdr:colOff>
      <xdr:row>19</xdr:row>
      <xdr:rowOff>76200</xdr:rowOff>
    </xdr:to>
    <xdr:graphicFrame>
      <xdr:nvGraphicFramePr>
        <xdr:cNvPr id="2" name="Chart 2"/>
        <xdr:cNvGraphicFramePr/>
      </xdr:nvGraphicFramePr>
      <xdr:xfrm>
        <a:off x="9496425" y="95250"/>
        <a:ext cx="3895725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0</xdr:row>
      <xdr:rowOff>85725</xdr:rowOff>
    </xdr:from>
    <xdr:to>
      <xdr:col>13</xdr:col>
      <xdr:colOff>152400</xdr:colOff>
      <xdr:row>19</xdr:row>
      <xdr:rowOff>47625</xdr:rowOff>
    </xdr:to>
    <xdr:graphicFrame>
      <xdr:nvGraphicFramePr>
        <xdr:cNvPr id="1" name="Chart 1"/>
        <xdr:cNvGraphicFramePr/>
      </xdr:nvGraphicFramePr>
      <xdr:xfrm>
        <a:off x="5667375" y="85725"/>
        <a:ext cx="38004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314325</xdr:colOff>
      <xdr:row>0</xdr:row>
      <xdr:rowOff>85725</xdr:rowOff>
    </xdr:from>
    <xdr:to>
      <xdr:col>19</xdr:col>
      <xdr:colOff>542925</xdr:colOff>
      <xdr:row>19</xdr:row>
      <xdr:rowOff>57150</xdr:rowOff>
    </xdr:to>
    <xdr:graphicFrame>
      <xdr:nvGraphicFramePr>
        <xdr:cNvPr id="2" name="Chart 2"/>
        <xdr:cNvGraphicFramePr/>
      </xdr:nvGraphicFramePr>
      <xdr:xfrm>
        <a:off x="9629775" y="85725"/>
        <a:ext cx="388620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114300</xdr:rowOff>
    </xdr:from>
    <xdr:to>
      <xdr:col>12</xdr:col>
      <xdr:colOff>190500</xdr:colOff>
      <xdr:row>21</xdr:row>
      <xdr:rowOff>76200</xdr:rowOff>
    </xdr:to>
    <xdr:graphicFrame>
      <xdr:nvGraphicFramePr>
        <xdr:cNvPr id="1" name="Chart 1"/>
        <xdr:cNvGraphicFramePr/>
      </xdr:nvGraphicFramePr>
      <xdr:xfrm>
        <a:off x="5000625" y="114300"/>
        <a:ext cx="38004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276225</xdr:colOff>
      <xdr:row>0</xdr:row>
      <xdr:rowOff>133350</xdr:rowOff>
    </xdr:from>
    <xdr:to>
      <xdr:col>19</xdr:col>
      <xdr:colOff>57150</xdr:colOff>
      <xdr:row>21</xdr:row>
      <xdr:rowOff>57150</xdr:rowOff>
    </xdr:to>
    <xdr:graphicFrame>
      <xdr:nvGraphicFramePr>
        <xdr:cNvPr id="2" name="Chart 2"/>
        <xdr:cNvGraphicFramePr/>
      </xdr:nvGraphicFramePr>
      <xdr:xfrm>
        <a:off x="8886825" y="133350"/>
        <a:ext cx="4048125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2</xdr:row>
      <xdr:rowOff>152400</xdr:rowOff>
    </xdr:from>
    <xdr:to>
      <xdr:col>10</xdr:col>
      <xdr:colOff>161925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3752850" y="476250"/>
        <a:ext cx="38004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0</xdr:rowOff>
    </xdr:from>
    <xdr:to>
      <xdr:col>10</xdr:col>
      <xdr:colOff>552450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3962400" y="485775"/>
        <a:ext cx="418147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2</xdr:row>
      <xdr:rowOff>28575</xdr:rowOff>
    </xdr:from>
    <xdr:to>
      <xdr:col>17</xdr:col>
      <xdr:colOff>247650</xdr:colOff>
      <xdr:row>20</xdr:row>
      <xdr:rowOff>142875</xdr:rowOff>
    </xdr:to>
    <xdr:graphicFrame>
      <xdr:nvGraphicFramePr>
        <xdr:cNvPr id="2" name="Chart 2"/>
        <xdr:cNvGraphicFramePr/>
      </xdr:nvGraphicFramePr>
      <xdr:xfrm>
        <a:off x="8201025" y="514350"/>
        <a:ext cx="3905250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2</xdr:row>
      <xdr:rowOff>152400</xdr:rowOff>
    </xdr:from>
    <xdr:to>
      <xdr:col>10</xdr:col>
      <xdr:colOff>161925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3752850" y="476250"/>
        <a:ext cx="38004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2</xdr:row>
      <xdr:rowOff>152400</xdr:rowOff>
    </xdr:from>
    <xdr:to>
      <xdr:col>10</xdr:col>
      <xdr:colOff>161925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3752850" y="476250"/>
        <a:ext cx="38004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66675</xdr:rowOff>
    </xdr:from>
    <xdr:to>
      <xdr:col>12</xdr:col>
      <xdr:colOff>323850</xdr:colOff>
      <xdr:row>21</xdr:row>
      <xdr:rowOff>133350</xdr:rowOff>
    </xdr:to>
    <xdr:graphicFrame>
      <xdr:nvGraphicFramePr>
        <xdr:cNvPr id="1" name="Chart 1"/>
        <xdr:cNvGraphicFramePr/>
      </xdr:nvGraphicFramePr>
      <xdr:xfrm>
        <a:off x="4953000" y="66675"/>
        <a:ext cx="398145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419100</xdr:colOff>
      <xdr:row>0</xdr:row>
      <xdr:rowOff>85725</xdr:rowOff>
    </xdr:from>
    <xdr:to>
      <xdr:col>18</xdr:col>
      <xdr:colOff>552450</xdr:colOff>
      <xdr:row>22</xdr:row>
      <xdr:rowOff>0</xdr:rowOff>
    </xdr:to>
    <xdr:graphicFrame>
      <xdr:nvGraphicFramePr>
        <xdr:cNvPr id="2" name="Chart 2"/>
        <xdr:cNvGraphicFramePr/>
      </xdr:nvGraphicFramePr>
      <xdr:xfrm>
        <a:off x="9029700" y="85725"/>
        <a:ext cx="3790950" cy="3476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0</xdr:row>
      <xdr:rowOff>66675</xdr:rowOff>
    </xdr:from>
    <xdr:to>
      <xdr:col>12</xdr:col>
      <xdr:colOff>209550</xdr:colOff>
      <xdr:row>21</xdr:row>
      <xdr:rowOff>28575</xdr:rowOff>
    </xdr:to>
    <xdr:graphicFrame>
      <xdr:nvGraphicFramePr>
        <xdr:cNvPr id="1" name="Chart 1"/>
        <xdr:cNvGraphicFramePr/>
      </xdr:nvGraphicFramePr>
      <xdr:xfrm>
        <a:off x="5019675" y="66675"/>
        <a:ext cx="38004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304800</xdr:colOff>
      <xdr:row>0</xdr:row>
      <xdr:rowOff>76200</xdr:rowOff>
    </xdr:from>
    <xdr:to>
      <xdr:col>18</xdr:col>
      <xdr:colOff>457200</xdr:colOff>
      <xdr:row>21</xdr:row>
      <xdr:rowOff>19050</xdr:rowOff>
    </xdr:to>
    <xdr:graphicFrame>
      <xdr:nvGraphicFramePr>
        <xdr:cNvPr id="2" name="Chart 2"/>
        <xdr:cNvGraphicFramePr/>
      </xdr:nvGraphicFramePr>
      <xdr:xfrm>
        <a:off x="8915400" y="76200"/>
        <a:ext cx="3810000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104775</xdr:rowOff>
    </xdr:from>
    <xdr:to>
      <xdr:col>12</xdr:col>
      <xdr:colOff>142875</xdr:colOff>
      <xdr:row>21</xdr:row>
      <xdr:rowOff>66675</xdr:rowOff>
    </xdr:to>
    <xdr:graphicFrame>
      <xdr:nvGraphicFramePr>
        <xdr:cNvPr id="1" name="Chart 1"/>
        <xdr:cNvGraphicFramePr/>
      </xdr:nvGraphicFramePr>
      <xdr:xfrm>
        <a:off x="4953000" y="104775"/>
        <a:ext cx="38004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200025</xdr:colOff>
      <xdr:row>0</xdr:row>
      <xdr:rowOff>123825</xdr:rowOff>
    </xdr:from>
    <xdr:to>
      <xdr:col>18</xdr:col>
      <xdr:colOff>466725</xdr:colOff>
      <xdr:row>21</xdr:row>
      <xdr:rowOff>66675</xdr:rowOff>
    </xdr:to>
    <xdr:graphicFrame>
      <xdr:nvGraphicFramePr>
        <xdr:cNvPr id="2" name="Chart 2"/>
        <xdr:cNvGraphicFramePr/>
      </xdr:nvGraphicFramePr>
      <xdr:xfrm>
        <a:off x="8810625" y="123825"/>
        <a:ext cx="3924300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85725</xdr:rowOff>
    </xdr:from>
    <xdr:to>
      <xdr:col>12</xdr:col>
      <xdr:colOff>142875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4953000" y="409575"/>
        <a:ext cx="38004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200025</xdr:colOff>
      <xdr:row>2</xdr:row>
      <xdr:rowOff>104775</xdr:rowOff>
    </xdr:from>
    <xdr:to>
      <xdr:col>18</xdr:col>
      <xdr:colOff>400050</xdr:colOff>
      <xdr:row>23</xdr:row>
      <xdr:rowOff>47625</xdr:rowOff>
    </xdr:to>
    <xdr:graphicFrame>
      <xdr:nvGraphicFramePr>
        <xdr:cNvPr id="2" name="Chart 2"/>
        <xdr:cNvGraphicFramePr/>
      </xdr:nvGraphicFramePr>
      <xdr:xfrm>
        <a:off x="8810625" y="428625"/>
        <a:ext cx="3857625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95250</xdr:rowOff>
    </xdr:from>
    <xdr:to>
      <xdr:col>12</xdr:col>
      <xdr:colOff>142875</xdr:colOff>
      <xdr:row>21</xdr:row>
      <xdr:rowOff>57150</xdr:rowOff>
    </xdr:to>
    <xdr:graphicFrame>
      <xdr:nvGraphicFramePr>
        <xdr:cNvPr id="1" name="Chart 1"/>
        <xdr:cNvGraphicFramePr/>
      </xdr:nvGraphicFramePr>
      <xdr:xfrm>
        <a:off x="4953000" y="95250"/>
        <a:ext cx="38004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238125</xdr:colOff>
      <xdr:row>0</xdr:row>
      <xdr:rowOff>85725</xdr:rowOff>
    </xdr:from>
    <xdr:to>
      <xdr:col>19</xdr:col>
      <xdr:colOff>180975</xdr:colOff>
      <xdr:row>21</xdr:row>
      <xdr:rowOff>57150</xdr:rowOff>
    </xdr:to>
    <xdr:graphicFrame>
      <xdr:nvGraphicFramePr>
        <xdr:cNvPr id="2" name="Chart 2"/>
        <xdr:cNvGraphicFramePr/>
      </xdr:nvGraphicFramePr>
      <xdr:xfrm>
        <a:off x="8848725" y="85725"/>
        <a:ext cx="4210050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95250</xdr:rowOff>
    </xdr:from>
    <xdr:to>
      <xdr:col>12</xdr:col>
      <xdr:colOff>142875</xdr:colOff>
      <xdr:row>21</xdr:row>
      <xdr:rowOff>57150</xdr:rowOff>
    </xdr:to>
    <xdr:graphicFrame>
      <xdr:nvGraphicFramePr>
        <xdr:cNvPr id="1" name="Chart 1"/>
        <xdr:cNvGraphicFramePr/>
      </xdr:nvGraphicFramePr>
      <xdr:xfrm>
        <a:off x="4953000" y="95250"/>
        <a:ext cx="38004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238125</xdr:colOff>
      <xdr:row>0</xdr:row>
      <xdr:rowOff>85725</xdr:rowOff>
    </xdr:from>
    <xdr:to>
      <xdr:col>19</xdr:col>
      <xdr:colOff>180975</xdr:colOff>
      <xdr:row>21</xdr:row>
      <xdr:rowOff>57150</xdr:rowOff>
    </xdr:to>
    <xdr:graphicFrame>
      <xdr:nvGraphicFramePr>
        <xdr:cNvPr id="2" name="Chart 2"/>
        <xdr:cNvGraphicFramePr/>
      </xdr:nvGraphicFramePr>
      <xdr:xfrm>
        <a:off x="8848725" y="85725"/>
        <a:ext cx="4210050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95250</xdr:rowOff>
    </xdr:from>
    <xdr:to>
      <xdr:col>12</xdr:col>
      <xdr:colOff>142875</xdr:colOff>
      <xdr:row>21</xdr:row>
      <xdr:rowOff>57150</xdr:rowOff>
    </xdr:to>
    <xdr:graphicFrame>
      <xdr:nvGraphicFramePr>
        <xdr:cNvPr id="1" name="Chart 1"/>
        <xdr:cNvGraphicFramePr/>
      </xdr:nvGraphicFramePr>
      <xdr:xfrm>
        <a:off x="4953000" y="95250"/>
        <a:ext cx="38004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238125</xdr:colOff>
      <xdr:row>0</xdr:row>
      <xdr:rowOff>85725</xdr:rowOff>
    </xdr:from>
    <xdr:to>
      <xdr:col>19</xdr:col>
      <xdr:colOff>180975</xdr:colOff>
      <xdr:row>21</xdr:row>
      <xdr:rowOff>57150</xdr:rowOff>
    </xdr:to>
    <xdr:graphicFrame>
      <xdr:nvGraphicFramePr>
        <xdr:cNvPr id="2" name="Chart 2"/>
        <xdr:cNvGraphicFramePr/>
      </xdr:nvGraphicFramePr>
      <xdr:xfrm>
        <a:off x="8848725" y="85725"/>
        <a:ext cx="4210050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76200</xdr:rowOff>
    </xdr:from>
    <xdr:to>
      <xdr:col>12</xdr:col>
      <xdr:colOff>161925</xdr:colOff>
      <xdr:row>21</xdr:row>
      <xdr:rowOff>38100</xdr:rowOff>
    </xdr:to>
    <xdr:graphicFrame>
      <xdr:nvGraphicFramePr>
        <xdr:cNvPr id="1" name="Chart 1"/>
        <xdr:cNvGraphicFramePr/>
      </xdr:nvGraphicFramePr>
      <xdr:xfrm>
        <a:off x="4972050" y="76200"/>
        <a:ext cx="38004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247650</xdr:colOff>
      <xdr:row>0</xdr:row>
      <xdr:rowOff>95250</xdr:rowOff>
    </xdr:from>
    <xdr:to>
      <xdr:col>18</xdr:col>
      <xdr:colOff>200025</xdr:colOff>
      <xdr:row>21</xdr:row>
      <xdr:rowOff>9525</xdr:rowOff>
    </xdr:to>
    <xdr:graphicFrame>
      <xdr:nvGraphicFramePr>
        <xdr:cNvPr id="2" name="Chart 2"/>
        <xdr:cNvGraphicFramePr/>
      </xdr:nvGraphicFramePr>
      <xdr:xfrm>
        <a:off x="8858250" y="95250"/>
        <a:ext cx="3609975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2</xdr:row>
      <xdr:rowOff>47625</xdr:rowOff>
    </xdr:from>
    <xdr:to>
      <xdr:col>20</xdr:col>
      <xdr:colOff>190500</xdr:colOff>
      <xdr:row>25</xdr:row>
      <xdr:rowOff>38100</xdr:rowOff>
    </xdr:to>
    <xdr:graphicFrame>
      <xdr:nvGraphicFramePr>
        <xdr:cNvPr id="1" name="Chart 2"/>
        <xdr:cNvGraphicFramePr/>
      </xdr:nvGraphicFramePr>
      <xdr:xfrm>
        <a:off x="9248775" y="371475"/>
        <a:ext cx="504825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1</xdr:row>
      <xdr:rowOff>9525</xdr:rowOff>
    </xdr:from>
    <xdr:to>
      <xdr:col>11</xdr:col>
      <xdr:colOff>571500</xdr:colOff>
      <xdr:row>24</xdr:row>
      <xdr:rowOff>0</xdr:rowOff>
    </xdr:to>
    <xdr:graphicFrame>
      <xdr:nvGraphicFramePr>
        <xdr:cNvPr id="2" name="Chart 4"/>
        <xdr:cNvGraphicFramePr/>
      </xdr:nvGraphicFramePr>
      <xdr:xfrm>
        <a:off x="4381500" y="171450"/>
        <a:ext cx="4810125" cy="371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66675</xdr:rowOff>
    </xdr:from>
    <xdr:to>
      <xdr:col>12</xdr:col>
      <xdr:colOff>142875</xdr:colOff>
      <xdr:row>21</xdr:row>
      <xdr:rowOff>28575</xdr:rowOff>
    </xdr:to>
    <xdr:graphicFrame>
      <xdr:nvGraphicFramePr>
        <xdr:cNvPr id="1" name="Chart 1"/>
        <xdr:cNvGraphicFramePr/>
      </xdr:nvGraphicFramePr>
      <xdr:xfrm>
        <a:off x="4953000" y="66675"/>
        <a:ext cx="38004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219075</xdr:colOff>
      <xdr:row>0</xdr:row>
      <xdr:rowOff>85725</xdr:rowOff>
    </xdr:from>
    <xdr:to>
      <xdr:col>18</xdr:col>
      <xdr:colOff>285750</xdr:colOff>
      <xdr:row>21</xdr:row>
      <xdr:rowOff>19050</xdr:rowOff>
    </xdr:to>
    <xdr:graphicFrame>
      <xdr:nvGraphicFramePr>
        <xdr:cNvPr id="2" name="Chart 2"/>
        <xdr:cNvGraphicFramePr/>
      </xdr:nvGraphicFramePr>
      <xdr:xfrm>
        <a:off x="8829675" y="85725"/>
        <a:ext cx="3724275" cy="3333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114300</xdr:rowOff>
    </xdr:from>
    <xdr:to>
      <xdr:col>13</xdr:col>
      <xdr:colOff>95250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4962525" y="114300"/>
        <a:ext cx="435292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219075</xdr:colOff>
      <xdr:row>0</xdr:row>
      <xdr:rowOff>142875</xdr:rowOff>
    </xdr:from>
    <xdr:to>
      <xdr:col>19</xdr:col>
      <xdr:colOff>361950</xdr:colOff>
      <xdr:row>21</xdr:row>
      <xdr:rowOff>9525</xdr:rowOff>
    </xdr:to>
    <xdr:graphicFrame>
      <xdr:nvGraphicFramePr>
        <xdr:cNvPr id="2" name="Chart 2"/>
        <xdr:cNvGraphicFramePr/>
      </xdr:nvGraphicFramePr>
      <xdr:xfrm>
        <a:off x="9439275" y="142875"/>
        <a:ext cx="3800475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95250</xdr:rowOff>
    </xdr:from>
    <xdr:to>
      <xdr:col>12</xdr:col>
      <xdr:colOff>161925</xdr:colOff>
      <xdr:row>21</xdr:row>
      <xdr:rowOff>57150</xdr:rowOff>
    </xdr:to>
    <xdr:graphicFrame>
      <xdr:nvGraphicFramePr>
        <xdr:cNvPr id="1" name="Chart 1"/>
        <xdr:cNvGraphicFramePr/>
      </xdr:nvGraphicFramePr>
      <xdr:xfrm>
        <a:off x="4972050" y="95250"/>
        <a:ext cx="38004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247650</xdr:colOff>
      <xdr:row>0</xdr:row>
      <xdr:rowOff>114300</xdr:rowOff>
    </xdr:from>
    <xdr:to>
      <xdr:col>18</xdr:col>
      <xdr:colOff>304800</xdr:colOff>
      <xdr:row>21</xdr:row>
      <xdr:rowOff>38100</xdr:rowOff>
    </xdr:to>
    <xdr:graphicFrame>
      <xdr:nvGraphicFramePr>
        <xdr:cNvPr id="2" name="Chart 2"/>
        <xdr:cNvGraphicFramePr/>
      </xdr:nvGraphicFramePr>
      <xdr:xfrm>
        <a:off x="8858250" y="114300"/>
        <a:ext cx="37147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85725</xdr:rowOff>
    </xdr:from>
    <xdr:to>
      <xdr:col>12</xdr:col>
      <xdr:colOff>161925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4972050" y="85725"/>
        <a:ext cx="38004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285750</xdr:colOff>
      <xdr:row>0</xdr:row>
      <xdr:rowOff>133350</xdr:rowOff>
    </xdr:from>
    <xdr:to>
      <xdr:col>18</xdr:col>
      <xdr:colOff>419100</xdr:colOff>
      <xdr:row>21</xdr:row>
      <xdr:rowOff>76200</xdr:rowOff>
    </xdr:to>
    <xdr:graphicFrame>
      <xdr:nvGraphicFramePr>
        <xdr:cNvPr id="2" name="Chart 2"/>
        <xdr:cNvGraphicFramePr/>
      </xdr:nvGraphicFramePr>
      <xdr:xfrm>
        <a:off x="8896350" y="133350"/>
        <a:ext cx="3790950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11</xdr:row>
      <xdr:rowOff>38100</xdr:rowOff>
    </xdr:from>
    <xdr:to>
      <xdr:col>4</xdr:col>
      <xdr:colOff>323850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257175" y="1819275"/>
        <a:ext cx="38004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600075</xdr:colOff>
      <xdr:row>0</xdr:row>
      <xdr:rowOff>95250</xdr:rowOff>
    </xdr:from>
    <xdr:to>
      <xdr:col>12</xdr:col>
      <xdr:colOff>361950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4943475" y="95250"/>
        <a:ext cx="40290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476250</xdr:colOff>
      <xdr:row>0</xdr:row>
      <xdr:rowOff>133350</xdr:rowOff>
    </xdr:from>
    <xdr:to>
      <xdr:col>19</xdr:col>
      <xdr:colOff>28575</xdr:colOff>
      <xdr:row>21</xdr:row>
      <xdr:rowOff>114300</xdr:rowOff>
    </xdr:to>
    <xdr:graphicFrame>
      <xdr:nvGraphicFramePr>
        <xdr:cNvPr id="2" name="Chart 2"/>
        <xdr:cNvGraphicFramePr/>
      </xdr:nvGraphicFramePr>
      <xdr:xfrm>
        <a:off x="9086850" y="133350"/>
        <a:ext cx="3819525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57150</xdr:rowOff>
    </xdr:from>
    <xdr:to>
      <xdr:col>12</xdr:col>
      <xdr:colOff>161925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4972050" y="57150"/>
        <a:ext cx="38004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238125</xdr:colOff>
      <xdr:row>0</xdr:row>
      <xdr:rowOff>76200</xdr:rowOff>
    </xdr:from>
    <xdr:to>
      <xdr:col>19</xdr:col>
      <xdr:colOff>104775</xdr:colOff>
      <xdr:row>21</xdr:row>
      <xdr:rowOff>9525</xdr:rowOff>
    </xdr:to>
    <xdr:graphicFrame>
      <xdr:nvGraphicFramePr>
        <xdr:cNvPr id="2" name="Chart 2"/>
        <xdr:cNvGraphicFramePr/>
      </xdr:nvGraphicFramePr>
      <xdr:xfrm>
        <a:off x="8848725" y="76200"/>
        <a:ext cx="4133850" cy="3333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85725</xdr:rowOff>
    </xdr:from>
    <xdr:to>
      <xdr:col>13</xdr:col>
      <xdr:colOff>371475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5562600" y="85725"/>
        <a:ext cx="40290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447675</xdr:colOff>
      <xdr:row>0</xdr:row>
      <xdr:rowOff>104775</xdr:rowOff>
    </xdr:from>
    <xdr:to>
      <xdr:col>19</xdr:col>
      <xdr:colOff>495300</xdr:colOff>
      <xdr:row>21</xdr:row>
      <xdr:rowOff>152400</xdr:rowOff>
    </xdr:to>
    <xdr:graphicFrame>
      <xdr:nvGraphicFramePr>
        <xdr:cNvPr id="2" name="Chart 2"/>
        <xdr:cNvGraphicFramePr/>
      </xdr:nvGraphicFramePr>
      <xdr:xfrm>
        <a:off x="9667875" y="104775"/>
        <a:ext cx="3705225" cy="3448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0</xdr:row>
      <xdr:rowOff>85725</xdr:rowOff>
    </xdr:from>
    <xdr:to>
      <xdr:col>13</xdr:col>
      <xdr:colOff>180975</xdr:colOff>
      <xdr:row>22</xdr:row>
      <xdr:rowOff>95250</xdr:rowOff>
    </xdr:to>
    <xdr:graphicFrame>
      <xdr:nvGraphicFramePr>
        <xdr:cNvPr id="1" name="Chart 1"/>
        <xdr:cNvGraphicFramePr/>
      </xdr:nvGraphicFramePr>
      <xdr:xfrm>
        <a:off x="5019675" y="85725"/>
        <a:ext cx="43815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266700</xdr:colOff>
      <xdr:row>0</xdr:row>
      <xdr:rowOff>95250</xdr:rowOff>
    </xdr:from>
    <xdr:to>
      <xdr:col>19</xdr:col>
      <xdr:colOff>581025</xdr:colOff>
      <xdr:row>22</xdr:row>
      <xdr:rowOff>95250</xdr:rowOff>
    </xdr:to>
    <xdr:graphicFrame>
      <xdr:nvGraphicFramePr>
        <xdr:cNvPr id="2" name="Chart 2"/>
        <xdr:cNvGraphicFramePr/>
      </xdr:nvGraphicFramePr>
      <xdr:xfrm>
        <a:off x="9486900" y="95250"/>
        <a:ext cx="3971925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133350</xdr:rowOff>
    </xdr:from>
    <xdr:to>
      <xdr:col>4</xdr:col>
      <xdr:colOff>76200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0" y="3209925"/>
        <a:ext cx="38100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219075</xdr:colOff>
      <xdr:row>20</xdr:row>
      <xdr:rowOff>9525</xdr:rowOff>
    </xdr:from>
    <xdr:to>
      <xdr:col>10</xdr:col>
      <xdr:colOff>447675</xdr:colOff>
      <xdr:row>36</xdr:row>
      <xdr:rowOff>152400</xdr:rowOff>
    </xdr:to>
    <xdr:graphicFrame>
      <xdr:nvGraphicFramePr>
        <xdr:cNvPr id="2" name="Chart 2"/>
        <xdr:cNvGraphicFramePr/>
      </xdr:nvGraphicFramePr>
      <xdr:xfrm>
        <a:off x="3952875" y="3248025"/>
        <a:ext cx="388620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0</xdr:row>
      <xdr:rowOff>152400</xdr:rowOff>
    </xdr:from>
    <xdr:to>
      <xdr:col>11</xdr:col>
      <xdr:colOff>180975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3943350" y="152400"/>
        <a:ext cx="42386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323850</xdr:colOff>
      <xdr:row>1</xdr:row>
      <xdr:rowOff>0</xdr:rowOff>
    </xdr:from>
    <xdr:to>
      <xdr:col>18</xdr:col>
      <xdr:colOff>95250</xdr:colOff>
      <xdr:row>21</xdr:row>
      <xdr:rowOff>95250</xdr:rowOff>
    </xdr:to>
    <xdr:graphicFrame>
      <xdr:nvGraphicFramePr>
        <xdr:cNvPr id="2" name="Chart 2"/>
        <xdr:cNvGraphicFramePr/>
      </xdr:nvGraphicFramePr>
      <xdr:xfrm>
        <a:off x="8324850" y="161925"/>
        <a:ext cx="4038600" cy="3333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0</xdr:row>
      <xdr:rowOff>76200</xdr:rowOff>
    </xdr:from>
    <xdr:to>
      <xdr:col>13</xdr:col>
      <xdr:colOff>152400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5010150" y="76200"/>
        <a:ext cx="436245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209550</xdr:colOff>
      <xdr:row>0</xdr:row>
      <xdr:rowOff>104775</xdr:rowOff>
    </xdr:from>
    <xdr:to>
      <xdr:col>19</xdr:col>
      <xdr:colOff>600075</xdr:colOff>
      <xdr:row>23</xdr:row>
      <xdr:rowOff>19050</xdr:rowOff>
    </xdr:to>
    <xdr:graphicFrame>
      <xdr:nvGraphicFramePr>
        <xdr:cNvPr id="2" name="Chart 2"/>
        <xdr:cNvGraphicFramePr/>
      </xdr:nvGraphicFramePr>
      <xdr:xfrm>
        <a:off x="9429750" y="104775"/>
        <a:ext cx="4048125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95250</xdr:rowOff>
    </xdr:from>
    <xdr:to>
      <xdr:col>13</xdr:col>
      <xdr:colOff>85725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4972050" y="95250"/>
        <a:ext cx="43338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171450</xdr:colOff>
      <xdr:row>0</xdr:row>
      <xdr:rowOff>123825</xdr:rowOff>
    </xdr:from>
    <xdr:to>
      <xdr:col>19</xdr:col>
      <xdr:colOff>428625</xdr:colOff>
      <xdr:row>21</xdr:row>
      <xdr:rowOff>104775</xdr:rowOff>
    </xdr:to>
    <xdr:graphicFrame>
      <xdr:nvGraphicFramePr>
        <xdr:cNvPr id="2" name="Chart 2"/>
        <xdr:cNvGraphicFramePr/>
      </xdr:nvGraphicFramePr>
      <xdr:xfrm>
        <a:off x="9391650" y="123825"/>
        <a:ext cx="3914775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590550</xdr:colOff>
      <xdr:row>0</xdr:row>
      <xdr:rowOff>95250</xdr:rowOff>
    </xdr:from>
    <xdr:to>
      <xdr:col>11</xdr:col>
      <xdr:colOff>561975</xdr:colOff>
      <xdr:row>21</xdr:row>
      <xdr:rowOff>57150</xdr:rowOff>
    </xdr:to>
    <xdr:graphicFrame>
      <xdr:nvGraphicFramePr>
        <xdr:cNvPr id="1" name="Chart 1"/>
        <xdr:cNvGraphicFramePr/>
      </xdr:nvGraphicFramePr>
      <xdr:xfrm>
        <a:off x="4324350" y="95250"/>
        <a:ext cx="42386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66675</xdr:colOff>
      <xdr:row>0</xdr:row>
      <xdr:rowOff>95250</xdr:rowOff>
    </xdr:from>
    <xdr:to>
      <xdr:col>18</xdr:col>
      <xdr:colOff>447675</xdr:colOff>
      <xdr:row>21</xdr:row>
      <xdr:rowOff>28575</xdr:rowOff>
    </xdr:to>
    <xdr:graphicFrame>
      <xdr:nvGraphicFramePr>
        <xdr:cNvPr id="2" name="Chart 2"/>
        <xdr:cNvGraphicFramePr/>
      </xdr:nvGraphicFramePr>
      <xdr:xfrm>
        <a:off x="8677275" y="95250"/>
        <a:ext cx="4038600" cy="3333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104775</xdr:rowOff>
    </xdr:from>
    <xdr:to>
      <xdr:col>10</xdr:col>
      <xdr:colOff>466725</xdr:colOff>
      <xdr:row>21</xdr:row>
      <xdr:rowOff>38100</xdr:rowOff>
    </xdr:to>
    <xdr:graphicFrame>
      <xdr:nvGraphicFramePr>
        <xdr:cNvPr id="1" name="Chart 1"/>
        <xdr:cNvGraphicFramePr/>
      </xdr:nvGraphicFramePr>
      <xdr:xfrm>
        <a:off x="3857625" y="104775"/>
        <a:ext cx="40005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571500</xdr:colOff>
      <xdr:row>1</xdr:row>
      <xdr:rowOff>0</xdr:rowOff>
    </xdr:from>
    <xdr:to>
      <xdr:col>17</xdr:col>
      <xdr:colOff>133350</xdr:colOff>
      <xdr:row>21</xdr:row>
      <xdr:rowOff>66675</xdr:rowOff>
    </xdr:to>
    <xdr:graphicFrame>
      <xdr:nvGraphicFramePr>
        <xdr:cNvPr id="2" name="Chart 2"/>
        <xdr:cNvGraphicFramePr/>
      </xdr:nvGraphicFramePr>
      <xdr:xfrm>
        <a:off x="7962900" y="161925"/>
        <a:ext cx="3829050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</xdr:row>
      <xdr:rowOff>95250</xdr:rowOff>
    </xdr:from>
    <xdr:to>
      <xdr:col>12</xdr:col>
      <xdr:colOff>161925</xdr:colOff>
      <xdr:row>22</xdr:row>
      <xdr:rowOff>57150</xdr:rowOff>
    </xdr:to>
    <xdr:graphicFrame>
      <xdr:nvGraphicFramePr>
        <xdr:cNvPr id="1" name="Chart 1"/>
        <xdr:cNvGraphicFramePr/>
      </xdr:nvGraphicFramePr>
      <xdr:xfrm>
        <a:off x="4972050" y="257175"/>
        <a:ext cx="38004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19050</xdr:colOff>
      <xdr:row>0</xdr:row>
      <xdr:rowOff>123825</xdr:rowOff>
    </xdr:from>
    <xdr:to>
      <xdr:col>19</xdr:col>
      <xdr:colOff>390525</xdr:colOff>
      <xdr:row>21</xdr:row>
      <xdr:rowOff>47625</xdr:rowOff>
    </xdr:to>
    <xdr:graphicFrame>
      <xdr:nvGraphicFramePr>
        <xdr:cNvPr id="2" name="Chart 2"/>
        <xdr:cNvGraphicFramePr/>
      </xdr:nvGraphicFramePr>
      <xdr:xfrm>
        <a:off x="9239250" y="123825"/>
        <a:ext cx="4029075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0</xdr:row>
      <xdr:rowOff>104775</xdr:rowOff>
    </xdr:from>
    <xdr:to>
      <xdr:col>11</xdr:col>
      <xdr:colOff>542925</xdr:colOff>
      <xdr:row>19</xdr:row>
      <xdr:rowOff>66675</xdr:rowOff>
    </xdr:to>
    <xdr:graphicFrame>
      <xdr:nvGraphicFramePr>
        <xdr:cNvPr id="1" name="Chart 1"/>
        <xdr:cNvGraphicFramePr/>
      </xdr:nvGraphicFramePr>
      <xdr:xfrm>
        <a:off x="4819650" y="104775"/>
        <a:ext cx="397192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190500</xdr:colOff>
      <xdr:row>0</xdr:row>
      <xdr:rowOff>95250</xdr:rowOff>
    </xdr:from>
    <xdr:to>
      <xdr:col>19</xdr:col>
      <xdr:colOff>152400</xdr:colOff>
      <xdr:row>19</xdr:row>
      <xdr:rowOff>28575</xdr:rowOff>
    </xdr:to>
    <xdr:graphicFrame>
      <xdr:nvGraphicFramePr>
        <xdr:cNvPr id="2" name="Chart 2"/>
        <xdr:cNvGraphicFramePr/>
      </xdr:nvGraphicFramePr>
      <xdr:xfrm>
        <a:off x="9048750" y="95250"/>
        <a:ext cx="4229100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0</xdr:row>
      <xdr:rowOff>142875</xdr:rowOff>
    </xdr:from>
    <xdr:to>
      <xdr:col>11</xdr:col>
      <xdr:colOff>276225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4067175" y="142875"/>
        <a:ext cx="421005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495300</xdr:colOff>
      <xdr:row>1</xdr:row>
      <xdr:rowOff>9525</xdr:rowOff>
    </xdr:from>
    <xdr:to>
      <xdr:col>18</xdr:col>
      <xdr:colOff>495300</xdr:colOff>
      <xdr:row>22</xdr:row>
      <xdr:rowOff>142875</xdr:rowOff>
    </xdr:to>
    <xdr:graphicFrame>
      <xdr:nvGraphicFramePr>
        <xdr:cNvPr id="2" name="Chart 2"/>
        <xdr:cNvGraphicFramePr/>
      </xdr:nvGraphicFramePr>
      <xdr:xfrm>
        <a:off x="8496300" y="171450"/>
        <a:ext cx="4267200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ffaella\BDG%20In%20EURO\Uscite%20con%20sp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le"/>
      <sheetName val="TAVOLA"/>
    </sheetNames>
    <sheetDataSet>
      <sheetData sheetId="0">
        <row r="1">
          <cell r="A1" t="str">
            <v>CODA</v>
          </cell>
          <cell r="B1" t="str">
            <v>CODB</v>
          </cell>
          <cell r="C1" t="str">
            <v>CODC</v>
          </cell>
          <cell r="D1" t="str">
            <v>CODD</v>
          </cell>
          <cell r="E1" t="str">
            <v>CODE</v>
          </cell>
          <cell r="F1" t="str">
            <v>CODF</v>
          </cell>
          <cell r="G1" t="str">
            <v>CODG</v>
          </cell>
          <cell r="H1" t="str">
            <v>CODH</v>
          </cell>
          <cell r="I1" t="str">
            <v>CODI</v>
          </cell>
          <cell r="J1" t="str">
            <v>CODL</v>
          </cell>
          <cell r="K1" t="str">
            <v>CODM</v>
          </cell>
          <cell r="L1" t="str">
            <v>CODN</v>
          </cell>
          <cell r="M1" t="str">
            <v>CODO</v>
          </cell>
          <cell r="N1" t="str">
            <v>CODP</v>
          </cell>
        </row>
        <row r="2">
          <cell r="A2" t="str">
            <v>CDG6 </v>
          </cell>
          <cell r="B2">
            <v>146</v>
          </cell>
          <cell r="C2" t="str">
            <v>Coordinamento organizzazione decentrata                     </v>
          </cell>
          <cell r="D2">
            <v>5</v>
          </cell>
          <cell r="E2">
            <v>71</v>
          </cell>
          <cell r="F2" t="str">
            <v>CONSUMI SPECIFICI                                           </v>
          </cell>
          <cell r="G2">
            <v>0</v>
          </cell>
          <cell r="H2">
            <v>72122.78</v>
          </cell>
          <cell r="I2">
            <v>1438848.92</v>
          </cell>
          <cell r="J2">
            <v>1901077.85</v>
          </cell>
          <cell r="K2">
            <v>2253301.45</v>
          </cell>
        </row>
        <row r="3">
          <cell r="A3" t="str">
            <v>CDG6 </v>
          </cell>
          <cell r="B3">
            <v>5</v>
          </cell>
          <cell r="C3" t="str">
            <v>Staff del Consiglio                                         </v>
          </cell>
          <cell r="D3">
            <v>5</v>
          </cell>
          <cell r="E3">
            <v>71</v>
          </cell>
          <cell r="F3" t="str">
            <v>CONSUMI SPECIFICI                                           </v>
          </cell>
          <cell r="G3">
            <v>0</v>
          </cell>
          <cell r="H3">
            <v>21239.29</v>
          </cell>
          <cell r="I3">
            <v>340861.55</v>
          </cell>
          <cell r="J3">
            <v>289215.86</v>
          </cell>
          <cell r="K3">
            <v>289215.86</v>
          </cell>
        </row>
        <row r="4">
          <cell r="A4" t="str">
            <v>CDG6 </v>
          </cell>
          <cell r="B4">
            <v>28</v>
          </cell>
          <cell r="C4" t="str">
            <v>Direzione, amm.ne/altro - Gabinetto                         </v>
          </cell>
          <cell r="D4">
            <v>5</v>
          </cell>
          <cell r="E4">
            <v>71</v>
          </cell>
          <cell r="F4" t="str">
            <v>CONSUMI SPECIFICI                                           </v>
          </cell>
          <cell r="G4">
            <v>0</v>
          </cell>
          <cell r="H4">
            <v>48589.98</v>
          </cell>
          <cell r="I4">
            <v>521518.18</v>
          </cell>
          <cell r="J4">
            <v>782432.21</v>
          </cell>
          <cell r="K4">
            <v>472558.07</v>
          </cell>
        </row>
        <row r="5">
          <cell r="A5" t="str">
            <v>CDG6 </v>
          </cell>
          <cell r="B5">
            <v>31</v>
          </cell>
          <cell r="C5" t="str">
            <v>Cerimoniale                                                 </v>
          </cell>
          <cell r="D5">
            <v>5</v>
          </cell>
          <cell r="E5">
            <v>71</v>
          </cell>
          <cell r="F5" t="str">
            <v>CONSUMI SPECIFICI                                           </v>
          </cell>
          <cell r="G5">
            <v>0</v>
          </cell>
          <cell r="H5">
            <v>13040.54</v>
          </cell>
          <cell r="I5">
            <v>113620.52</v>
          </cell>
          <cell r="J5">
            <v>258228.45</v>
          </cell>
          <cell r="K5">
            <v>258228.45</v>
          </cell>
        </row>
        <row r="6">
          <cell r="A6" t="str">
            <v>CDG6 </v>
          </cell>
          <cell r="B6">
            <v>247</v>
          </cell>
          <cell r="C6" t="str">
            <v>Direzione, amm.,CDG/altro-inf.cittadino                     </v>
          </cell>
          <cell r="D6">
            <v>5</v>
          </cell>
          <cell r="E6">
            <v>71</v>
          </cell>
          <cell r="F6" t="str">
            <v>CONSUMI SPECIFICI                                           </v>
          </cell>
          <cell r="G6">
            <v>0</v>
          </cell>
          <cell r="H6">
            <v>72371.38</v>
          </cell>
          <cell r="I6">
            <v>103291.37</v>
          </cell>
          <cell r="J6">
            <v>103291.37</v>
          </cell>
          <cell r="K6">
            <v>92962.25</v>
          </cell>
        </row>
        <row r="7">
          <cell r="A7" t="str">
            <v>CDG6 </v>
          </cell>
          <cell r="B7">
            <v>11</v>
          </cell>
          <cell r="C7" t="str">
            <v>Ragioneria                                                  </v>
          </cell>
          <cell r="D7">
            <v>5</v>
          </cell>
          <cell r="E7">
            <v>71</v>
          </cell>
          <cell r="F7" t="str">
            <v>CONSUMI SPECIFICI                                           </v>
          </cell>
          <cell r="G7">
            <v>0</v>
          </cell>
          <cell r="H7">
            <v>13856.54</v>
          </cell>
          <cell r="I7">
            <v>181772.16</v>
          </cell>
          <cell r="J7">
            <v>186936.76</v>
          </cell>
          <cell r="K7">
            <v>181772.16</v>
          </cell>
        </row>
        <row r="8">
          <cell r="A8" t="str">
            <v>CDG6 </v>
          </cell>
          <cell r="B8">
            <v>75</v>
          </cell>
          <cell r="C8" t="str">
            <v>Progetti e relazioni internazionali                         </v>
          </cell>
          <cell r="D8">
            <v>5</v>
          </cell>
          <cell r="E8">
            <v>71</v>
          </cell>
          <cell r="F8" t="str">
            <v>CONSUMI SPECIFICI                                           </v>
          </cell>
          <cell r="G8">
            <v>0</v>
          </cell>
          <cell r="H8">
            <v>140390.21</v>
          </cell>
          <cell r="I8">
            <v>2052970.4</v>
          </cell>
          <cell r="J8">
            <v>2034840.19</v>
          </cell>
          <cell r="K8">
            <v>1874738.55</v>
          </cell>
        </row>
        <row r="9">
          <cell r="A9" t="str">
            <v>CDG6 </v>
          </cell>
          <cell r="B9">
            <v>36</v>
          </cell>
          <cell r="C9" t="str">
            <v>Inn.amm./regolamenti/Città metr./contr.                     </v>
          </cell>
          <cell r="D9">
            <v>5</v>
          </cell>
          <cell r="E9">
            <v>71</v>
          </cell>
          <cell r="F9" t="str">
            <v>CONSUMI SPECIFICI                                           </v>
          </cell>
          <cell r="G9">
            <v>0</v>
          </cell>
          <cell r="H9">
            <v>11593.93</v>
          </cell>
          <cell r="I9">
            <v>134278.79</v>
          </cell>
          <cell r="J9">
            <v>134278.79</v>
          </cell>
          <cell r="K9">
            <v>126531.94</v>
          </cell>
        </row>
        <row r="10">
          <cell r="A10" t="str">
            <v>CDG6 </v>
          </cell>
          <cell r="B10">
            <v>37</v>
          </cell>
          <cell r="C10" t="str">
            <v>Trasformazioni strutturali                                  </v>
          </cell>
          <cell r="D10">
            <v>5</v>
          </cell>
          <cell r="E10">
            <v>71</v>
          </cell>
          <cell r="F10" t="str">
            <v>CONSUMI SPECIFICI                                           </v>
          </cell>
          <cell r="G10">
            <v>0</v>
          </cell>
          <cell r="H10">
            <v>21617.35</v>
          </cell>
          <cell r="I10">
            <v>81504.13</v>
          </cell>
          <cell r="J10">
            <v>80980.44</v>
          </cell>
          <cell r="K10">
            <v>80998.06</v>
          </cell>
        </row>
        <row r="11">
          <cell r="A11" t="str">
            <v>CDG6 </v>
          </cell>
          <cell r="B11">
            <v>30</v>
          </cell>
          <cell r="C11" t="str">
            <v>Ufficio Stampa                                              </v>
          </cell>
          <cell r="D11">
            <v>5</v>
          </cell>
          <cell r="E11">
            <v>71</v>
          </cell>
          <cell r="F11" t="str">
            <v>CONSUMI SPECIFICI                                           </v>
          </cell>
          <cell r="G11">
            <v>0</v>
          </cell>
          <cell r="H11">
            <v>28534.24</v>
          </cell>
          <cell r="I11">
            <v>292417.9</v>
          </cell>
          <cell r="J11">
            <v>294380.44</v>
          </cell>
          <cell r="K11">
            <v>294380.43</v>
          </cell>
        </row>
        <row r="12">
          <cell r="A12" t="str">
            <v>CDG6 </v>
          </cell>
          <cell r="B12">
            <v>248</v>
          </cell>
          <cell r="C12" t="str">
            <v>U.R.P.                                                      </v>
          </cell>
          <cell r="D12">
            <v>5</v>
          </cell>
          <cell r="E12">
            <v>71</v>
          </cell>
          <cell r="F12" t="str">
            <v>CONSUMI SPECIFICI                                           </v>
          </cell>
          <cell r="G12">
            <v>0</v>
          </cell>
          <cell r="H12">
            <v>2036.29</v>
          </cell>
          <cell r="I12">
            <v>83666.02</v>
          </cell>
          <cell r="J12">
            <v>83666.02</v>
          </cell>
          <cell r="K12">
            <v>83666.02</v>
          </cell>
        </row>
        <row r="13">
          <cell r="A13" t="str">
            <v>CDG6 </v>
          </cell>
          <cell r="B13">
            <v>249</v>
          </cell>
          <cell r="C13" t="str">
            <v>Iperbole/progetti europei                                   </v>
          </cell>
          <cell r="D13">
            <v>5</v>
          </cell>
          <cell r="E13">
            <v>71</v>
          </cell>
          <cell r="F13" t="str">
            <v>CONSUMI SPECIFICI                                           </v>
          </cell>
          <cell r="G13">
            <v>0</v>
          </cell>
          <cell r="H13">
            <v>3658.24</v>
          </cell>
          <cell r="I13">
            <v>748862.5</v>
          </cell>
          <cell r="J13">
            <v>612001.42</v>
          </cell>
          <cell r="K13">
            <v>612001.42</v>
          </cell>
        </row>
        <row r="14">
          <cell r="A14" t="str">
            <v>CDG6 </v>
          </cell>
          <cell r="B14">
            <v>61</v>
          </cell>
          <cell r="C14" t="str">
            <v>Direzione, amm., CDG/altro - Pers.e org.                    </v>
          </cell>
          <cell r="D14">
            <v>5</v>
          </cell>
          <cell r="E14">
            <v>71</v>
          </cell>
          <cell r="F14" t="str">
            <v>CONSUMI SPECIFICI                                           </v>
          </cell>
          <cell r="G14">
            <v>0</v>
          </cell>
          <cell r="H14">
            <v>32349.05</v>
          </cell>
          <cell r="I14">
            <v>294380.44</v>
          </cell>
          <cell r="J14">
            <v>294380.44</v>
          </cell>
          <cell r="K14">
            <v>232405.61</v>
          </cell>
        </row>
        <row r="15">
          <cell r="A15" t="str">
            <v>CDG6 </v>
          </cell>
          <cell r="B15">
            <v>64</v>
          </cell>
          <cell r="C15" t="str">
            <v>Formazione e sviluppo -C.U.F.                               </v>
          </cell>
          <cell r="D15">
            <v>5</v>
          </cell>
          <cell r="E15">
            <v>71</v>
          </cell>
          <cell r="F15" t="str">
            <v>CONSUMI SPECIFICI                                           </v>
          </cell>
          <cell r="G15">
            <v>0</v>
          </cell>
          <cell r="H15">
            <v>26253.22</v>
          </cell>
          <cell r="I15">
            <v>366684.4</v>
          </cell>
          <cell r="J15">
            <v>366684.4</v>
          </cell>
          <cell r="K15">
            <v>433823.8</v>
          </cell>
        </row>
        <row r="16">
          <cell r="A16" t="str">
            <v>CDG6 </v>
          </cell>
          <cell r="B16">
            <v>62</v>
          </cell>
          <cell r="C16" t="str">
            <v>Personale e organizzazione non gestiti                      </v>
          </cell>
          <cell r="D16">
            <v>5</v>
          </cell>
          <cell r="E16">
            <v>71</v>
          </cell>
          <cell r="F16" t="str">
            <v>CONSUMI SPECIFICI                                           </v>
          </cell>
          <cell r="G16">
            <v>0</v>
          </cell>
          <cell r="H16">
            <v>2151.9</v>
          </cell>
          <cell r="I16">
            <v>20658.28</v>
          </cell>
          <cell r="J16">
            <v>20658.28</v>
          </cell>
          <cell r="K16">
            <v>20658.28</v>
          </cell>
        </row>
        <row r="17">
          <cell r="A17" t="str">
            <v>CDG6 </v>
          </cell>
          <cell r="B17">
            <v>33</v>
          </cell>
          <cell r="C17" t="str">
            <v>Direzione, amm./altro - Aff. gen. e ist.                    </v>
          </cell>
          <cell r="D17">
            <v>5</v>
          </cell>
          <cell r="E17">
            <v>71</v>
          </cell>
          <cell r="F17" t="str">
            <v>CONSUMI SPECIFICI                                           </v>
          </cell>
          <cell r="G17">
            <v>0</v>
          </cell>
          <cell r="H17">
            <v>6994.89</v>
          </cell>
          <cell r="I17">
            <v>74369.8</v>
          </cell>
          <cell r="J17">
            <v>51645.68</v>
          </cell>
          <cell r="K17">
            <v>51645.68</v>
          </cell>
        </row>
        <row r="18">
          <cell r="A18" t="str">
            <v>CDG6 </v>
          </cell>
          <cell r="B18">
            <v>252</v>
          </cell>
          <cell r="C18" t="str">
            <v>Segreteria generale                                         </v>
          </cell>
          <cell r="D18">
            <v>5</v>
          </cell>
          <cell r="E18">
            <v>71</v>
          </cell>
          <cell r="F18" t="str">
            <v>CONSUMI SPECIFICI                                           </v>
          </cell>
          <cell r="G18">
            <v>0</v>
          </cell>
          <cell r="H18">
            <v>12911.42</v>
          </cell>
          <cell r="I18">
            <v>250481.59</v>
          </cell>
          <cell r="J18">
            <v>825298.13</v>
          </cell>
          <cell r="K18">
            <v>802057.57</v>
          </cell>
        </row>
        <row r="19">
          <cell r="A19" t="str">
            <v>CDG6 </v>
          </cell>
          <cell r="B19">
            <v>2</v>
          </cell>
          <cell r="C19" t="str">
            <v>Direzione Generale                                          </v>
          </cell>
          <cell r="D19">
            <v>5</v>
          </cell>
          <cell r="E19">
            <v>71</v>
          </cell>
          <cell r="F19" t="str">
            <v>CONSUMI SPECIFICI                                           </v>
          </cell>
          <cell r="G19">
            <v>0</v>
          </cell>
          <cell r="H19">
            <v>150.63</v>
          </cell>
          <cell r="I19">
            <v>2065.83</v>
          </cell>
          <cell r="J19">
            <v>2065.83</v>
          </cell>
          <cell r="K19">
            <v>2065.83</v>
          </cell>
        </row>
        <row r="20">
          <cell r="A20" t="str">
            <v>CDG6 </v>
          </cell>
          <cell r="B20">
            <v>65</v>
          </cell>
          <cell r="C20" t="str">
            <v>Normativa amministrazione e bilancio                        </v>
          </cell>
          <cell r="D20">
            <v>5</v>
          </cell>
          <cell r="E20">
            <v>71</v>
          </cell>
          <cell r="F20" t="str">
            <v>CONSUMI SPECIFICI                                           </v>
          </cell>
          <cell r="G20">
            <v>0</v>
          </cell>
          <cell r="H20">
            <v>24101.33</v>
          </cell>
          <cell r="I20">
            <v>234987.88</v>
          </cell>
          <cell r="J20">
            <v>234987.88</v>
          </cell>
          <cell r="K20">
            <v>260810.73</v>
          </cell>
        </row>
        <row r="21">
          <cell r="A21" t="str">
            <v>CDG6 </v>
          </cell>
          <cell r="B21">
            <v>63</v>
          </cell>
          <cell r="C21" t="str">
            <v>Relazioni sindacali e organizzazione                        </v>
          </cell>
          <cell r="D21">
            <v>5</v>
          </cell>
          <cell r="E21">
            <v>71</v>
          </cell>
          <cell r="F21" t="str">
            <v>CONSUMI SPECIFICI                                           </v>
          </cell>
          <cell r="G21">
            <v>0</v>
          </cell>
          <cell r="H21">
            <v>7919.01</v>
          </cell>
          <cell r="I21">
            <v>61974.83</v>
          </cell>
          <cell r="J21">
            <v>61974.83</v>
          </cell>
          <cell r="K21">
            <v>41316.55</v>
          </cell>
        </row>
        <row r="22">
          <cell r="A22" t="str">
            <v>CDG6 </v>
          </cell>
          <cell r="B22">
            <v>34</v>
          </cell>
          <cell r="C22" t="str">
            <v>Protocollo archivio                                         </v>
          </cell>
          <cell r="D22">
            <v>5</v>
          </cell>
          <cell r="E22">
            <v>71</v>
          </cell>
          <cell r="F22" t="str">
            <v>CONSUMI SPECIFICI                                           </v>
          </cell>
          <cell r="G22">
            <v>0</v>
          </cell>
          <cell r="H22">
            <v>5438.39</v>
          </cell>
          <cell r="I22">
            <v>23240.56</v>
          </cell>
          <cell r="J22">
            <v>23240.56</v>
          </cell>
          <cell r="K22">
            <v>23240.56</v>
          </cell>
        </row>
        <row r="23">
          <cell r="A23" t="str">
            <v>CDG6 </v>
          </cell>
          <cell r="B23">
            <v>66</v>
          </cell>
          <cell r="C23" t="str">
            <v>Direzione, amm./altro - Pianif. e contr.                    </v>
          </cell>
          <cell r="D23">
            <v>5</v>
          </cell>
          <cell r="E23">
            <v>71</v>
          </cell>
          <cell r="F23" t="str">
            <v>CONSUMI SPECIFICI                                           </v>
          </cell>
          <cell r="G23">
            <v>0</v>
          </cell>
          <cell r="H23">
            <v>4519</v>
          </cell>
          <cell r="I23">
            <v>74886.26</v>
          </cell>
          <cell r="J23">
            <v>147190.22</v>
          </cell>
          <cell r="K23">
            <v>121367.37</v>
          </cell>
        </row>
        <row r="24">
          <cell r="A24" t="str">
            <v>CDG6 </v>
          </cell>
          <cell r="B24">
            <v>39</v>
          </cell>
          <cell r="C24" t="str">
            <v>Direzione, amm., CDG/altro - Acquisti                       </v>
          </cell>
          <cell r="D24">
            <v>5</v>
          </cell>
          <cell r="E24">
            <v>71</v>
          </cell>
          <cell r="F24" t="str">
            <v>CONSUMI SPECIFICI                                           </v>
          </cell>
          <cell r="G24">
            <v>0</v>
          </cell>
          <cell r="H24">
            <v>1721.52</v>
          </cell>
          <cell r="I24">
            <v>20658.28</v>
          </cell>
          <cell r="J24">
            <v>20700</v>
          </cell>
          <cell r="K24">
            <v>20658.28</v>
          </cell>
        </row>
        <row r="25">
          <cell r="A25" t="str">
            <v>CDG6 </v>
          </cell>
          <cell r="B25">
            <v>43</v>
          </cell>
          <cell r="C25" t="str">
            <v>Coordinamento entrate                                       </v>
          </cell>
          <cell r="D25">
            <v>5</v>
          </cell>
          <cell r="E25">
            <v>71</v>
          </cell>
          <cell r="F25" t="str">
            <v>CONSUMI SPECIFICI                                           </v>
          </cell>
          <cell r="G25">
            <v>0</v>
          </cell>
          <cell r="H25">
            <v>62851.76</v>
          </cell>
          <cell r="I25">
            <v>928135.02</v>
          </cell>
          <cell r="J25">
            <v>1003604.87</v>
          </cell>
          <cell r="K25">
            <v>1003604.86</v>
          </cell>
        </row>
        <row r="26">
          <cell r="A26" t="str">
            <v>CDG6 </v>
          </cell>
          <cell r="B26">
            <v>44</v>
          </cell>
          <cell r="C26" t="str">
            <v>Patrimonio                                                  </v>
          </cell>
          <cell r="D26">
            <v>5</v>
          </cell>
          <cell r="E26">
            <v>71</v>
          </cell>
          <cell r="F26" t="str">
            <v>CONSUMI SPECIFICI                                           </v>
          </cell>
          <cell r="G26">
            <v>0</v>
          </cell>
          <cell r="H26">
            <v>13277.24</v>
          </cell>
          <cell r="I26">
            <v>152354.78</v>
          </cell>
          <cell r="J26">
            <v>175595.35</v>
          </cell>
          <cell r="K26">
            <v>123949.66</v>
          </cell>
        </row>
        <row r="27">
          <cell r="A27" t="str">
            <v>CDG6 </v>
          </cell>
          <cell r="B27">
            <v>58</v>
          </cell>
          <cell r="C27" t="str">
            <v>Manutenzione edilizia e servizio calore                     </v>
          </cell>
          <cell r="D27">
            <v>5</v>
          </cell>
          <cell r="E27">
            <v>71</v>
          </cell>
          <cell r="F27" t="str">
            <v>CONSUMI SPECIFICI                                           </v>
          </cell>
          <cell r="G27">
            <v>0</v>
          </cell>
          <cell r="H27">
            <v>418507.5</v>
          </cell>
          <cell r="I27">
            <v>3870328</v>
          </cell>
          <cell r="J27">
            <v>4157478.05</v>
          </cell>
          <cell r="K27">
            <v>4131655.18</v>
          </cell>
        </row>
        <row r="28">
          <cell r="A28" t="str">
            <v>CDG6 </v>
          </cell>
          <cell r="B28">
            <v>45</v>
          </cell>
          <cell r="C28" t="str">
            <v>Direzione, amm., CDG, qualità/altro LLPP                    </v>
          </cell>
          <cell r="D28">
            <v>5</v>
          </cell>
          <cell r="E28">
            <v>71</v>
          </cell>
          <cell r="F28" t="str">
            <v>CONSUMI SPECIFICI                                           </v>
          </cell>
          <cell r="G28">
            <v>0</v>
          </cell>
          <cell r="H28">
            <v>133835.5</v>
          </cell>
          <cell r="I28">
            <v>1499002.71</v>
          </cell>
          <cell r="J28">
            <v>2667499.86</v>
          </cell>
          <cell r="K28">
            <v>1376357.62</v>
          </cell>
        </row>
        <row r="29">
          <cell r="A29" t="str">
            <v>CDG6 </v>
          </cell>
          <cell r="B29">
            <v>140</v>
          </cell>
          <cell r="C29" t="str">
            <v>Direzione, amm.,CDG/altro - demografici                     </v>
          </cell>
          <cell r="D29">
            <v>5</v>
          </cell>
          <cell r="E29">
            <v>71</v>
          </cell>
          <cell r="F29" t="str">
            <v>CONSUMI SPECIFICI                                           </v>
          </cell>
          <cell r="G29">
            <v>0</v>
          </cell>
          <cell r="H29">
            <v>24338.04</v>
          </cell>
          <cell r="I29">
            <v>302437.16</v>
          </cell>
          <cell r="J29">
            <v>480304.92</v>
          </cell>
          <cell r="K29">
            <v>286633.58</v>
          </cell>
        </row>
        <row r="30">
          <cell r="A30" t="str">
            <v>CDG6 </v>
          </cell>
          <cell r="B30">
            <v>143</v>
          </cell>
          <cell r="C30" t="str">
            <v>Elettorale                                                  </v>
          </cell>
          <cell r="D30">
            <v>5</v>
          </cell>
          <cell r="E30">
            <v>71</v>
          </cell>
          <cell r="F30" t="str">
            <v>CONSUMI SPECIFICI                                           </v>
          </cell>
          <cell r="G30">
            <v>0</v>
          </cell>
          <cell r="H30">
            <v>1248.1</v>
          </cell>
          <cell r="I30">
            <v>12911.42</v>
          </cell>
          <cell r="J30">
            <v>9296.22</v>
          </cell>
          <cell r="K30">
            <v>9296.22</v>
          </cell>
        </row>
        <row r="31">
          <cell r="A31" t="str">
            <v>CDG6 </v>
          </cell>
          <cell r="B31">
            <v>141</v>
          </cell>
          <cell r="C31" t="str">
            <v>Stato civile                                                </v>
          </cell>
          <cell r="D31">
            <v>5</v>
          </cell>
          <cell r="E31">
            <v>71</v>
          </cell>
          <cell r="F31" t="str">
            <v>CONSUMI SPECIFICI                                           </v>
          </cell>
          <cell r="G31">
            <v>0</v>
          </cell>
          <cell r="H31">
            <v>24488.66</v>
          </cell>
          <cell r="I31">
            <v>302437.16</v>
          </cell>
          <cell r="J31">
            <v>303263.49</v>
          </cell>
          <cell r="K31">
            <v>199972.11</v>
          </cell>
        </row>
        <row r="32">
          <cell r="A32" t="str">
            <v>CDG6 </v>
          </cell>
          <cell r="B32">
            <v>69</v>
          </cell>
          <cell r="C32" t="str">
            <v>Direzione, amm., CDG/altro - sist. info.                    </v>
          </cell>
          <cell r="D32">
            <v>5</v>
          </cell>
          <cell r="E32">
            <v>71</v>
          </cell>
          <cell r="F32" t="str">
            <v>CONSUMI SPECIFICI                                           </v>
          </cell>
          <cell r="G32">
            <v>0</v>
          </cell>
          <cell r="H32">
            <v>4303.81</v>
          </cell>
          <cell r="I32">
            <v>51645.69</v>
          </cell>
          <cell r="J32">
            <v>51645.69</v>
          </cell>
          <cell r="K32">
            <v>51645.69</v>
          </cell>
        </row>
        <row r="33">
          <cell r="A33" t="str">
            <v>CDG6 </v>
          </cell>
          <cell r="B33">
            <v>8</v>
          </cell>
          <cell r="C33" t="str">
            <v>Qualita'                                                    </v>
          </cell>
          <cell r="D33">
            <v>5</v>
          </cell>
          <cell r="E33">
            <v>71</v>
          </cell>
          <cell r="F33" t="str">
            <v>CONSUMI SPECIFICI                                           </v>
          </cell>
          <cell r="G33">
            <v>0</v>
          </cell>
          <cell r="H33">
            <v>16718.87</v>
          </cell>
          <cell r="I33">
            <v>73853.34</v>
          </cell>
          <cell r="J33">
            <v>73853.34</v>
          </cell>
          <cell r="K33">
            <v>48030.5</v>
          </cell>
        </row>
        <row r="34">
          <cell r="A34" t="str">
            <v>CDG6 </v>
          </cell>
          <cell r="B34">
            <v>9</v>
          </cell>
          <cell r="C34" t="str">
            <v>Legale                                                      </v>
          </cell>
          <cell r="D34">
            <v>5</v>
          </cell>
          <cell r="E34">
            <v>71</v>
          </cell>
          <cell r="F34" t="str">
            <v>CONSUMI SPECIFICI                                           </v>
          </cell>
          <cell r="G34">
            <v>0</v>
          </cell>
          <cell r="H34">
            <v>26287.17</v>
          </cell>
          <cell r="I34">
            <v>281469.01</v>
          </cell>
          <cell r="J34">
            <v>281469.01</v>
          </cell>
          <cell r="K34">
            <v>255646.16</v>
          </cell>
        </row>
        <row r="35">
          <cell r="A35" t="str">
            <v>CDG6 </v>
          </cell>
          <cell r="B35">
            <v>70</v>
          </cell>
          <cell r="C35" t="str">
            <v>Operazioni e qualità                                        </v>
          </cell>
          <cell r="D35">
            <v>5</v>
          </cell>
          <cell r="E35">
            <v>71</v>
          </cell>
          <cell r="F35" t="str">
            <v>CONSUMI SPECIFICI                                           </v>
          </cell>
          <cell r="G35">
            <v>0</v>
          </cell>
          <cell r="H35">
            <v>177281.95</v>
          </cell>
          <cell r="I35">
            <v>2065827.6</v>
          </cell>
          <cell r="J35">
            <v>2117473.29</v>
          </cell>
          <cell r="K35">
            <v>1859244.84</v>
          </cell>
        </row>
        <row r="36">
          <cell r="A36" t="str">
            <v>CDG6 </v>
          </cell>
          <cell r="B36">
            <v>71</v>
          </cell>
          <cell r="C36" t="str">
            <v>Progettazione e sviluppo                                    </v>
          </cell>
          <cell r="D36">
            <v>5</v>
          </cell>
          <cell r="E36">
            <v>71</v>
          </cell>
          <cell r="F36" t="str">
            <v>CONSUMI SPECIFICI                                           </v>
          </cell>
          <cell r="G36">
            <v>0</v>
          </cell>
          <cell r="H36">
            <v>415362.4</v>
          </cell>
          <cell r="I36">
            <v>5009631.92</v>
          </cell>
          <cell r="J36">
            <v>6533179.77</v>
          </cell>
          <cell r="K36">
            <v>4880517.7</v>
          </cell>
        </row>
        <row r="37">
          <cell r="A37" t="str">
            <v>CDG6 </v>
          </cell>
          <cell r="B37">
            <v>51</v>
          </cell>
          <cell r="C37" t="str">
            <v>Impianti tecnologici                                        </v>
          </cell>
          <cell r="D37">
            <v>5</v>
          </cell>
          <cell r="E37">
            <v>71</v>
          </cell>
          <cell r="F37" t="str">
            <v>CONSUMI SPECIFICI                                           </v>
          </cell>
          <cell r="G37">
            <v>0</v>
          </cell>
          <cell r="H37">
            <v>37658.32</v>
          </cell>
          <cell r="I37">
            <v>344476.75</v>
          </cell>
          <cell r="J37">
            <v>353772.98</v>
          </cell>
          <cell r="K37">
            <v>353772.98</v>
          </cell>
        </row>
        <row r="38">
          <cell r="A38" t="str">
            <v>CDG6 </v>
          </cell>
          <cell r="B38">
            <v>135</v>
          </cell>
          <cell r="C38" t="str">
            <v>Atti amministrativi                                         </v>
          </cell>
          <cell r="D38">
            <v>5</v>
          </cell>
          <cell r="E38">
            <v>71</v>
          </cell>
          <cell r="F38" t="str">
            <v>CONSUMI SPECIFICI                                           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 t="str">
            <v>CDG6 </v>
          </cell>
          <cell r="B39">
            <v>102</v>
          </cell>
          <cell r="C39" t="str">
            <v>Direzione, amm.,CDG/altro - polizia mun.                    </v>
          </cell>
          <cell r="D39">
            <v>5</v>
          </cell>
          <cell r="E39">
            <v>71</v>
          </cell>
          <cell r="F39" t="str">
            <v>CONSUMI SPECIFICI                                           </v>
          </cell>
          <cell r="G39">
            <v>0</v>
          </cell>
          <cell r="H39">
            <v>48503.91</v>
          </cell>
          <cell r="I39">
            <v>573267.16</v>
          </cell>
          <cell r="J39">
            <v>694633.55</v>
          </cell>
          <cell r="K39">
            <v>694634.52</v>
          </cell>
        </row>
        <row r="40">
          <cell r="A40" t="str">
            <v>CDG6 </v>
          </cell>
          <cell r="B40">
            <v>107</v>
          </cell>
          <cell r="C40" t="str">
            <v>Servizio grande viabilità                                   </v>
          </cell>
          <cell r="D40">
            <v>5</v>
          </cell>
          <cell r="E40">
            <v>71</v>
          </cell>
          <cell r="F40" t="str">
            <v>CONSUMI SPECIFICI                                           </v>
          </cell>
          <cell r="G40">
            <v>0</v>
          </cell>
          <cell r="H40">
            <v>38276.63</v>
          </cell>
          <cell r="I40">
            <v>472558.06</v>
          </cell>
          <cell r="J40">
            <v>472558.08</v>
          </cell>
          <cell r="K40">
            <v>420912.37</v>
          </cell>
        </row>
        <row r="41">
          <cell r="A41" t="str">
            <v>CDG6 </v>
          </cell>
          <cell r="B41">
            <v>106</v>
          </cell>
          <cell r="C41" t="str">
            <v>Servizio violazioni amministrative                          </v>
          </cell>
          <cell r="D41">
            <v>5</v>
          </cell>
          <cell r="E41">
            <v>71</v>
          </cell>
          <cell r="F41" t="str">
            <v>CONSUMI SPECIFICI                                           </v>
          </cell>
          <cell r="G41">
            <v>0</v>
          </cell>
          <cell r="H41">
            <v>96862.92</v>
          </cell>
          <cell r="I41">
            <v>1730130.61</v>
          </cell>
          <cell r="J41">
            <v>1730130.61</v>
          </cell>
          <cell r="K41">
            <v>697216.81</v>
          </cell>
        </row>
        <row r="42">
          <cell r="A42" t="str">
            <v>CDG6 </v>
          </cell>
          <cell r="B42">
            <v>90</v>
          </cell>
          <cell r="C42" t="str">
            <v>Servizi all'infanzia                                        </v>
          </cell>
          <cell r="D42">
            <v>5</v>
          </cell>
          <cell r="E42">
            <v>71</v>
          </cell>
          <cell r="F42" t="str">
            <v>CONSUMI SPECIFICI                                           </v>
          </cell>
          <cell r="G42">
            <v>0</v>
          </cell>
          <cell r="H42">
            <v>49656.04</v>
          </cell>
          <cell r="I42">
            <v>750974.3</v>
          </cell>
          <cell r="J42">
            <v>855769.09</v>
          </cell>
          <cell r="K42">
            <v>736983.99</v>
          </cell>
        </row>
        <row r="43">
          <cell r="A43" t="str">
            <v>CDG6 </v>
          </cell>
          <cell r="B43">
            <v>260</v>
          </cell>
          <cell r="C43" t="str">
            <v>Diritto allo studio/handicap/rete scol.                     </v>
          </cell>
          <cell r="D43">
            <v>5</v>
          </cell>
          <cell r="E43">
            <v>71</v>
          </cell>
          <cell r="F43" t="str">
            <v>CONSUMI SPECIFICI                                           </v>
          </cell>
          <cell r="G43">
            <v>0</v>
          </cell>
          <cell r="H43">
            <v>38519.09</v>
          </cell>
          <cell r="I43">
            <v>825848.66</v>
          </cell>
          <cell r="J43">
            <v>1263770.02</v>
          </cell>
          <cell r="K43">
            <v>1232782.6</v>
          </cell>
        </row>
        <row r="44">
          <cell r="A44" t="str">
            <v>CDG6 </v>
          </cell>
          <cell r="B44">
            <v>95</v>
          </cell>
          <cell r="C44" t="str">
            <v>Laboratori e aule didattiche centrali                       </v>
          </cell>
          <cell r="D44">
            <v>5</v>
          </cell>
          <cell r="E44">
            <v>71</v>
          </cell>
          <cell r="F44" t="str">
            <v>CONSUMI SPECIFICI                                           </v>
          </cell>
          <cell r="G44">
            <v>0</v>
          </cell>
          <cell r="H44">
            <v>16440.54</v>
          </cell>
          <cell r="I44">
            <v>218461.27</v>
          </cell>
          <cell r="J44">
            <v>208132.13</v>
          </cell>
          <cell r="K44">
            <v>196253.62</v>
          </cell>
        </row>
        <row r="45">
          <cell r="A45" t="str">
            <v>CDG6 </v>
          </cell>
          <cell r="B45">
            <v>92</v>
          </cell>
          <cell r="C45" t="str">
            <v>Istituti Aldini Valeriani e Sirani                          </v>
          </cell>
          <cell r="D45">
            <v>5</v>
          </cell>
          <cell r="E45">
            <v>71</v>
          </cell>
          <cell r="F45" t="str">
            <v>CONSUMI SPECIFICI                                           </v>
          </cell>
          <cell r="G45">
            <v>0</v>
          </cell>
          <cell r="H45">
            <v>40914.06</v>
          </cell>
          <cell r="I45">
            <v>470298.55</v>
          </cell>
          <cell r="J45">
            <v>489407.46</v>
          </cell>
          <cell r="K45">
            <v>473913.76</v>
          </cell>
        </row>
        <row r="46">
          <cell r="A46" t="str">
            <v>CDG6 </v>
          </cell>
          <cell r="B46">
            <v>96</v>
          </cell>
          <cell r="C46" t="str">
            <v>Formazione professionale                                    </v>
          </cell>
          <cell r="D46">
            <v>5</v>
          </cell>
          <cell r="E46">
            <v>71</v>
          </cell>
          <cell r="F46" t="str">
            <v>CONSUMI SPECIFICI                                           </v>
          </cell>
          <cell r="G46">
            <v>0</v>
          </cell>
          <cell r="H46">
            <v>45189.97</v>
          </cell>
          <cell r="I46">
            <v>0</v>
          </cell>
          <cell r="J46">
            <v>0</v>
          </cell>
          <cell r="K46">
            <v>0</v>
          </cell>
        </row>
        <row r="47">
          <cell r="A47" t="str">
            <v>CDG6 </v>
          </cell>
          <cell r="B47">
            <v>91</v>
          </cell>
          <cell r="C47" t="str">
            <v>Scambi internazionali e istituz. estive                     </v>
          </cell>
          <cell r="D47">
            <v>5</v>
          </cell>
          <cell r="E47">
            <v>71</v>
          </cell>
          <cell r="F47" t="str">
            <v>CONSUMI SPECIFICI                                           </v>
          </cell>
          <cell r="G47">
            <v>0</v>
          </cell>
          <cell r="H47">
            <v>82202.72</v>
          </cell>
          <cell r="I47">
            <v>973521.26</v>
          </cell>
          <cell r="J47">
            <v>911546.43</v>
          </cell>
          <cell r="K47">
            <v>911546.43</v>
          </cell>
        </row>
        <row r="48">
          <cell r="A48" t="str">
            <v>CDG6 </v>
          </cell>
          <cell r="B48">
            <v>88</v>
          </cell>
          <cell r="C48" t="str">
            <v>Direzione,amm.,CDG/altro - istr. e sport                    </v>
          </cell>
          <cell r="D48">
            <v>5</v>
          </cell>
          <cell r="E48">
            <v>71</v>
          </cell>
          <cell r="F48" t="str">
            <v>CONSUMI SPECIFICI                                           </v>
          </cell>
          <cell r="G48">
            <v>0</v>
          </cell>
          <cell r="H48">
            <v>19474.72</v>
          </cell>
          <cell r="I48">
            <v>457064.34</v>
          </cell>
          <cell r="J48">
            <v>315038.7</v>
          </cell>
          <cell r="K48">
            <v>291798.14</v>
          </cell>
        </row>
        <row r="49">
          <cell r="A49" t="str">
            <v>CDG6 </v>
          </cell>
          <cell r="B49">
            <v>94</v>
          </cell>
          <cell r="C49" t="str">
            <v>Politiche giovanili                                         </v>
          </cell>
          <cell r="D49">
            <v>5</v>
          </cell>
          <cell r="E49">
            <v>71</v>
          </cell>
          <cell r="F49" t="str">
            <v>CONSUMI SPECIFICI                                           </v>
          </cell>
          <cell r="G49">
            <v>0</v>
          </cell>
          <cell r="H49">
            <v>26339.31</v>
          </cell>
          <cell r="I49">
            <v>211747.32</v>
          </cell>
          <cell r="J49">
            <v>232405.6</v>
          </cell>
          <cell r="K49">
            <v>180759.91</v>
          </cell>
        </row>
        <row r="50">
          <cell r="A50" t="str">
            <v>CDG6 </v>
          </cell>
          <cell r="B50">
            <v>77</v>
          </cell>
          <cell r="C50" t="str">
            <v>Attività culturali gestione sale                            </v>
          </cell>
          <cell r="D50">
            <v>5</v>
          </cell>
          <cell r="E50">
            <v>71</v>
          </cell>
          <cell r="F50" t="str">
            <v>CONSUMI SPECIFICI                                           </v>
          </cell>
          <cell r="G50">
            <v>0</v>
          </cell>
          <cell r="H50">
            <v>73160.57</v>
          </cell>
          <cell r="I50">
            <v>520846.78</v>
          </cell>
          <cell r="J50">
            <v>1574289.73</v>
          </cell>
          <cell r="K50">
            <v>722135.86</v>
          </cell>
        </row>
        <row r="51">
          <cell r="A51" t="str">
            <v>CDG6 </v>
          </cell>
          <cell r="B51">
            <v>79</v>
          </cell>
          <cell r="C51" t="str">
            <v>Biblioteca dell'Archiginnasio                               </v>
          </cell>
          <cell r="D51">
            <v>5</v>
          </cell>
          <cell r="E51">
            <v>71</v>
          </cell>
          <cell r="F51" t="str">
            <v>CONSUMI SPECIFICI                                           </v>
          </cell>
          <cell r="G51">
            <v>0</v>
          </cell>
          <cell r="H51">
            <v>34994.26</v>
          </cell>
          <cell r="I51">
            <v>581530.47</v>
          </cell>
          <cell r="J51">
            <v>758675.18</v>
          </cell>
          <cell r="K51">
            <v>681206.65</v>
          </cell>
        </row>
        <row r="52">
          <cell r="A52" t="str">
            <v>CDG6 </v>
          </cell>
          <cell r="B52">
            <v>85</v>
          </cell>
          <cell r="C52" t="str">
            <v>Museo del Patrimonio industriale                            </v>
          </cell>
          <cell r="D52">
            <v>5</v>
          </cell>
          <cell r="E52">
            <v>71</v>
          </cell>
          <cell r="F52" t="str">
            <v>CONSUMI SPECIFICI                                           </v>
          </cell>
          <cell r="G52">
            <v>0</v>
          </cell>
          <cell r="H52">
            <v>14675.98</v>
          </cell>
          <cell r="I52">
            <v>287150.04</v>
          </cell>
          <cell r="J52">
            <v>184375.11</v>
          </cell>
          <cell r="K52">
            <v>184375.11</v>
          </cell>
        </row>
        <row r="53">
          <cell r="A53" t="str">
            <v>CDG6 </v>
          </cell>
          <cell r="B53">
            <v>82</v>
          </cell>
          <cell r="C53" t="str">
            <v>Musei Civici di arte antica                                 </v>
          </cell>
          <cell r="D53">
            <v>5</v>
          </cell>
          <cell r="E53">
            <v>71</v>
          </cell>
          <cell r="F53" t="str">
            <v>CONSUMI SPECIFICI                                           </v>
          </cell>
          <cell r="G53">
            <v>0</v>
          </cell>
          <cell r="H53">
            <v>45159.85</v>
          </cell>
          <cell r="I53">
            <v>565158.78</v>
          </cell>
          <cell r="J53">
            <v>710128.23</v>
          </cell>
          <cell r="K53">
            <v>635241.99</v>
          </cell>
        </row>
        <row r="54">
          <cell r="A54" t="str">
            <v>CDG6 </v>
          </cell>
          <cell r="B54">
            <v>80</v>
          </cell>
          <cell r="C54" t="str">
            <v>Sala Borsa/CentroDoc.Don.-Bibl.Naz.Don.                     </v>
          </cell>
          <cell r="D54">
            <v>5</v>
          </cell>
          <cell r="E54">
            <v>71</v>
          </cell>
          <cell r="F54" t="str">
            <v>CONSUMI SPECIFICI                                           </v>
          </cell>
          <cell r="G54">
            <v>0</v>
          </cell>
          <cell r="H54">
            <v>55971.02</v>
          </cell>
          <cell r="I54">
            <v>986949.12</v>
          </cell>
          <cell r="J54">
            <v>1422838.76</v>
          </cell>
          <cell r="K54">
            <v>1143952.04</v>
          </cell>
        </row>
        <row r="55">
          <cell r="A55" t="str">
            <v>CDG6 </v>
          </cell>
          <cell r="B55">
            <v>81</v>
          </cell>
          <cell r="C55" t="str">
            <v>Museo Archelogico                                           </v>
          </cell>
          <cell r="D55">
            <v>5</v>
          </cell>
          <cell r="E55">
            <v>71</v>
          </cell>
          <cell r="F55" t="str">
            <v>CONSUMI SPECIFICI                                           </v>
          </cell>
          <cell r="G55">
            <v>0</v>
          </cell>
          <cell r="H55">
            <v>24359.55</v>
          </cell>
          <cell r="I55">
            <v>261327.2</v>
          </cell>
          <cell r="J55">
            <v>543829.11</v>
          </cell>
          <cell r="K55">
            <v>445702.3</v>
          </cell>
        </row>
        <row r="56">
          <cell r="A56" t="str">
            <v>CDG6 </v>
          </cell>
          <cell r="B56">
            <v>254</v>
          </cell>
          <cell r="C56" t="str">
            <v>Prog.nuove ist.mus.:m.resistenza/Certosa                    </v>
          </cell>
          <cell r="D56">
            <v>5</v>
          </cell>
          <cell r="E56">
            <v>71</v>
          </cell>
          <cell r="F56" t="str">
            <v>CONSUMI SPECIFICI                                           </v>
          </cell>
          <cell r="G56">
            <v>0</v>
          </cell>
          <cell r="H56">
            <v>0</v>
          </cell>
          <cell r="I56">
            <v>36151.98</v>
          </cell>
          <cell r="J56">
            <v>531950.61</v>
          </cell>
          <cell r="K56">
            <v>214329.61</v>
          </cell>
        </row>
        <row r="57">
          <cell r="A57" t="str">
            <v>CDG6 </v>
          </cell>
          <cell r="B57">
            <v>83</v>
          </cell>
          <cell r="C57" t="str">
            <v>Istituzione Cineteca                                        </v>
          </cell>
          <cell r="D57">
            <v>5</v>
          </cell>
          <cell r="E57">
            <v>71</v>
          </cell>
          <cell r="F57" t="str">
            <v>CONSUMI SPECIFICI                                           </v>
          </cell>
          <cell r="G57">
            <v>0</v>
          </cell>
          <cell r="H57">
            <v>40929.21</v>
          </cell>
          <cell r="I57">
            <v>496315.08</v>
          </cell>
          <cell r="J57">
            <v>491150.51</v>
          </cell>
          <cell r="K57">
            <v>491150.51</v>
          </cell>
        </row>
        <row r="58">
          <cell r="A58" t="str">
            <v>CDG6 </v>
          </cell>
          <cell r="B58">
            <v>76</v>
          </cell>
          <cell r="C58" t="str">
            <v>Direzione, amm.,CDG/altro - Cultura                         </v>
          </cell>
          <cell r="D58">
            <v>5</v>
          </cell>
          <cell r="E58">
            <v>71</v>
          </cell>
          <cell r="F58" t="str">
            <v>CONSUMI SPECIFICI                                           </v>
          </cell>
          <cell r="G58">
            <v>0</v>
          </cell>
          <cell r="H58">
            <v>53899.7</v>
          </cell>
          <cell r="I58">
            <v>357465.66</v>
          </cell>
          <cell r="J58">
            <v>214701.46</v>
          </cell>
          <cell r="K58">
            <v>214701.46</v>
          </cell>
        </row>
        <row r="59">
          <cell r="A59" t="str">
            <v>CDG6 </v>
          </cell>
          <cell r="B59">
            <v>84</v>
          </cell>
          <cell r="C59" t="str">
            <v>Istituzione Galleria d'arte moderna                         </v>
          </cell>
          <cell r="D59">
            <v>5</v>
          </cell>
          <cell r="E59">
            <v>71</v>
          </cell>
          <cell r="F59" t="str">
            <v>CONSUMI SPECIFICI                                           </v>
          </cell>
          <cell r="G59">
            <v>0</v>
          </cell>
          <cell r="H59">
            <v>94683.76</v>
          </cell>
          <cell r="I59">
            <v>1133622.89</v>
          </cell>
          <cell r="J59">
            <v>1133622.89</v>
          </cell>
          <cell r="K59">
            <v>1133622.89</v>
          </cell>
        </row>
        <row r="60">
          <cell r="A60" t="str">
            <v>CDG6 </v>
          </cell>
          <cell r="B60">
            <v>86</v>
          </cell>
          <cell r="C60" t="str">
            <v>Enti culturali non gestiti                                  </v>
          </cell>
          <cell r="D60">
            <v>5</v>
          </cell>
          <cell r="E60">
            <v>71</v>
          </cell>
          <cell r="F60" t="str">
            <v>CONSUMI SPECIFICI                                           </v>
          </cell>
          <cell r="G60">
            <v>0</v>
          </cell>
          <cell r="H60">
            <v>11794.59</v>
          </cell>
          <cell r="I60">
            <v>212289.61</v>
          </cell>
          <cell r="J60">
            <v>167357.86</v>
          </cell>
          <cell r="K60">
            <v>167357.86</v>
          </cell>
        </row>
        <row r="61">
          <cell r="A61" t="str">
            <v>CDG6 </v>
          </cell>
          <cell r="B61">
            <v>78</v>
          </cell>
          <cell r="C61" t="str">
            <v>Teatri,spettacolo e prom.giovani artisti                    </v>
          </cell>
          <cell r="D61">
            <v>5</v>
          </cell>
          <cell r="E61">
            <v>71</v>
          </cell>
          <cell r="F61" t="str">
            <v>CONSUMI SPECIFICI                                           </v>
          </cell>
          <cell r="G61">
            <v>0</v>
          </cell>
          <cell r="H61">
            <v>254598.05</v>
          </cell>
          <cell r="I61">
            <v>3047575.5</v>
          </cell>
          <cell r="J61">
            <v>3015075.39</v>
          </cell>
          <cell r="K61">
            <v>2669049.27</v>
          </cell>
        </row>
        <row r="62">
          <cell r="A62" t="str">
            <v>CDG6 </v>
          </cell>
          <cell r="B62">
            <v>87</v>
          </cell>
          <cell r="C62" t="str">
            <v>Sistema dei musei ed attività espositive                    </v>
          </cell>
          <cell r="D62">
            <v>5</v>
          </cell>
          <cell r="E62">
            <v>71</v>
          </cell>
          <cell r="F62" t="str">
            <v>CONSUMI SPECIFICI                                           </v>
          </cell>
          <cell r="G62">
            <v>0</v>
          </cell>
          <cell r="H62">
            <v>12911.42</v>
          </cell>
          <cell r="I62">
            <v>154937.07</v>
          </cell>
          <cell r="J62">
            <v>175595.35</v>
          </cell>
          <cell r="K62">
            <v>175595.35</v>
          </cell>
        </row>
        <row r="63">
          <cell r="A63" t="str">
            <v>CDG6 </v>
          </cell>
          <cell r="B63">
            <v>204</v>
          </cell>
          <cell r="C63" t="str">
            <v>Cultura/giovani/sport - Q. San Donato                       </v>
          </cell>
          <cell r="D63">
            <v>5</v>
          </cell>
          <cell r="E63">
            <v>71</v>
          </cell>
          <cell r="F63" t="str">
            <v>CONSUMI SPECIFICI                                           </v>
          </cell>
          <cell r="G63">
            <v>0</v>
          </cell>
          <cell r="H63">
            <v>1721.52</v>
          </cell>
          <cell r="I63">
            <v>435118.04</v>
          </cell>
          <cell r="J63">
            <v>0</v>
          </cell>
          <cell r="K63">
            <v>0</v>
          </cell>
        </row>
        <row r="64">
          <cell r="A64" t="str">
            <v>CDG6 </v>
          </cell>
          <cell r="B64">
            <v>167</v>
          </cell>
          <cell r="C64" t="str">
            <v>Servizi socio assistenziali - Q. Navile                     </v>
          </cell>
          <cell r="D64">
            <v>5</v>
          </cell>
          <cell r="E64">
            <v>71</v>
          </cell>
          <cell r="F64" t="str">
            <v>CONSUMI SPECIFICI                                           </v>
          </cell>
          <cell r="G64">
            <v>0</v>
          </cell>
          <cell r="H64">
            <v>0</v>
          </cell>
          <cell r="I64">
            <v>10329.14</v>
          </cell>
          <cell r="J64">
            <v>0</v>
          </cell>
          <cell r="K64">
            <v>0</v>
          </cell>
        </row>
        <row r="65">
          <cell r="A65" t="str">
            <v>CDG6 </v>
          </cell>
          <cell r="B65">
            <v>47</v>
          </cell>
          <cell r="C65" t="str">
            <v>Studi e interventi storico-monumentali                      </v>
          </cell>
          <cell r="D65">
            <v>5</v>
          </cell>
          <cell r="E65">
            <v>71</v>
          </cell>
          <cell r="F65" t="str">
            <v>CONSUMI SPECIFICI                                           </v>
          </cell>
          <cell r="G65">
            <v>0</v>
          </cell>
          <cell r="H65">
            <v>150.63</v>
          </cell>
          <cell r="I65">
            <v>2065.83</v>
          </cell>
          <cell r="J65">
            <v>2065.83</v>
          </cell>
          <cell r="K65">
            <v>2065.83</v>
          </cell>
        </row>
        <row r="66">
          <cell r="A66" t="str">
            <v>CDG6 </v>
          </cell>
          <cell r="B66">
            <v>244</v>
          </cell>
          <cell r="C66" t="str">
            <v>Cultura/giovani/sport - Q. Savena                           </v>
          </cell>
          <cell r="D66">
            <v>5</v>
          </cell>
          <cell r="E66">
            <v>71</v>
          </cell>
          <cell r="F66" t="str">
            <v>CONSUMI SPECIFICI                                           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CDG6 </v>
          </cell>
          <cell r="B67">
            <v>126</v>
          </cell>
          <cell r="C67" t="str">
            <v>Istituz. Serv. per l'immigrazione (ISI)                     </v>
          </cell>
          <cell r="D67">
            <v>5</v>
          </cell>
          <cell r="E67">
            <v>71</v>
          </cell>
          <cell r="F67" t="str">
            <v>CONSUMI SPECIFICI                                           </v>
          </cell>
          <cell r="G67">
            <v>0</v>
          </cell>
          <cell r="H67">
            <v>96835.67</v>
          </cell>
          <cell r="I67">
            <v>1119590.76</v>
          </cell>
          <cell r="J67">
            <v>1734119.43</v>
          </cell>
          <cell r="K67">
            <v>1665829.49</v>
          </cell>
        </row>
        <row r="68">
          <cell r="A68" t="str">
            <v>CDG6 </v>
          </cell>
          <cell r="B68">
            <v>251</v>
          </cell>
          <cell r="C68" t="str">
            <v>Comitato Bologna 2000                                       </v>
          </cell>
          <cell r="D68">
            <v>5</v>
          </cell>
          <cell r="E68">
            <v>71</v>
          </cell>
          <cell r="F68" t="str">
            <v>CONSUMI SPECIFICI                                           </v>
          </cell>
          <cell r="G68">
            <v>0</v>
          </cell>
          <cell r="H68">
            <v>597113.86</v>
          </cell>
          <cell r="I68">
            <v>4648112.09</v>
          </cell>
          <cell r="J68">
            <v>0</v>
          </cell>
          <cell r="K68">
            <v>0</v>
          </cell>
        </row>
        <row r="69">
          <cell r="A69" t="str">
            <v>CDG6 </v>
          </cell>
          <cell r="B69">
            <v>93</v>
          </cell>
          <cell r="C69" t="str">
            <v>Sport                                                       </v>
          </cell>
          <cell r="D69">
            <v>5</v>
          </cell>
          <cell r="E69">
            <v>71</v>
          </cell>
          <cell r="F69" t="str">
            <v>CONSUMI SPECIFICI                                           </v>
          </cell>
          <cell r="G69">
            <v>0</v>
          </cell>
          <cell r="H69">
            <v>260557.24</v>
          </cell>
          <cell r="I69">
            <v>3052389.39</v>
          </cell>
          <cell r="J69">
            <v>3148966.83</v>
          </cell>
          <cell r="K69">
            <v>3128308.55</v>
          </cell>
        </row>
        <row r="70">
          <cell r="A70" t="str">
            <v>CDG6 </v>
          </cell>
          <cell r="B70">
            <v>73</v>
          </cell>
          <cell r="C70" t="str">
            <v>Economia e lavoro                                           </v>
          </cell>
          <cell r="D70">
            <v>5</v>
          </cell>
          <cell r="E70">
            <v>71</v>
          </cell>
          <cell r="F70" t="str">
            <v>CONSUMI SPECIFICI                                           </v>
          </cell>
          <cell r="G70">
            <v>0</v>
          </cell>
          <cell r="H70">
            <v>271617.38</v>
          </cell>
          <cell r="I70">
            <v>1997628.4</v>
          </cell>
          <cell r="J70">
            <v>3473835.61</v>
          </cell>
          <cell r="K70">
            <v>3431816.85</v>
          </cell>
        </row>
        <row r="71">
          <cell r="A71" t="str">
            <v>CDG6 </v>
          </cell>
          <cell r="B71">
            <v>74</v>
          </cell>
          <cell r="C71" t="str">
            <v>Controllo attività produttive                               </v>
          </cell>
          <cell r="D71">
            <v>5</v>
          </cell>
          <cell r="E71">
            <v>71</v>
          </cell>
          <cell r="F71" t="str">
            <v>CONSUMI SPECIFICI                                           </v>
          </cell>
          <cell r="G71">
            <v>0</v>
          </cell>
          <cell r="H71">
            <v>3651.35</v>
          </cell>
          <cell r="I71">
            <v>33525.28</v>
          </cell>
          <cell r="J71">
            <v>18075.99</v>
          </cell>
          <cell r="K71">
            <v>18075.99</v>
          </cell>
        </row>
        <row r="72">
          <cell r="A72" t="str">
            <v>CDG6 </v>
          </cell>
          <cell r="B72">
            <v>97</v>
          </cell>
          <cell r="C72" t="str">
            <v>Direzione, amm.,CDG/altro - traffico                        </v>
          </cell>
          <cell r="D72">
            <v>5</v>
          </cell>
          <cell r="E72">
            <v>71</v>
          </cell>
          <cell r="F72" t="str">
            <v>CONSUMI SPECIFICI                                           </v>
          </cell>
          <cell r="G72">
            <v>0</v>
          </cell>
          <cell r="H72">
            <v>6821.53</v>
          </cell>
          <cell r="I72">
            <v>655900.26</v>
          </cell>
          <cell r="J72">
            <v>239636</v>
          </cell>
          <cell r="K72">
            <v>231889.14</v>
          </cell>
        </row>
        <row r="73">
          <cell r="A73" t="str">
            <v>CDG6 </v>
          </cell>
          <cell r="B73">
            <v>60</v>
          </cell>
          <cell r="C73" t="str">
            <v>Manutenzione segnaletica e semafori                         </v>
          </cell>
          <cell r="D73">
            <v>5</v>
          </cell>
          <cell r="E73">
            <v>71</v>
          </cell>
          <cell r="F73" t="str">
            <v>CONSUMI SPECIFICI                                           </v>
          </cell>
          <cell r="G73">
            <v>0</v>
          </cell>
          <cell r="H73">
            <v>112410.65</v>
          </cell>
          <cell r="I73">
            <v>1714636.91</v>
          </cell>
          <cell r="J73">
            <v>1549370.7</v>
          </cell>
          <cell r="K73">
            <v>1394433.63</v>
          </cell>
        </row>
        <row r="74">
          <cell r="A74" t="str">
            <v>CDG6 </v>
          </cell>
          <cell r="B74">
            <v>56</v>
          </cell>
          <cell r="C74" t="str">
            <v>Manutenzione strade                                         </v>
          </cell>
          <cell r="D74">
            <v>5</v>
          </cell>
          <cell r="E74">
            <v>71</v>
          </cell>
          <cell r="F74" t="str">
            <v>CONSUMI SPECIFICI                                           </v>
          </cell>
          <cell r="G74">
            <v>0</v>
          </cell>
          <cell r="H74">
            <v>276511.03</v>
          </cell>
          <cell r="I74">
            <v>2176865.83</v>
          </cell>
          <cell r="J74">
            <v>2324056.05</v>
          </cell>
          <cell r="K74">
            <v>1962536.22</v>
          </cell>
        </row>
        <row r="75">
          <cell r="A75" t="str">
            <v>CDG6 </v>
          </cell>
          <cell r="B75">
            <v>101</v>
          </cell>
          <cell r="C75" t="str">
            <v>Rete semaforica                                             </v>
          </cell>
          <cell r="D75">
            <v>5</v>
          </cell>
          <cell r="E75">
            <v>71</v>
          </cell>
          <cell r="F75" t="str">
            <v>CONSUMI SPECIFICI                                           </v>
          </cell>
          <cell r="G75">
            <v>0</v>
          </cell>
          <cell r="H75">
            <v>22164.61</v>
          </cell>
          <cell r="I75">
            <v>165266.21</v>
          </cell>
          <cell r="J75">
            <v>125449.03</v>
          </cell>
          <cell r="K75">
            <v>99676.18</v>
          </cell>
        </row>
        <row r="76">
          <cell r="A76" t="str">
            <v>CDG6 </v>
          </cell>
          <cell r="B76">
            <v>262</v>
          </cell>
          <cell r="C76" t="str">
            <v>Piano sosta e parcheggi                                     </v>
          </cell>
          <cell r="D76">
            <v>5</v>
          </cell>
          <cell r="E76">
            <v>71</v>
          </cell>
          <cell r="F76" t="str">
            <v>CONSUMI SPECIFICI                                           </v>
          </cell>
          <cell r="G76">
            <v>0</v>
          </cell>
          <cell r="H76">
            <v>16010.17</v>
          </cell>
          <cell r="I76">
            <v>227241.03</v>
          </cell>
          <cell r="J76">
            <v>165266.2</v>
          </cell>
          <cell r="K76">
            <v>165266.2</v>
          </cell>
        </row>
        <row r="77">
          <cell r="A77" t="str">
            <v>CDG6 </v>
          </cell>
          <cell r="B77">
            <v>98</v>
          </cell>
          <cell r="C77" t="str">
            <v>Autorizz.ni,licenze e coord.interventi                      </v>
          </cell>
          <cell r="D77">
            <v>5</v>
          </cell>
          <cell r="E77">
            <v>71</v>
          </cell>
          <cell r="F77" t="str">
            <v>CONSUMI SPECIFICI                                           </v>
          </cell>
          <cell r="G77">
            <v>0</v>
          </cell>
          <cell r="H77">
            <v>8392.42</v>
          </cell>
          <cell r="I77">
            <v>103291.37</v>
          </cell>
          <cell r="J77">
            <v>108455.95</v>
          </cell>
          <cell r="K77">
            <v>92962.24</v>
          </cell>
        </row>
        <row r="78">
          <cell r="A78" t="str">
            <v>CDG6 </v>
          </cell>
          <cell r="B78">
            <v>4</v>
          </cell>
          <cell r="C78" t="str">
            <v>Pianificaz. infrastrutturale trasporti                      </v>
          </cell>
          <cell r="D78">
            <v>5</v>
          </cell>
          <cell r="E78">
            <v>71</v>
          </cell>
          <cell r="F78" t="str">
            <v>CONSUMI SPECIFICI                                           </v>
          </cell>
          <cell r="G78">
            <v>0</v>
          </cell>
          <cell r="H78">
            <v>10372.17</v>
          </cell>
          <cell r="I78">
            <v>54227.97</v>
          </cell>
          <cell r="J78">
            <v>299545</v>
          </cell>
          <cell r="K78">
            <v>299545</v>
          </cell>
        </row>
        <row r="79">
          <cell r="A79" t="str">
            <v>CDG6 </v>
          </cell>
          <cell r="B79">
            <v>100</v>
          </cell>
          <cell r="C79" t="str">
            <v>Studi, pianificazione e progettazione                       </v>
          </cell>
          <cell r="D79">
            <v>5</v>
          </cell>
          <cell r="E79">
            <v>71</v>
          </cell>
          <cell r="F79" t="str">
            <v>CONSUMI SPECIFICI                                           </v>
          </cell>
          <cell r="G79">
            <v>0</v>
          </cell>
          <cell r="H79">
            <v>60554.57</v>
          </cell>
          <cell r="I79">
            <v>1262737.12</v>
          </cell>
          <cell r="J79">
            <v>448284.59</v>
          </cell>
          <cell r="K79">
            <v>404385.75</v>
          </cell>
        </row>
        <row r="80">
          <cell r="A80" t="str">
            <v>CDG6 </v>
          </cell>
          <cell r="B80">
            <v>99</v>
          </cell>
          <cell r="C80" t="str">
            <v>Relazioni esterne                                           </v>
          </cell>
          <cell r="D80">
            <v>5</v>
          </cell>
          <cell r="E80">
            <v>71</v>
          </cell>
          <cell r="F80" t="str">
            <v>CONSUMI SPECIFICI                                           </v>
          </cell>
          <cell r="G80">
            <v>0</v>
          </cell>
          <cell r="H80">
            <v>1291.14</v>
          </cell>
          <cell r="I80">
            <v>67139.4</v>
          </cell>
          <cell r="J80">
            <v>69721.68</v>
          </cell>
          <cell r="K80">
            <v>43898.84</v>
          </cell>
        </row>
        <row r="81">
          <cell r="A81" t="str">
            <v>CDG6 </v>
          </cell>
          <cell r="B81">
            <v>261</v>
          </cell>
          <cell r="C81" t="str">
            <v>Gestione illuminazione e semafori                           </v>
          </cell>
          <cell r="D81">
            <v>5</v>
          </cell>
          <cell r="E81">
            <v>71</v>
          </cell>
          <cell r="F81" t="str">
            <v>CONSUMI SPECIFICI                                           </v>
          </cell>
          <cell r="G81">
            <v>0</v>
          </cell>
          <cell r="H81">
            <v>22843.21</v>
          </cell>
          <cell r="I81">
            <v>30987.41</v>
          </cell>
          <cell r="J81">
            <v>0</v>
          </cell>
          <cell r="K81">
            <v>3904414.15</v>
          </cell>
        </row>
        <row r="82">
          <cell r="A82" t="str">
            <v>CDG6 </v>
          </cell>
          <cell r="B82">
            <v>49</v>
          </cell>
          <cell r="C82" t="str">
            <v>Strade                                                      </v>
          </cell>
          <cell r="D82">
            <v>5</v>
          </cell>
          <cell r="E82">
            <v>71</v>
          </cell>
          <cell r="F82" t="str">
            <v>CONSUMI SPECIFICI                                           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A83" t="str">
            <v>CDG6 </v>
          </cell>
          <cell r="B83">
            <v>59</v>
          </cell>
          <cell r="C83" t="str">
            <v>Manutenzione illuminazione pubblica                         </v>
          </cell>
          <cell r="D83">
            <v>5</v>
          </cell>
          <cell r="E83">
            <v>71</v>
          </cell>
          <cell r="F83" t="str">
            <v>CONSUMI SPECIFICI                                           </v>
          </cell>
          <cell r="G83">
            <v>0</v>
          </cell>
          <cell r="H83">
            <v>135913.42</v>
          </cell>
          <cell r="I83">
            <v>1780743.39</v>
          </cell>
          <cell r="J83">
            <v>154937.07</v>
          </cell>
          <cell r="K83">
            <v>154937.07</v>
          </cell>
        </row>
        <row r="84">
          <cell r="A84" t="str">
            <v>CDG6 </v>
          </cell>
          <cell r="B84">
            <v>52</v>
          </cell>
          <cell r="C84" t="str">
            <v>Illuminazione pubblica                                      </v>
          </cell>
          <cell r="D84">
            <v>5</v>
          </cell>
          <cell r="E84">
            <v>71</v>
          </cell>
          <cell r="F84" t="str">
            <v>CONSUMI SPECIFICI                                           </v>
          </cell>
          <cell r="G84">
            <v>0</v>
          </cell>
          <cell r="H84">
            <v>27.97</v>
          </cell>
          <cell r="I84">
            <v>335.7</v>
          </cell>
          <cell r="J84">
            <v>361.51</v>
          </cell>
          <cell r="K84">
            <v>361.52</v>
          </cell>
        </row>
        <row r="85">
          <cell r="A85" t="str">
            <v>CDG6 </v>
          </cell>
          <cell r="B85">
            <v>136</v>
          </cell>
          <cell r="C85" t="str">
            <v>Urbanistica                                                 </v>
          </cell>
          <cell r="D85">
            <v>5</v>
          </cell>
          <cell r="E85">
            <v>71</v>
          </cell>
          <cell r="F85" t="str">
            <v>CONSUMI SPECIFICI                                           </v>
          </cell>
          <cell r="G85">
            <v>0</v>
          </cell>
          <cell r="H85">
            <v>26691.74</v>
          </cell>
          <cell r="I85">
            <v>473074.52</v>
          </cell>
          <cell r="J85">
            <v>1480165.84</v>
          </cell>
          <cell r="K85">
            <v>374947.71</v>
          </cell>
        </row>
        <row r="86">
          <cell r="A86" t="str">
            <v>CDG6 </v>
          </cell>
          <cell r="B86">
            <v>138</v>
          </cell>
          <cell r="C86" t="str">
            <v>Sistema informativo territoriale                            </v>
          </cell>
          <cell r="D86">
            <v>5</v>
          </cell>
          <cell r="E86">
            <v>71</v>
          </cell>
          <cell r="F86" t="str">
            <v>CONSUMI SPECIFICI                                           </v>
          </cell>
          <cell r="G86">
            <v>0</v>
          </cell>
          <cell r="H86">
            <v>18510.67</v>
          </cell>
          <cell r="I86">
            <v>343443.83</v>
          </cell>
          <cell r="J86">
            <v>344063.59</v>
          </cell>
          <cell r="K86">
            <v>307911.61</v>
          </cell>
        </row>
        <row r="87">
          <cell r="A87" t="str">
            <v>CDG6 </v>
          </cell>
          <cell r="B87">
            <v>134</v>
          </cell>
          <cell r="C87" t="str">
            <v>Ambiente                                                    </v>
          </cell>
          <cell r="D87">
            <v>5</v>
          </cell>
          <cell r="E87">
            <v>71</v>
          </cell>
          <cell r="F87" t="str">
            <v>CONSUMI SPECIFICI                                           </v>
          </cell>
          <cell r="G87">
            <v>0</v>
          </cell>
          <cell r="H87">
            <v>125959.53</v>
          </cell>
          <cell r="I87">
            <v>2910234.63</v>
          </cell>
          <cell r="J87">
            <v>1406828.61</v>
          </cell>
          <cell r="K87">
            <v>1680550.76</v>
          </cell>
        </row>
        <row r="88">
          <cell r="A88" t="str">
            <v>CDG6 </v>
          </cell>
          <cell r="B88">
            <v>137</v>
          </cell>
          <cell r="C88" t="str">
            <v>Controllo edilizio                                          </v>
          </cell>
          <cell r="D88">
            <v>5</v>
          </cell>
          <cell r="E88">
            <v>71</v>
          </cell>
          <cell r="F88" t="str">
            <v>CONSUMI SPECIFICI                                           </v>
          </cell>
          <cell r="G88">
            <v>0</v>
          </cell>
          <cell r="H88">
            <v>96405.29</v>
          </cell>
          <cell r="I88">
            <v>180759.91</v>
          </cell>
          <cell r="J88">
            <v>159585.19</v>
          </cell>
          <cell r="K88">
            <v>128597.77</v>
          </cell>
        </row>
        <row r="89">
          <cell r="A89" t="str">
            <v>CDG6 </v>
          </cell>
          <cell r="B89">
            <v>133</v>
          </cell>
          <cell r="C89" t="str">
            <v>Direz.,amm.,CDG/altro-territ.e riq.urb.                     </v>
          </cell>
          <cell r="D89">
            <v>5</v>
          </cell>
          <cell r="E89">
            <v>71</v>
          </cell>
          <cell r="F89" t="str">
            <v>CONSUMI SPECIFICI                                           </v>
          </cell>
          <cell r="G89">
            <v>0</v>
          </cell>
          <cell r="H89">
            <v>6025.33</v>
          </cell>
          <cell r="I89">
            <v>72303.97</v>
          </cell>
          <cell r="J89">
            <v>77468.54</v>
          </cell>
          <cell r="K89">
            <v>77468.53</v>
          </cell>
        </row>
        <row r="90">
          <cell r="A90" t="str">
            <v>CDG6 </v>
          </cell>
          <cell r="B90">
            <v>139</v>
          </cell>
          <cell r="C90" t="str">
            <v>Casa                                                        </v>
          </cell>
          <cell r="D90">
            <v>5</v>
          </cell>
          <cell r="E90">
            <v>71</v>
          </cell>
          <cell r="F90" t="str">
            <v>CONSUMI SPECIFICI                                           </v>
          </cell>
          <cell r="G90">
            <v>0</v>
          </cell>
          <cell r="H90">
            <v>45706.43</v>
          </cell>
          <cell r="I90">
            <v>958027.54</v>
          </cell>
          <cell r="J90">
            <v>6225888.04</v>
          </cell>
          <cell r="K90">
            <v>6225887.91</v>
          </cell>
        </row>
        <row r="91">
          <cell r="A91" t="str">
            <v>CDG6 </v>
          </cell>
          <cell r="B91">
            <v>7</v>
          </cell>
          <cell r="C91" t="str">
            <v>Protezione civile                                           </v>
          </cell>
          <cell r="D91">
            <v>5</v>
          </cell>
          <cell r="E91">
            <v>71</v>
          </cell>
          <cell r="F91" t="str">
            <v>CONSUMI SPECIFICI                                           </v>
          </cell>
          <cell r="G91">
            <v>0</v>
          </cell>
          <cell r="H91">
            <v>14719.03</v>
          </cell>
          <cell r="I91">
            <v>104840.76</v>
          </cell>
          <cell r="J91">
            <v>120334.47</v>
          </cell>
          <cell r="K91">
            <v>120334.47</v>
          </cell>
        </row>
        <row r="92">
          <cell r="A92" t="str">
            <v>CDG6 </v>
          </cell>
          <cell r="B92">
            <v>50</v>
          </cell>
          <cell r="C92" t="str">
            <v>Fognature                                                   </v>
          </cell>
          <cell r="D92">
            <v>5</v>
          </cell>
          <cell r="E92">
            <v>71</v>
          </cell>
          <cell r="F92" t="str">
            <v>CONSUMI SPECIFICI                                           </v>
          </cell>
          <cell r="G92">
            <v>0</v>
          </cell>
          <cell r="H92">
            <v>17215.23</v>
          </cell>
          <cell r="I92">
            <v>258228.45</v>
          </cell>
          <cell r="J92">
            <v>18592.45</v>
          </cell>
          <cell r="K92">
            <v>18592.45</v>
          </cell>
        </row>
        <row r="93">
          <cell r="A93" t="str">
            <v>CDG6 </v>
          </cell>
          <cell r="B93">
            <v>6</v>
          </cell>
          <cell r="C93" t="str">
            <v>Progetto speciale qualità urbana                            </v>
          </cell>
          <cell r="D93">
            <v>5</v>
          </cell>
          <cell r="E93">
            <v>71</v>
          </cell>
          <cell r="F93" t="str">
            <v>CONSUMI SPECIFICI                                           </v>
          </cell>
          <cell r="G93">
            <v>0</v>
          </cell>
          <cell r="H93">
            <v>1015.53</v>
          </cell>
          <cell r="I93">
            <v>237570.17</v>
          </cell>
          <cell r="J93">
            <v>309874.14</v>
          </cell>
          <cell r="K93">
            <v>51645.69</v>
          </cell>
        </row>
        <row r="94">
          <cell r="A94" t="str">
            <v>CDG6 </v>
          </cell>
          <cell r="B94">
            <v>57</v>
          </cell>
          <cell r="C94" t="str">
            <v>Manutenzione verde                                          </v>
          </cell>
          <cell r="D94">
            <v>5</v>
          </cell>
          <cell r="E94">
            <v>71</v>
          </cell>
          <cell r="F94" t="str">
            <v>CONSUMI SPECIFICI                                           </v>
          </cell>
          <cell r="G94">
            <v>0</v>
          </cell>
          <cell r="H94">
            <v>363239.46</v>
          </cell>
          <cell r="I94">
            <v>3697831.4</v>
          </cell>
          <cell r="J94">
            <v>3479370.13</v>
          </cell>
          <cell r="K94">
            <v>3479370.13</v>
          </cell>
        </row>
        <row r="95">
          <cell r="A95" t="str">
            <v>CDG6 </v>
          </cell>
          <cell r="B95">
            <v>118</v>
          </cell>
          <cell r="C95" t="str">
            <v>Servizi sociali a minori e famiglie                         </v>
          </cell>
          <cell r="D95">
            <v>5</v>
          </cell>
          <cell r="E95">
            <v>71</v>
          </cell>
          <cell r="F95" t="str">
            <v>CONSUMI SPECIFICI                                           </v>
          </cell>
          <cell r="G95">
            <v>0</v>
          </cell>
          <cell r="H95">
            <v>527390.59</v>
          </cell>
          <cell r="I95">
            <v>6607533.05</v>
          </cell>
          <cell r="J95">
            <v>6489679.78</v>
          </cell>
          <cell r="K95">
            <v>6258424.7</v>
          </cell>
        </row>
        <row r="96">
          <cell r="A96" t="str">
            <v>CDG6 </v>
          </cell>
          <cell r="B96">
            <v>108</v>
          </cell>
          <cell r="C96" t="str">
            <v>Direz., amm.,CDG/altro - socio sanitario                    </v>
          </cell>
          <cell r="D96">
            <v>5</v>
          </cell>
          <cell r="E96">
            <v>71</v>
          </cell>
          <cell r="F96" t="str">
            <v>CONSUMI SPECIFICI                                           </v>
          </cell>
          <cell r="G96">
            <v>0</v>
          </cell>
          <cell r="H96">
            <v>19465.01</v>
          </cell>
          <cell r="I96">
            <v>193671.33</v>
          </cell>
          <cell r="J96">
            <v>619748.29</v>
          </cell>
          <cell r="K96">
            <v>506127.76</v>
          </cell>
        </row>
        <row r="97">
          <cell r="A97" t="str">
            <v>CDG6 </v>
          </cell>
          <cell r="B97">
            <v>255</v>
          </cell>
          <cell r="C97" t="str">
            <v>Sicurezza urbana                                            </v>
          </cell>
          <cell r="D97">
            <v>5</v>
          </cell>
          <cell r="E97">
            <v>71</v>
          </cell>
          <cell r="F97" t="str">
            <v>CONSUMI SPECIFICI                                           </v>
          </cell>
          <cell r="G97">
            <v>0</v>
          </cell>
          <cell r="H97">
            <v>91423.31</v>
          </cell>
          <cell r="I97">
            <v>900184.38</v>
          </cell>
          <cell r="J97">
            <v>795343.63</v>
          </cell>
          <cell r="K97">
            <v>795343.62</v>
          </cell>
        </row>
        <row r="98">
          <cell r="A98" t="str">
            <v>CDG6 </v>
          </cell>
          <cell r="B98">
            <v>259</v>
          </cell>
          <cell r="C98" t="str">
            <v>Direzione/amm./altro salute e qualità                       </v>
          </cell>
          <cell r="D98">
            <v>5</v>
          </cell>
          <cell r="E98">
            <v>71</v>
          </cell>
          <cell r="F98" t="str">
            <v>CONSUMI SPECIFICI                                           </v>
          </cell>
          <cell r="G98">
            <v>0</v>
          </cell>
          <cell r="H98">
            <v>0</v>
          </cell>
          <cell r="I98">
            <v>5164.57</v>
          </cell>
          <cell r="J98">
            <v>5167.57</v>
          </cell>
          <cell r="K98">
            <v>5164.57</v>
          </cell>
        </row>
        <row r="99">
          <cell r="A99" t="str">
            <v>CDG6 </v>
          </cell>
          <cell r="B99">
            <v>130</v>
          </cell>
          <cell r="C99" t="str">
            <v>Sanità e igiene pubblica                                    </v>
          </cell>
          <cell r="D99">
            <v>5</v>
          </cell>
          <cell r="E99">
            <v>71</v>
          </cell>
          <cell r="F99" t="str">
            <v>CONSUMI SPECIFICI                                           </v>
          </cell>
          <cell r="G99">
            <v>0</v>
          </cell>
          <cell r="H99">
            <v>25040.01</v>
          </cell>
          <cell r="I99">
            <v>253063.88</v>
          </cell>
          <cell r="J99">
            <v>490634.05</v>
          </cell>
          <cell r="K99">
            <v>464811.2</v>
          </cell>
        </row>
        <row r="100">
          <cell r="A100" t="str">
            <v>CDG6 </v>
          </cell>
          <cell r="B100">
            <v>121</v>
          </cell>
          <cell r="C100" t="str">
            <v>Servizi sociali per adulti                                  </v>
          </cell>
          <cell r="D100">
            <v>5</v>
          </cell>
          <cell r="E100">
            <v>71</v>
          </cell>
          <cell r="F100" t="str">
            <v>CONSUMI SPECIFICI                                           </v>
          </cell>
          <cell r="G100">
            <v>0</v>
          </cell>
          <cell r="H100">
            <v>215159.31</v>
          </cell>
          <cell r="I100">
            <v>3232549.18</v>
          </cell>
          <cell r="J100">
            <v>2064371.36</v>
          </cell>
          <cell r="K100">
            <v>2064371.36</v>
          </cell>
        </row>
        <row r="101">
          <cell r="A101" t="str">
            <v>CDG6 </v>
          </cell>
          <cell r="B101">
            <v>119</v>
          </cell>
          <cell r="C101" t="str">
            <v>Servizi sociali per anziani e handicap                      </v>
          </cell>
          <cell r="D101">
            <v>5</v>
          </cell>
          <cell r="E101">
            <v>71</v>
          </cell>
          <cell r="F101" t="str">
            <v>CONSUMI SPECIFICI                                           </v>
          </cell>
          <cell r="G101">
            <v>0</v>
          </cell>
          <cell r="H101">
            <v>101231.4</v>
          </cell>
          <cell r="I101">
            <v>1484939.06</v>
          </cell>
          <cell r="J101">
            <v>1322296.99</v>
          </cell>
          <cell r="K101">
            <v>1322296.99</v>
          </cell>
        </row>
        <row r="102">
          <cell r="A102" t="str">
            <v>CDG6 </v>
          </cell>
          <cell r="B102">
            <v>116</v>
          </cell>
          <cell r="C102" t="str">
            <v>Direzione servizi sociali                                   </v>
          </cell>
          <cell r="D102">
            <v>5</v>
          </cell>
          <cell r="E102">
            <v>71</v>
          </cell>
          <cell r="F102" t="str">
            <v>CONSUMI SPECIFICI                                           </v>
          </cell>
          <cell r="G102">
            <v>0</v>
          </cell>
          <cell r="H102">
            <v>8607.62</v>
          </cell>
          <cell r="I102">
            <v>0</v>
          </cell>
          <cell r="J102">
            <v>0</v>
          </cell>
          <cell r="K102">
            <v>0</v>
          </cell>
        </row>
        <row r="103">
          <cell r="A103" t="str">
            <v>CDG6 </v>
          </cell>
          <cell r="B103">
            <v>187</v>
          </cell>
          <cell r="C103" t="str">
            <v>Servi. socio assistenziali - Q. Reno                        </v>
          </cell>
          <cell r="D103">
            <v>5</v>
          </cell>
          <cell r="E103">
            <v>71</v>
          </cell>
          <cell r="F103" t="str">
            <v>CONSUMI SPECIFICI                                           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CDG6 </v>
          </cell>
          <cell r="B104">
            <v>125</v>
          </cell>
          <cell r="C104" t="str">
            <v>Servizi handicap gestione A.U.S.L.                          </v>
          </cell>
          <cell r="D104">
            <v>5</v>
          </cell>
          <cell r="E104">
            <v>71</v>
          </cell>
          <cell r="F104" t="str">
            <v>CONSUMI SPECIFICI                                           </v>
          </cell>
          <cell r="G104">
            <v>0</v>
          </cell>
          <cell r="H104">
            <v>291324.73</v>
          </cell>
          <cell r="I104">
            <v>4010287.82</v>
          </cell>
          <cell r="J104">
            <v>4131655.19</v>
          </cell>
          <cell r="K104">
            <v>4131655.19</v>
          </cell>
        </row>
        <row r="105">
          <cell r="A105" t="str">
            <v>CDG6 </v>
          </cell>
          <cell r="B105">
            <v>109</v>
          </cell>
          <cell r="C105" t="str">
            <v>Servizi funerari                                            </v>
          </cell>
          <cell r="D105">
            <v>5</v>
          </cell>
          <cell r="E105">
            <v>71</v>
          </cell>
          <cell r="F105" t="str">
            <v>CONSUMI SPECIFICI                                           </v>
          </cell>
          <cell r="G105">
            <v>0</v>
          </cell>
          <cell r="H105">
            <v>195074.39</v>
          </cell>
          <cell r="I105">
            <v>2412008.65</v>
          </cell>
          <cell r="J105">
            <v>2628920.56</v>
          </cell>
          <cell r="K105">
            <v>2499806.33</v>
          </cell>
        </row>
        <row r="106">
          <cell r="A106" t="str">
            <v>CDG6 </v>
          </cell>
          <cell r="B106">
            <v>48</v>
          </cell>
          <cell r="C106" t="str">
            <v>Edilizia pubblica                                           </v>
          </cell>
          <cell r="D106">
            <v>5</v>
          </cell>
          <cell r="E106">
            <v>71</v>
          </cell>
          <cell r="F106" t="str">
            <v>CONSUMI SPECIFICI                                           </v>
          </cell>
          <cell r="G106">
            <v>0</v>
          </cell>
          <cell r="H106">
            <v>30126.65</v>
          </cell>
          <cell r="I106">
            <v>413165.52</v>
          </cell>
          <cell r="J106">
            <v>516456.9</v>
          </cell>
          <cell r="K106">
            <v>516456.9</v>
          </cell>
        </row>
        <row r="107">
          <cell r="A107" t="str">
            <v>CDG6 </v>
          </cell>
          <cell r="B107">
            <v>72</v>
          </cell>
          <cell r="C107" t="str">
            <v>Direzione, amm.,CDG/altro - Economia                        </v>
          </cell>
          <cell r="D107">
            <v>5</v>
          </cell>
          <cell r="E107">
            <v>71</v>
          </cell>
          <cell r="F107" t="str">
            <v>CONSUMI SPECIFICI                                           </v>
          </cell>
          <cell r="G107">
            <v>0</v>
          </cell>
          <cell r="H107">
            <v>33139.32</v>
          </cell>
          <cell r="I107">
            <v>496831.53</v>
          </cell>
          <cell r="J107">
            <v>514907.52</v>
          </cell>
          <cell r="K107">
            <v>496831.53</v>
          </cell>
        </row>
        <row r="108">
          <cell r="A108" t="str">
            <v>CDG6 </v>
          </cell>
          <cell r="B108">
            <v>157</v>
          </cell>
          <cell r="C108" t="str">
            <v>Servizi socio assistenziali - Q. Borgo                      </v>
          </cell>
          <cell r="D108">
            <v>5</v>
          </cell>
          <cell r="E108">
            <v>5912</v>
          </cell>
          <cell r="F108" t="str">
            <v>Q.RI RIC.IN CASA RIP./AIUTI AUTONOMIA                       </v>
          </cell>
          <cell r="G108">
            <v>0</v>
          </cell>
          <cell r="H108">
            <v>26769.68</v>
          </cell>
          <cell r="I108">
            <v>185924.48</v>
          </cell>
          <cell r="J108">
            <v>154937.07</v>
          </cell>
          <cell r="K108">
            <v>154937.07</v>
          </cell>
        </row>
        <row r="109">
          <cell r="A109" t="str">
            <v>CDG6 </v>
          </cell>
          <cell r="B109">
            <v>167</v>
          </cell>
          <cell r="C109" t="str">
            <v>Servizi socio assistenziali - Q. Navile                     </v>
          </cell>
          <cell r="D109">
            <v>5</v>
          </cell>
          <cell r="E109">
            <v>5912</v>
          </cell>
          <cell r="F109" t="str">
            <v>Q.RI RIC.IN CASA RIP./AIUTI AUTONOMIA                       </v>
          </cell>
          <cell r="G109">
            <v>0</v>
          </cell>
          <cell r="H109">
            <v>79464.3</v>
          </cell>
          <cell r="I109">
            <v>1030847.97</v>
          </cell>
          <cell r="J109">
            <v>1027749.23</v>
          </cell>
          <cell r="K109">
            <v>1027749.23</v>
          </cell>
        </row>
        <row r="110">
          <cell r="A110" t="str">
            <v>CDG6 </v>
          </cell>
          <cell r="B110">
            <v>177</v>
          </cell>
          <cell r="C110" t="str">
            <v>Servizi socio assistenziali - Q. Porto                      </v>
          </cell>
          <cell r="D110">
            <v>5</v>
          </cell>
          <cell r="E110">
            <v>5912</v>
          </cell>
          <cell r="F110" t="str">
            <v>Q.RI RIC.IN CASA RIP./AIUTI AUTONOMIA                       </v>
          </cell>
          <cell r="G110">
            <v>0</v>
          </cell>
          <cell r="H110">
            <v>64961.67</v>
          </cell>
          <cell r="I110">
            <v>723039.66</v>
          </cell>
          <cell r="J110">
            <v>723039.66</v>
          </cell>
          <cell r="K110">
            <v>723039.66</v>
          </cell>
        </row>
        <row r="111">
          <cell r="A111" t="str">
            <v>CDG6 </v>
          </cell>
          <cell r="B111">
            <v>187</v>
          </cell>
          <cell r="C111" t="str">
            <v>Servi. socio assistenziali - Q. Reno                        </v>
          </cell>
          <cell r="D111">
            <v>5</v>
          </cell>
          <cell r="E111">
            <v>5912</v>
          </cell>
          <cell r="F111" t="str">
            <v>Q.RI RIC.IN CASA RIP./AIUTI AUTONOMIA                       </v>
          </cell>
          <cell r="G111">
            <v>0</v>
          </cell>
          <cell r="H111">
            <v>37109.51</v>
          </cell>
          <cell r="I111">
            <v>413165.52</v>
          </cell>
          <cell r="J111">
            <v>429692.14</v>
          </cell>
          <cell r="K111">
            <v>423494.66</v>
          </cell>
        </row>
        <row r="112">
          <cell r="A112" t="str">
            <v>CDG6 </v>
          </cell>
          <cell r="B112">
            <v>197</v>
          </cell>
          <cell r="C112" t="str">
            <v>Servi. socio assistenz. - Q. San Donato                     </v>
          </cell>
          <cell r="D112">
            <v>5</v>
          </cell>
          <cell r="E112">
            <v>5912</v>
          </cell>
          <cell r="F112" t="str">
            <v>Q.RI RIC.IN CASA RIP./AIUTI AUTONOMIA                       </v>
          </cell>
          <cell r="G112">
            <v>0</v>
          </cell>
          <cell r="H112">
            <v>44673.52</v>
          </cell>
          <cell r="I112">
            <v>562938.02</v>
          </cell>
          <cell r="J112">
            <v>588760.86</v>
          </cell>
          <cell r="K112">
            <v>583596.3</v>
          </cell>
        </row>
        <row r="113">
          <cell r="A113" t="str">
            <v>CDG6 </v>
          </cell>
          <cell r="B113">
            <v>207</v>
          </cell>
          <cell r="C113" t="str">
            <v>Servi. socio assistenz. - Q. S.Stefano                      </v>
          </cell>
          <cell r="D113">
            <v>5</v>
          </cell>
          <cell r="E113">
            <v>5912</v>
          </cell>
          <cell r="F113" t="str">
            <v>Q.RI RIC.IN CASA RIP./AIUTI AUTONOMIA                       </v>
          </cell>
          <cell r="G113">
            <v>0</v>
          </cell>
          <cell r="H113">
            <v>71659.94</v>
          </cell>
          <cell r="I113">
            <v>914128.71</v>
          </cell>
          <cell r="J113">
            <v>945116.13</v>
          </cell>
          <cell r="K113">
            <v>945116.13</v>
          </cell>
        </row>
        <row r="114">
          <cell r="A114" t="str">
            <v>CDG6 </v>
          </cell>
          <cell r="B114">
            <v>217</v>
          </cell>
          <cell r="C114" t="str">
            <v>Servi. socio assistenz. - Q. San Vitale                     </v>
          </cell>
          <cell r="D114">
            <v>5</v>
          </cell>
          <cell r="E114">
            <v>5912</v>
          </cell>
          <cell r="F114" t="str">
            <v>Q.RI RIC.IN CASA RIP./AIUTI AUTONOMIA                       </v>
          </cell>
          <cell r="G114">
            <v>0</v>
          </cell>
          <cell r="H114">
            <v>60287.05</v>
          </cell>
          <cell r="I114">
            <v>650735.69</v>
          </cell>
          <cell r="J114">
            <v>656416.72</v>
          </cell>
          <cell r="K114">
            <v>656416.72</v>
          </cell>
        </row>
        <row r="115">
          <cell r="A115" t="str">
            <v>CDG6 </v>
          </cell>
          <cell r="B115">
            <v>227</v>
          </cell>
          <cell r="C115" t="str">
            <v>Servi. socio assistenz. - Q. Saragozza                      </v>
          </cell>
          <cell r="D115">
            <v>5</v>
          </cell>
          <cell r="E115">
            <v>5912</v>
          </cell>
          <cell r="F115" t="str">
            <v>Q.RI RIC.IN CASA RIP./AIUTI AUTONOMIA                       </v>
          </cell>
          <cell r="G115">
            <v>0</v>
          </cell>
          <cell r="H115">
            <v>68860.92</v>
          </cell>
          <cell r="I115">
            <v>723039.66</v>
          </cell>
          <cell r="J115">
            <v>787597</v>
          </cell>
          <cell r="K115">
            <v>787596.77</v>
          </cell>
        </row>
        <row r="116">
          <cell r="A116" t="str">
            <v>CDG6 </v>
          </cell>
          <cell r="B116">
            <v>237</v>
          </cell>
          <cell r="C116" t="str">
            <v>Servi. socio assistenziali - Q. Savena                      </v>
          </cell>
          <cell r="D116">
            <v>5</v>
          </cell>
          <cell r="E116">
            <v>5912</v>
          </cell>
          <cell r="F116" t="str">
            <v>Q.RI RIC.IN CASA RIP./AIUTI AUTONOMIA                       </v>
          </cell>
          <cell r="G116">
            <v>0</v>
          </cell>
          <cell r="H116">
            <v>58316.59</v>
          </cell>
          <cell r="I116">
            <v>591859.61</v>
          </cell>
          <cell r="J116">
            <v>632143</v>
          </cell>
          <cell r="K116">
            <v>632143.24</v>
          </cell>
        </row>
        <row r="117">
          <cell r="A117" t="str">
            <v>CDG6 </v>
          </cell>
          <cell r="B117">
            <v>157</v>
          </cell>
          <cell r="C117" t="str">
            <v>Servizi socio assistenziali - Q. Borgo                      </v>
          </cell>
          <cell r="D117">
            <v>5</v>
          </cell>
          <cell r="E117">
            <v>5913</v>
          </cell>
          <cell r="F117" t="str">
            <v>Q.RI ASSISTENZA DOMICILIARE                                 </v>
          </cell>
          <cell r="G117">
            <v>0</v>
          </cell>
          <cell r="H117">
            <v>30099.75</v>
          </cell>
          <cell r="I117">
            <v>374431.25</v>
          </cell>
          <cell r="J117">
            <v>374431.25</v>
          </cell>
          <cell r="K117">
            <v>374431.25</v>
          </cell>
        </row>
        <row r="118">
          <cell r="A118" t="str">
            <v>CDG6 </v>
          </cell>
          <cell r="B118">
            <v>167</v>
          </cell>
          <cell r="C118" t="str">
            <v>Servizi socio assistenziali - Q. Navile                     </v>
          </cell>
          <cell r="D118">
            <v>5</v>
          </cell>
          <cell r="E118">
            <v>5913</v>
          </cell>
          <cell r="F118" t="str">
            <v>Q.RI ASSISTENZA DOMICILIARE                                 </v>
          </cell>
          <cell r="G118">
            <v>0</v>
          </cell>
          <cell r="H118">
            <v>63141.5</v>
          </cell>
          <cell r="I118">
            <v>836143.72</v>
          </cell>
          <cell r="J118">
            <v>893470.44</v>
          </cell>
          <cell r="K118">
            <v>893470.44</v>
          </cell>
        </row>
        <row r="119">
          <cell r="A119" t="str">
            <v>CDG6 </v>
          </cell>
          <cell r="B119">
            <v>177</v>
          </cell>
          <cell r="C119" t="str">
            <v>Servizi socio assistenziali - Q. Porto                      </v>
          </cell>
          <cell r="D119">
            <v>5</v>
          </cell>
          <cell r="E119">
            <v>5913</v>
          </cell>
          <cell r="F119" t="str">
            <v>Q.RI ASSISTENZA DOMICILIARE                                 </v>
          </cell>
          <cell r="G119">
            <v>0</v>
          </cell>
          <cell r="H119">
            <v>41079.84</v>
          </cell>
          <cell r="I119">
            <v>542279.74</v>
          </cell>
          <cell r="J119">
            <v>593925.44</v>
          </cell>
          <cell r="K119">
            <v>593925.43</v>
          </cell>
        </row>
        <row r="120">
          <cell r="A120" t="str">
            <v>CDG6 </v>
          </cell>
          <cell r="B120">
            <v>187</v>
          </cell>
          <cell r="C120" t="str">
            <v>Servi. socio assistenziali - Q. Reno                        </v>
          </cell>
          <cell r="D120">
            <v>5</v>
          </cell>
          <cell r="E120">
            <v>5913</v>
          </cell>
          <cell r="F120" t="str">
            <v>Q.RI ASSISTENZA DOMICILIARE                                 </v>
          </cell>
          <cell r="G120">
            <v>0</v>
          </cell>
          <cell r="H120">
            <v>35024.39</v>
          </cell>
          <cell r="I120">
            <v>464811.21</v>
          </cell>
          <cell r="J120">
            <v>480304.92</v>
          </cell>
          <cell r="K120">
            <v>475140.35</v>
          </cell>
        </row>
        <row r="121">
          <cell r="A121" t="str">
            <v>CDG6 </v>
          </cell>
          <cell r="B121">
            <v>197</v>
          </cell>
          <cell r="C121" t="str">
            <v>Servi. socio assistenz. - Q. San Donato                     </v>
          </cell>
          <cell r="D121">
            <v>5</v>
          </cell>
          <cell r="E121">
            <v>5913</v>
          </cell>
          <cell r="F121" t="str">
            <v>Q.RI ASSISTENZA DOMICILIARE                                 </v>
          </cell>
          <cell r="G121">
            <v>0</v>
          </cell>
          <cell r="H121">
            <v>43606.18</v>
          </cell>
          <cell r="I121">
            <v>635241.99</v>
          </cell>
          <cell r="J121">
            <v>593925.43</v>
          </cell>
          <cell r="K121">
            <v>586178.58</v>
          </cell>
        </row>
        <row r="122">
          <cell r="A122" t="str">
            <v>CDG6 </v>
          </cell>
          <cell r="B122">
            <v>207</v>
          </cell>
          <cell r="C122" t="str">
            <v>Servi. socio assistenz. - Q. S.Stefano                      </v>
          </cell>
          <cell r="D122">
            <v>5</v>
          </cell>
          <cell r="E122">
            <v>5913</v>
          </cell>
          <cell r="F122" t="str">
            <v>Q.RI ASSISTENZA DOMICILIARE                                 </v>
          </cell>
          <cell r="G122">
            <v>0</v>
          </cell>
          <cell r="H122">
            <v>50223.88</v>
          </cell>
          <cell r="I122">
            <v>666229.4</v>
          </cell>
          <cell r="J122">
            <v>699799.1</v>
          </cell>
          <cell r="K122">
            <v>699799.1</v>
          </cell>
        </row>
        <row r="123">
          <cell r="A123" t="str">
            <v>CDG6 </v>
          </cell>
          <cell r="B123">
            <v>217</v>
          </cell>
          <cell r="C123" t="str">
            <v>Servi. socio assistenz. - Q. San Vitale                     </v>
          </cell>
          <cell r="D123">
            <v>5</v>
          </cell>
          <cell r="E123">
            <v>5913</v>
          </cell>
          <cell r="F123" t="str">
            <v>Q.RI ASSISTENZA DOMICILIARE                                 </v>
          </cell>
          <cell r="G123">
            <v>0</v>
          </cell>
          <cell r="H123">
            <v>47622.06</v>
          </cell>
          <cell r="I123">
            <v>614583.71</v>
          </cell>
          <cell r="J123">
            <v>883915.98</v>
          </cell>
          <cell r="K123">
            <v>880300.78</v>
          </cell>
        </row>
        <row r="124">
          <cell r="A124" t="str">
            <v>CDG6 </v>
          </cell>
          <cell r="B124">
            <v>227</v>
          </cell>
          <cell r="C124" t="str">
            <v>Servi. socio assistenz. - Q. Saragozza                      </v>
          </cell>
          <cell r="D124">
            <v>5</v>
          </cell>
          <cell r="E124">
            <v>5913</v>
          </cell>
          <cell r="F124" t="str">
            <v>Q.RI ASSISTENZA DOMICILIARE                                 </v>
          </cell>
          <cell r="G124">
            <v>0</v>
          </cell>
          <cell r="H124">
            <v>49515.31</v>
          </cell>
          <cell r="I124">
            <v>655900.26</v>
          </cell>
          <cell r="J124">
            <v>676559</v>
          </cell>
          <cell r="K124">
            <v>676558.54</v>
          </cell>
        </row>
        <row r="125">
          <cell r="A125" t="str">
            <v>CDG6 </v>
          </cell>
          <cell r="B125">
            <v>237</v>
          </cell>
          <cell r="C125" t="str">
            <v>Servi. socio assistenziali - Q. Savena                      </v>
          </cell>
          <cell r="D125">
            <v>5</v>
          </cell>
          <cell r="E125">
            <v>5913</v>
          </cell>
          <cell r="F125" t="str">
            <v>Q.RI ASSISTENZA DOMICILIARE                                 </v>
          </cell>
          <cell r="G125">
            <v>0</v>
          </cell>
          <cell r="H125">
            <v>66631.55</v>
          </cell>
          <cell r="I125">
            <v>891921.06</v>
          </cell>
          <cell r="J125">
            <v>1106923</v>
          </cell>
          <cell r="K125">
            <v>1013520.84</v>
          </cell>
        </row>
        <row r="126">
          <cell r="A126" t="str">
            <v>CDG6 </v>
          </cell>
          <cell r="B126">
            <v>157</v>
          </cell>
          <cell r="C126" t="str">
            <v>Servizi socio assistenziali - Q. Borgo                      </v>
          </cell>
          <cell r="D126">
            <v>5</v>
          </cell>
          <cell r="E126">
            <v>5915</v>
          </cell>
          <cell r="F126" t="str">
            <v>Q.RI SUSSIDI MENSILI E UNA TANTUM                           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 t="str">
            <v>CDG6 </v>
          </cell>
          <cell r="B127">
            <v>167</v>
          </cell>
          <cell r="C127" t="str">
            <v>Servizi socio assistenziali - Q. Navile                     </v>
          </cell>
          <cell r="D127">
            <v>5</v>
          </cell>
          <cell r="E127">
            <v>5915</v>
          </cell>
          <cell r="F127" t="str">
            <v>Q.RI SUSSIDI MENSILI E UNA TANTUM                           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 t="str">
            <v>CDG6 </v>
          </cell>
          <cell r="B128">
            <v>177</v>
          </cell>
          <cell r="C128" t="str">
            <v>Servizi socio assistenziali - Q. Porto                      </v>
          </cell>
          <cell r="D128">
            <v>5</v>
          </cell>
          <cell r="E128">
            <v>5915</v>
          </cell>
          <cell r="F128" t="str">
            <v>Q.RI SUSSIDI MENSILI E UNA TANTUM                           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CDG6 </v>
          </cell>
          <cell r="B129">
            <v>187</v>
          </cell>
          <cell r="C129" t="str">
            <v>Servi. socio assistenziali - Q. Reno                        </v>
          </cell>
          <cell r="D129">
            <v>5</v>
          </cell>
          <cell r="E129">
            <v>5915</v>
          </cell>
          <cell r="F129" t="str">
            <v>Q.RI SUSSIDI MENSILI E UNA TANTUM                           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CDG6 </v>
          </cell>
          <cell r="B130">
            <v>197</v>
          </cell>
          <cell r="C130" t="str">
            <v>Servi. socio assistenz. - Q. San Donato                     </v>
          </cell>
          <cell r="D130">
            <v>5</v>
          </cell>
          <cell r="E130">
            <v>5915</v>
          </cell>
          <cell r="F130" t="str">
            <v>Q.RI SUSSIDI MENSILI E UNA TANTUM                           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CDG6 </v>
          </cell>
          <cell r="B131">
            <v>207</v>
          </cell>
          <cell r="C131" t="str">
            <v>Servi. socio assistenz. - Q. S.Stefano                      </v>
          </cell>
          <cell r="D131">
            <v>5</v>
          </cell>
          <cell r="E131">
            <v>5915</v>
          </cell>
          <cell r="F131" t="str">
            <v>Q.RI SUSSIDI MENSILI E UNA TANTUM                           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CDG6 </v>
          </cell>
          <cell r="B132">
            <v>217</v>
          </cell>
          <cell r="C132" t="str">
            <v>Servi. socio assistenz. - Q. San Vitale                     </v>
          </cell>
          <cell r="D132">
            <v>5</v>
          </cell>
          <cell r="E132">
            <v>5915</v>
          </cell>
          <cell r="F132" t="str">
            <v>Q.RI SUSSIDI MENSILI E UNA TANTUM                           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CDG6 </v>
          </cell>
          <cell r="B133">
            <v>227</v>
          </cell>
          <cell r="C133" t="str">
            <v>Servi. socio assistenz. - Q. Saragozza                      </v>
          </cell>
          <cell r="D133">
            <v>5</v>
          </cell>
          <cell r="E133">
            <v>5915</v>
          </cell>
          <cell r="F133" t="str">
            <v>Q.RI SUSSIDI MENSILI E UNA TANTUM                           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CDG6 </v>
          </cell>
          <cell r="B134">
            <v>237</v>
          </cell>
          <cell r="C134" t="str">
            <v>Servi. socio assistenziali - Q. Savena                      </v>
          </cell>
          <cell r="D134">
            <v>5</v>
          </cell>
          <cell r="E134">
            <v>5915</v>
          </cell>
          <cell r="F134" t="str">
            <v>Q.RI SUSSIDI MENSILI E UNA TANTUM                           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CDG6 </v>
          </cell>
          <cell r="B135">
            <v>157</v>
          </cell>
          <cell r="C135" t="str">
            <v>Servizi socio assistenziali - Q. Borgo                      </v>
          </cell>
          <cell r="D135">
            <v>5</v>
          </cell>
          <cell r="E135">
            <v>5916</v>
          </cell>
          <cell r="F135" t="str">
            <v>Q.RI BUONI TRASPORTO                                        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 t="str">
            <v>CDG6 </v>
          </cell>
          <cell r="B136">
            <v>167</v>
          </cell>
          <cell r="C136" t="str">
            <v>Servizi socio assistenziali - Q. Navile                     </v>
          </cell>
          <cell r="D136">
            <v>5</v>
          </cell>
          <cell r="E136">
            <v>5916</v>
          </cell>
          <cell r="F136" t="str">
            <v>Q.RI BUONI TRASPORTO                                        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A137" t="str">
            <v>CDG6 </v>
          </cell>
          <cell r="B137">
            <v>177</v>
          </cell>
          <cell r="C137" t="str">
            <v>Servizi socio assistenziali - Q. Porto                      </v>
          </cell>
          <cell r="D137">
            <v>5</v>
          </cell>
          <cell r="E137">
            <v>5916</v>
          </cell>
          <cell r="F137" t="str">
            <v>Q.RI BUONI TRASPORTO                                        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CDG6 </v>
          </cell>
          <cell r="B138">
            <v>187</v>
          </cell>
          <cell r="C138" t="str">
            <v>Servi. socio assistenziali - Q. Reno                        </v>
          </cell>
          <cell r="D138">
            <v>5</v>
          </cell>
          <cell r="E138">
            <v>5916</v>
          </cell>
          <cell r="F138" t="str">
            <v>Q.RI BUONI TRASPORTO                                        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CDG6 </v>
          </cell>
          <cell r="B139">
            <v>197</v>
          </cell>
          <cell r="C139" t="str">
            <v>Servi. socio assistenz. - Q. San Donato                     </v>
          </cell>
          <cell r="D139">
            <v>5</v>
          </cell>
          <cell r="E139">
            <v>5916</v>
          </cell>
          <cell r="F139" t="str">
            <v>Q.RI BUONI TRASPORTO                                        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CDG6 </v>
          </cell>
          <cell r="B140">
            <v>207</v>
          </cell>
          <cell r="C140" t="str">
            <v>Servi. socio assistenz. - Q. S.Stefano                      </v>
          </cell>
          <cell r="D140">
            <v>5</v>
          </cell>
          <cell r="E140">
            <v>5916</v>
          </cell>
          <cell r="F140" t="str">
            <v>Q.RI BUONI TRASPORTO                                        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CDG6 </v>
          </cell>
          <cell r="B141">
            <v>217</v>
          </cell>
          <cell r="C141" t="str">
            <v>Servi. socio assistenz. - Q. San Vitale                     </v>
          </cell>
          <cell r="D141">
            <v>5</v>
          </cell>
          <cell r="E141">
            <v>5916</v>
          </cell>
          <cell r="F141" t="str">
            <v>Q.RI BUONI TRASPORTO                                        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CDG6 </v>
          </cell>
          <cell r="B142">
            <v>227</v>
          </cell>
          <cell r="C142" t="str">
            <v>Servi. socio assistenz. - Q. Saragozza                      </v>
          </cell>
          <cell r="D142">
            <v>5</v>
          </cell>
          <cell r="E142">
            <v>5916</v>
          </cell>
          <cell r="F142" t="str">
            <v>Q.RI BUONI TRASPORTO                                        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CDG6 </v>
          </cell>
          <cell r="B143">
            <v>237</v>
          </cell>
          <cell r="C143" t="str">
            <v>Servi. socio assistenziali - Q. Savena                      </v>
          </cell>
          <cell r="D143">
            <v>5</v>
          </cell>
          <cell r="E143">
            <v>5916</v>
          </cell>
          <cell r="F143" t="str">
            <v>Q.RI BUONI TRASPORTO                                        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CDG6 </v>
          </cell>
          <cell r="B144">
            <v>157</v>
          </cell>
          <cell r="C144" t="str">
            <v>Servizi socio assistenziali - Q. Borgo                      </v>
          </cell>
          <cell r="D144">
            <v>5</v>
          </cell>
          <cell r="E144">
            <v>5917</v>
          </cell>
          <cell r="F144" t="str">
            <v>Q.RI INTERVENTI PER INVALIDI                                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 t="str">
            <v>CDG6 </v>
          </cell>
          <cell r="B145">
            <v>167</v>
          </cell>
          <cell r="C145" t="str">
            <v>Servizi socio assistenziali - Q. Navile                     </v>
          </cell>
          <cell r="D145">
            <v>5</v>
          </cell>
          <cell r="E145">
            <v>5917</v>
          </cell>
          <cell r="F145" t="str">
            <v>Q.RI INTERVENTI PER INVALIDI                                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A146" t="str">
            <v>CDG6 </v>
          </cell>
          <cell r="B146">
            <v>177</v>
          </cell>
          <cell r="C146" t="str">
            <v>Servizi socio assistenziali - Q. Porto                      </v>
          </cell>
          <cell r="D146">
            <v>5</v>
          </cell>
          <cell r="E146">
            <v>5917</v>
          </cell>
          <cell r="F146" t="str">
            <v>Q.RI INTERVENTI PER INVALIDI                                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CDG6 </v>
          </cell>
          <cell r="B147">
            <v>187</v>
          </cell>
          <cell r="C147" t="str">
            <v>Servi. socio assistenziali - Q. Reno                        </v>
          </cell>
          <cell r="D147">
            <v>5</v>
          </cell>
          <cell r="E147">
            <v>5917</v>
          </cell>
          <cell r="F147" t="str">
            <v>Q.RI INTERVENTI PER INVALIDI                                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CDG6 </v>
          </cell>
          <cell r="B148">
            <v>197</v>
          </cell>
          <cell r="C148" t="str">
            <v>Servi. socio assistenz. - Q. San Donato                     </v>
          </cell>
          <cell r="D148">
            <v>5</v>
          </cell>
          <cell r="E148">
            <v>5917</v>
          </cell>
          <cell r="F148" t="str">
            <v>Q.RI INTERVENTI PER INVALIDI                                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CDG6 </v>
          </cell>
          <cell r="B149">
            <v>207</v>
          </cell>
          <cell r="C149" t="str">
            <v>Servi. socio assistenz. - Q. S.Stefano                      </v>
          </cell>
          <cell r="D149">
            <v>5</v>
          </cell>
          <cell r="E149">
            <v>5917</v>
          </cell>
          <cell r="F149" t="str">
            <v>Q.RI INTERVENTI PER INVALIDI                                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CDG6 </v>
          </cell>
          <cell r="B150">
            <v>217</v>
          </cell>
          <cell r="C150" t="str">
            <v>Servi. socio assistenz. - Q. San Vitale                     </v>
          </cell>
          <cell r="D150">
            <v>5</v>
          </cell>
          <cell r="E150">
            <v>5917</v>
          </cell>
          <cell r="F150" t="str">
            <v>Q.RI INTERVENTI PER INVALIDI                                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CDG6 </v>
          </cell>
          <cell r="B151">
            <v>227</v>
          </cell>
          <cell r="C151" t="str">
            <v>Servi. socio assistenz. - Q. Saragozza                      </v>
          </cell>
          <cell r="D151">
            <v>5</v>
          </cell>
          <cell r="E151">
            <v>5917</v>
          </cell>
          <cell r="F151" t="str">
            <v>Q.RI INTERVENTI PER INVALIDI                                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CDG6 </v>
          </cell>
          <cell r="B152">
            <v>237</v>
          </cell>
          <cell r="C152" t="str">
            <v>Servi. socio assistenziali - Q. Savena                      </v>
          </cell>
          <cell r="D152">
            <v>5</v>
          </cell>
          <cell r="E152">
            <v>5917</v>
          </cell>
          <cell r="F152" t="str">
            <v>Q.RI INTERVENTI PER INVALIDI                                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CDG6 </v>
          </cell>
          <cell r="B153">
            <v>164</v>
          </cell>
          <cell r="C153" t="str">
            <v>Cultura/giovani/sport - Q. Borgo                            </v>
          </cell>
          <cell r="D153">
            <v>5</v>
          </cell>
          <cell r="E153">
            <v>5918</v>
          </cell>
          <cell r="F153" t="str">
            <v>Q.RI SERVIZI PER I GIOVANI                                  </v>
          </cell>
          <cell r="G153">
            <v>0</v>
          </cell>
          <cell r="H153">
            <v>860.76</v>
          </cell>
          <cell r="I153">
            <v>20141.82</v>
          </cell>
          <cell r="J153">
            <v>20658.28</v>
          </cell>
          <cell r="K153">
            <v>20658.28</v>
          </cell>
        </row>
        <row r="154">
          <cell r="A154" t="str">
            <v>CDG6 </v>
          </cell>
          <cell r="B154">
            <v>174</v>
          </cell>
          <cell r="C154" t="str">
            <v>Cultura/giovani/sport - Q. Navile                           </v>
          </cell>
          <cell r="D154">
            <v>5</v>
          </cell>
          <cell r="E154">
            <v>5918</v>
          </cell>
          <cell r="F154" t="str">
            <v>Q.RI SERVIZI PER I GIOVANI                                  </v>
          </cell>
          <cell r="G154">
            <v>0</v>
          </cell>
          <cell r="H154">
            <v>1506.33</v>
          </cell>
          <cell r="I154">
            <v>33569.7</v>
          </cell>
          <cell r="J154">
            <v>33569.7</v>
          </cell>
          <cell r="K154">
            <v>33569.7</v>
          </cell>
        </row>
        <row r="155">
          <cell r="A155" t="str">
            <v>CDG6 </v>
          </cell>
          <cell r="B155">
            <v>184</v>
          </cell>
          <cell r="C155" t="str">
            <v>Cultura/giovani/sport - Q. Porto                            </v>
          </cell>
          <cell r="D155">
            <v>5</v>
          </cell>
          <cell r="E155">
            <v>5918</v>
          </cell>
          <cell r="F155" t="str">
            <v>Q.RI SERVIZI PER I GIOVANI                                  </v>
          </cell>
          <cell r="G155">
            <v>0</v>
          </cell>
          <cell r="H155">
            <v>43.04</v>
          </cell>
          <cell r="I155">
            <v>15493.71</v>
          </cell>
          <cell r="J155">
            <v>10329.14</v>
          </cell>
          <cell r="K155">
            <v>10329.14</v>
          </cell>
        </row>
        <row r="156">
          <cell r="A156" t="str">
            <v>CDG6 </v>
          </cell>
          <cell r="B156">
            <v>194</v>
          </cell>
          <cell r="C156" t="str">
            <v>Cultura/iovani/sport - Q. Reno                              </v>
          </cell>
          <cell r="D156">
            <v>5</v>
          </cell>
          <cell r="E156">
            <v>5918</v>
          </cell>
          <cell r="F156" t="str">
            <v>Q.RI SERVIZI PER I GIOVANI                                  </v>
          </cell>
          <cell r="G156">
            <v>0</v>
          </cell>
          <cell r="H156">
            <v>1231.88</v>
          </cell>
          <cell r="I156">
            <v>21174.73</v>
          </cell>
          <cell r="J156">
            <v>21174.73</v>
          </cell>
          <cell r="K156">
            <v>22207.65</v>
          </cell>
        </row>
        <row r="157">
          <cell r="A157" t="str">
            <v>CDG6 </v>
          </cell>
          <cell r="B157">
            <v>204</v>
          </cell>
          <cell r="C157" t="str">
            <v>Cultura/giovani/sport - Q. San Donato                       </v>
          </cell>
          <cell r="D157">
            <v>5</v>
          </cell>
          <cell r="E157">
            <v>5918</v>
          </cell>
          <cell r="F157" t="str">
            <v>Q.RI SERVIZI PER I GIOVANI                                  </v>
          </cell>
          <cell r="G157">
            <v>0</v>
          </cell>
          <cell r="H157">
            <v>1075.95</v>
          </cell>
          <cell r="I157">
            <v>13427.88</v>
          </cell>
          <cell r="J157">
            <v>13427.88</v>
          </cell>
          <cell r="K157">
            <v>13427.88</v>
          </cell>
        </row>
        <row r="158">
          <cell r="A158" t="str">
            <v>CDG6 </v>
          </cell>
          <cell r="B158">
            <v>214</v>
          </cell>
          <cell r="C158" t="str">
            <v>Cultura/giovani/sport - Q. Santo Stefano                    </v>
          </cell>
          <cell r="D158">
            <v>5</v>
          </cell>
          <cell r="E158">
            <v>5918</v>
          </cell>
          <cell r="F158" t="str">
            <v>Q.RI SERVIZI PER I GIOVANI                                  </v>
          </cell>
          <cell r="G158">
            <v>0</v>
          </cell>
          <cell r="H158">
            <v>258.23</v>
          </cell>
          <cell r="I158">
            <v>10329.14</v>
          </cell>
          <cell r="J158">
            <v>10329.14</v>
          </cell>
          <cell r="K158">
            <v>10329.14</v>
          </cell>
        </row>
        <row r="159">
          <cell r="A159" t="str">
            <v>CDG6 </v>
          </cell>
          <cell r="B159">
            <v>224</v>
          </cell>
          <cell r="C159" t="str">
            <v>Cultura/giovani/sport - Q. San Vitale                       </v>
          </cell>
          <cell r="D159">
            <v>5</v>
          </cell>
          <cell r="E159">
            <v>5918</v>
          </cell>
          <cell r="F159" t="str">
            <v>Q.RI SERVIZI PER I GIOVANI                                  </v>
          </cell>
          <cell r="G159">
            <v>0</v>
          </cell>
          <cell r="H159">
            <v>516.46</v>
          </cell>
          <cell r="I159">
            <v>30987.41</v>
          </cell>
          <cell r="J159">
            <v>25822.84</v>
          </cell>
          <cell r="K159">
            <v>28405.13</v>
          </cell>
        </row>
        <row r="160">
          <cell r="A160" t="str">
            <v>CDG6 </v>
          </cell>
          <cell r="B160">
            <v>234</v>
          </cell>
          <cell r="C160" t="str">
            <v>Cultura/giovani/sport - Q. Saragozza                        </v>
          </cell>
          <cell r="D160">
            <v>5</v>
          </cell>
          <cell r="E160">
            <v>5918</v>
          </cell>
          <cell r="F160" t="str">
            <v>Q.RI SERVIZI PER I GIOVANI                                  </v>
          </cell>
          <cell r="G160">
            <v>0</v>
          </cell>
          <cell r="H160">
            <v>8.14</v>
          </cell>
          <cell r="I160">
            <v>10329.14</v>
          </cell>
          <cell r="J160">
            <v>10329</v>
          </cell>
          <cell r="K160">
            <v>10329.14</v>
          </cell>
        </row>
        <row r="161">
          <cell r="A161" t="str">
            <v>CDG6 </v>
          </cell>
          <cell r="B161">
            <v>244</v>
          </cell>
          <cell r="C161" t="str">
            <v>Cultura/giovani/sport - Q. Savena                           </v>
          </cell>
          <cell r="D161">
            <v>5</v>
          </cell>
          <cell r="E161">
            <v>5918</v>
          </cell>
          <cell r="F161" t="str">
            <v>Q.RI SERVIZI PER I GIOVANI                                  </v>
          </cell>
          <cell r="G161">
            <v>0</v>
          </cell>
          <cell r="H161">
            <v>1506.33</v>
          </cell>
          <cell r="I161">
            <v>19108.91</v>
          </cell>
          <cell r="J161">
            <v>17456</v>
          </cell>
          <cell r="K161">
            <v>14465.96</v>
          </cell>
        </row>
        <row r="162">
          <cell r="A162" t="str">
            <v>CDG6 </v>
          </cell>
          <cell r="B162">
            <v>164</v>
          </cell>
          <cell r="C162" t="str">
            <v>Cultura/giovani/sport - Q. Borgo                            </v>
          </cell>
          <cell r="D162">
            <v>5</v>
          </cell>
          <cell r="E162">
            <v>5919</v>
          </cell>
          <cell r="F162" t="str">
            <v>Q.RI BIBLIOTECHE DI QUARTIERE                               </v>
          </cell>
          <cell r="G162">
            <v>0</v>
          </cell>
          <cell r="H162">
            <v>3227.86</v>
          </cell>
          <cell r="I162">
            <v>40800.1</v>
          </cell>
          <cell r="J162">
            <v>45964.66</v>
          </cell>
          <cell r="K162">
            <v>45964.66</v>
          </cell>
        </row>
        <row r="163">
          <cell r="A163" t="str">
            <v>CDG6 </v>
          </cell>
          <cell r="B163">
            <v>174</v>
          </cell>
          <cell r="C163" t="str">
            <v>Cultura/giovani/sport - Q. Navile                           </v>
          </cell>
          <cell r="D163">
            <v>5</v>
          </cell>
          <cell r="E163">
            <v>5919</v>
          </cell>
          <cell r="F163" t="str">
            <v>Q.RI BIBLIOTECHE DI QUARTIERE                               </v>
          </cell>
          <cell r="G163">
            <v>0</v>
          </cell>
          <cell r="H163">
            <v>2344.76</v>
          </cell>
          <cell r="I163">
            <v>23240.56</v>
          </cell>
          <cell r="J163">
            <v>23240.56</v>
          </cell>
          <cell r="K163">
            <v>23240.56</v>
          </cell>
        </row>
        <row r="164">
          <cell r="A164" t="str">
            <v>CDG6 </v>
          </cell>
          <cell r="B164">
            <v>184</v>
          </cell>
          <cell r="C164" t="str">
            <v>Cultura/giovani/sport - Q. Porto                            </v>
          </cell>
          <cell r="D164">
            <v>5</v>
          </cell>
          <cell r="E164">
            <v>5919</v>
          </cell>
          <cell r="F164" t="str">
            <v>Q.RI BIBLIOTECHE DI QUARTIERE                               </v>
          </cell>
          <cell r="G164">
            <v>0</v>
          </cell>
          <cell r="H164">
            <v>1829.12</v>
          </cell>
          <cell r="I164">
            <v>34086.16</v>
          </cell>
          <cell r="J164">
            <v>28405.13</v>
          </cell>
          <cell r="K164">
            <v>28405.13</v>
          </cell>
        </row>
        <row r="165">
          <cell r="A165" t="str">
            <v>CDG6 </v>
          </cell>
          <cell r="B165">
            <v>194</v>
          </cell>
          <cell r="C165" t="str">
            <v>Cultura/iovani/sport - Q. Reno                              </v>
          </cell>
          <cell r="D165">
            <v>5</v>
          </cell>
          <cell r="E165">
            <v>5919</v>
          </cell>
          <cell r="F165" t="str">
            <v>Q.RI BIBLIOTECHE DI QUARTIERE                               </v>
          </cell>
          <cell r="G165">
            <v>0</v>
          </cell>
          <cell r="H165">
            <v>860.76</v>
          </cell>
          <cell r="I165">
            <v>15493.71</v>
          </cell>
          <cell r="J165">
            <v>15493.71</v>
          </cell>
          <cell r="K165">
            <v>15493.71</v>
          </cell>
        </row>
        <row r="166">
          <cell r="A166" t="str">
            <v>CDG6 </v>
          </cell>
          <cell r="B166">
            <v>204</v>
          </cell>
          <cell r="C166" t="str">
            <v>Cultura/giovani/sport - Q. San Donato                       </v>
          </cell>
          <cell r="D166">
            <v>5</v>
          </cell>
          <cell r="E166">
            <v>5919</v>
          </cell>
          <cell r="F166" t="str">
            <v>Q.RI BIBLIOTECHE DI QUARTIERE                               </v>
          </cell>
          <cell r="G166">
            <v>0</v>
          </cell>
          <cell r="H166">
            <v>860.76</v>
          </cell>
          <cell r="I166">
            <v>20658.28</v>
          </cell>
          <cell r="J166">
            <v>5164.57</v>
          </cell>
          <cell r="K166">
            <v>5164.57</v>
          </cell>
        </row>
        <row r="167">
          <cell r="A167" t="str">
            <v>CDG6 </v>
          </cell>
          <cell r="B167">
            <v>214</v>
          </cell>
          <cell r="C167" t="str">
            <v>Cultura/giovani/sport - Q. Santo Stefano                    </v>
          </cell>
          <cell r="D167">
            <v>5</v>
          </cell>
          <cell r="E167">
            <v>5919</v>
          </cell>
          <cell r="F167" t="str">
            <v>Q.RI BIBLIOTECHE DI QUARTIERE                               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CDG6 </v>
          </cell>
          <cell r="B168">
            <v>224</v>
          </cell>
          <cell r="C168" t="str">
            <v>Cultura/giovani/sport - Q. San Vitale                       </v>
          </cell>
          <cell r="D168">
            <v>5</v>
          </cell>
          <cell r="E168">
            <v>5919</v>
          </cell>
          <cell r="F168" t="str">
            <v>Q.RI BIBLIOTECHE DI QUARTIERE                               </v>
          </cell>
          <cell r="G168">
            <v>0</v>
          </cell>
          <cell r="H168">
            <v>301.27</v>
          </cell>
          <cell r="I168">
            <v>5164.57</v>
          </cell>
          <cell r="J168">
            <v>15493.71</v>
          </cell>
          <cell r="K168">
            <v>7746.85</v>
          </cell>
        </row>
        <row r="169">
          <cell r="A169" t="str">
            <v>CDG6 </v>
          </cell>
          <cell r="B169">
            <v>234</v>
          </cell>
          <cell r="C169" t="str">
            <v>Cultura/giovani/sport - Q. Saragozza                        </v>
          </cell>
          <cell r="D169">
            <v>5</v>
          </cell>
          <cell r="E169">
            <v>5919</v>
          </cell>
          <cell r="F169" t="str">
            <v>Q.RI BIBLIOTECHE DI QUARTIERE                               </v>
          </cell>
          <cell r="G169">
            <v>0</v>
          </cell>
          <cell r="H169">
            <v>2754.44</v>
          </cell>
          <cell r="I169">
            <v>43508.4</v>
          </cell>
          <cell r="J169">
            <v>51647</v>
          </cell>
          <cell r="K169">
            <v>51645.69</v>
          </cell>
        </row>
        <row r="170">
          <cell r="A170" t="str">
            <v>CDG6 </v>
          </cell>
          <cell r="B170">
            <v>244</v>
          </cell>
          <cell r="C170" t="str">
            <v>Cultura/giovani/sport - Q. Savena                           </v>
          </cell>
          <cell r="D170">
            <v>5</v>
          </cell>
          <cell r="E170">
            <v>5919</v>
          </cell>
          <cell r="F170" t="str">
            <v>Q.RI BIBLIOTECHE DI QUARTIERE                               </v>
          </cell>
          <cell r="G170">
            <v>0</v>
          </cell>
          <cell r="H170">
            <v>6283.56</v>
          </cell>
          <cell r="I170">
            <v>54744.43</v>
          </cell>
          <cell r="J170">
            <v>54744</v>
          </cell>
          <cell r="K170">
            <v>54744.43</v>
          </cell>
        </row>
        <row r="171">
          <cell r="A171" t="str">
            <v>CDG6 </v>
          </cell>
          <cell r="B171">
            <v>164</v>
          </cell>
          <cell r="C171" t="str">
            <v>Cultura/giovani/sport - Q. Borgo                            </v>
          </cell>
          <cell r="D171">
            <v>5</v>
          </cell>
          <cell r="E171">
            <v>5920</v>
          </cell>
          <cell r="F171" t="str">
            <v>Q.RI IMPIANTI SPORTIVI                                      </v>
          </cell>
          <cell r="G171">
            <v>0</v>
          </cell>
          <cell r="H171">
            <v>1506.33</v>
          </cell>
          <cell r="I171">
            <v>3615.2</v>
          </cell>
          <cell r="J171">
            <v>3615.2</v>
          </cell>
          <cell r="K171">
            <v>3615.2</v>
          </cell>
        </row>
        <row r="172">
          <cell r="A172" t="str">
            <v>CDG6 </v>
          </cell>
          <cell r="B172">
            <v>174</v>
          </cell>
          <cell r="C172" t="str">
            <v>Cultura/giovani/sport - Q. Navile                           </v>
          </cell>
          <cell r="D172">
            <v>5</v>
          </cell>
          <cell r="E172">
            <v>5920</v>
          </cell>
          <cell r="F172" t="str">
            <v>Q.RI IMPIANTI SPORTIVI                                      </v>
          </cell>
          <cell r="G172">
            <v>0</v>
          </cell>
          <cell r="H172">
            <v>8428.08</v>
          </cell>
          <cell r="I172">
            <v>105873.66</v>
          </cell>
          <cell r="J172">
            <v>105873.66</v>
          </cell>
          <cell r="K172">
            <v>105873.66</v>
          </cell>
        </row>
        <row r="173">
          <cell r="A173" t="str">
            <v>CDG6 </v>
          </cell>
          <cell r="B173">
            <v>184</v>
          </cell>
          <cell r="C173" t="str">
            <v>Cultura/giovani/sport - Q. Porto                            </v>
          </cell>
          <cell r="D173">
            <v>5</v>
          </cell>
          <cell r="E173">
            <v>5920</v>
          </cell>
          <cell r="F173" t="str">
            <v>Q.RI IMPIANTI SPORTIVI                                      </v>
          </cell>
          <cell r="G173">
            <v>0</v>
          </cell>
          <cell r="H173">
            <v>8231.03</v>
          </cell>
          <cell r="I173">
            <v>113620.52</v>
          </cell>
          <cell r="J173">
            <v>108455.95</v>
          </cell>
          <cell r="K173">
            <v>108455.95</v>
          </cell>
        </row>
        <row r="174">
          <cell r="A174" t="str">
            <v>CDG6 </v>
          </cell>
          <cell r="B174">
            <v>194</v>
          </cell>
          <cell r="C174" t="str">
            <v>Cultura/iovani/sport - Q. Reno                              </v>
          </cell>
          <cell r="D174">
            <v>5</v>
          </cell>
          <cell r="E174">
            <v>5920</v>
          </cell>
          <cell r="F174" t="str">
            <v>Q.RI IMPIANTI SPORTIVI                                      </v>
          </cell>
          <cell r="G174">
            <v>0</v>
          </cell>
          <cell r="H174">
            <v>24095.16</v>
          </cell>
          <cell r="I174">
            <v>284567.75</v>
          </cell>
          <cell r="J174">
            <v>284567.75</v>
          </cell>
          <cell r="K174">
            <v>284567.75</v>
          </cell>
        </row>
        <row r="175">
          <cell r="A175" t="str">
            <v>CDG6 </v>
          </cell>
          <cell r="B175">
            <v>204</v>
          </cell>
          <cell r="C175" t="str">
            <v>Cultura/giovani/sport - Q. San Donato                       </v>
          </cell>
          <cell r="D175">
            <v>5</v>
          </cell>
          <cell r="E175">
            <v>5920</v>
          </cell>
          <cell r="F175" t="str">
            <v>Q.RI IMPIANTI SPORTIVI                                      </v>
          </cell>
          <cell r="G175">
            <v>0</v>
          </cell>
          <cell r="H175">
            <v>344.3</v>
          </cell>
          <cell r="I175">
            <v>4131.66</v>
          </cell>
          <cell r="J175">
            <v>0</v>
          </cell>
          <cell r="K175">
            <v>0</v>
          </cell>
        </row>
        <row r="176">
          <cell r="A176" t="str">
            <v>CDG6 </v>
          </cell>
          <cell r="B176">
            <v>214</v>
          </cell>
          <cell r="C176" t="str">
            <v>Cultura/giovani/sport - Q. Santo Stefano                    </v>
          </cell>
          <cell r="D176">
            <v>5</v>
          </cell>
          <cell r="E176">
            <v>5920</v>
          </cell>
          <cell r="F176" t="str">
            <v>Q.RI IMPIANTI SPORTIVI                                      </v>
          </cell>
          <cell r="G176">
            <v>0</v>
          </cell>
          <cell r="H176">
            <v>1237.78</v>
          </cell>
          <cell r="I176">
            <v>14977.25</v>
          </cell>
          <cell r="J176">
            <v>14977.25</v>
          </cell>
          <cell r="K176">
            <v>14977.25</v>
          </cell>
        </row>
        <row r="177">
          <cell r="A177" t="str">
            <v>CDG6 </v>
          </cell>
          <cell r="B177">
            <v>224</v>
          </cell>
          <cell r="C177" t="str">
            <v>Cultura/giovani/sport - Q. San Vitale                       </v>
          </cell>
          <cell r="D177">
            <v>5</v>
          </cell>
          <cell r="E177">
            <v>5920</v>
          </cell>
          <cell r="F177" t="str">
            <v>Q.RI IMPIANTI SPORTIVI                                      </v>
          </cell>
          <cell r="G177">
            <v>0</v>
          </cell>
          <cell r="H177">
            <v>9468.38</v>
          </cell>
          <cell r="I177">
            <v>100709.1</v>
          </cell>
          <cell r="J177">
            <v>91051.35</v>
          </cell>
          <cell r="K177">
            <v>91051.35</v>
          </cell>
        </row>
        <row r="178">
          <cell r="A178" t="str">
            <v>CDG6 </v>
          </cell>
          <cell r="B178">
            <v>234</v>
          </cell>
          <cell r="C178" t="str">
            <v>Cultura/giovani/sport - Q. Saragozza                        </v>
          </cell>
          <cell r="D178">
            <v>5</v>
          </cell>
          <cell r="E178">
            <v>5920</v>
          </cell>
          <cell r="F178" t="str">
            <v>Q.RI IMPIANTI SPORTIVI                                      </v>
          </cell>
          <cell r="G178">
            <v>0</v>
          </cell>
          <cell r="H178">
            <v>0</v>
          </cell>
          <cell r="I178">
            <v>3615.2</v>
          </cell>
          <cell r="J178">
            <v>3615</v>
          </cell>
          <cell r="K178">
            <v>3615.2</v>
          </cell>
        </row>
        <row r="179">
          <cell r="A179" t="str">
            <v>CDG6 </v>
          </cell>
          <cell r="B179">
            <v>244</v>
          </cell>
          <cell r="C179" t="str">
            <v>Cultura/giovani/sport - Q. Savena                           </v>
          </cell>
          <cell r="D179">
            <v>5</v>
          </cell>
          <cell r="E179">
            <v>5920</v>
          </cell>
          <cell r="F179" t="str">
            <v>Q.RI IMPIANTI SPORTIVI                                      </v>
          </cell>
          <cell r="G179">
            <v>0</v>
          </cell>
          <cell r="H179">
            <v>7615.33</v>
          </cell>
          <cell r="I179">
            <v>61458.37</v>
          </cell>
          <cell r="J179">
            <v>61458</v>
          </cell>
          <cell r="K179">
            <v>61458.37</v>
          </cell>
        </row>
        <row r="180">
          <cell r="A180" t="str">
            <v>CDG6 </v>
          </cell>
          <cell r="B180">
            <v>157</v>
          </cell>
          <cell r="C180" t="str">
            <v>Servizi socio assistenziali - Q. Borgo                      </v>
          </cell>
          <cell r="D180">
            <v>5</v>
          </cell>
          <cell r="E180">
            <v>5921</v>
          </cell>
          <cell r="F180" t="str">
            <v>Q.RI CAMPI SOSTA NOMADI                                     </v>
          </cell>
          <cell r="G180">
            <v>0</v>
          </cell>
          <cell r="H180">
            <v>1075.95</v>
          </cell>
          <cell r="I180">
            <v>23240.56</v>
          </cell>
          <cell r="J180">
            <v>25822.84</v>
          </cell>
          <cell r="K180">
            <v>25822.84</v>
          </cell>
        </row>
        <row r="181">
          <cell r="A181" t="str">
            <v>CDG6 </v>
          </cell>
          <cell r="B181">
            <v>167</v>
          </cell>
          <cell r="C181" t="str">
            <v>Servizi socio assistenziali - Q. Navile                     </v>
          </cell>
          <cell r="D181">
            <v>5</v>
          </cell>
          <cell r="E181">
            <v>5921</v>
          </cell>
          <cell r="F181" t="str">
            <v>Q.RI CAMPI SOSTA NOMADI                                     </v>
          </cell>
          <cell r="G181">
            <v>0</v>
          </cell>
          <cell r="H181">
            <v>1936.71</v>
          </cell>
          <cell r="I181">
            <v>26855.76</v>
          </cell>
          <cell r="J181">
            <v>27888.67</v>
          </cell>
          <cell r="K181">
            <v>27888.67</v>
          </cell>
        </row>
        <row r="182">
          <cell r="A182" t="str">
            <v>CDG6 </v>
          </cell>
          <cell r="B182">
            <v>177</v>
          </cell>
          <cell r="C182" t="str">
            <v>Servizi socio assistenziali - Q. Porto                      </v>
          </cell>
          <cell r="D182">
            <v>5</v>
          </cell>
          <cell r="E182">
            <v>5921</v>
          </cell>
          <cell r="F182" t="str">
            <v>Q.RI CAMPI SOSTA NOMADI                                     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CDG6 </v>
          </cell>
          <cell r="B183">
            <v>187</v>
          </cell>
          <cell r="C183" t="str">
            <v>Servi. socio assistenziali - Q. Reno                        </v>
          </cell>
          <cell r="D183">
            <v>5</v>
          </cell>
          <cell r="E183">
            <v>5921</v>
          </cell>
          <cell r="F183" t="str">
            <v>Q.RI CAMPI SOSTA NOMADI                                     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CDG6 </v>
          </cell>
          <cell r="B184">
            <v>197</v>
          </cell>
          <cell r="C184" t="str">
            <v>Servi. socio assistenz. - Q. San Donato                     </v>
          </cell>
          <cell r="D184">
            <v>5</v>
          </cell>
          <cell r="E184">
            <v>5921</v>
          </cell>
          <cell r="F184" t="str">
            <v>Q.RI CAMPI SOSTA NOMADI                                     </v>
          </cell>
          <cell r="G184">
            <v>0</v>
          </cell>
          <cell r="H184">
            <v>4981.66</v>
          </cell>
          <cell r="I184">
            <v>77468.53</v>
          </cell>
          <cell r="J184">
            <v>74886.25</v>
          </cell>
          <cell r="K184">
            <v>74886.25</v>
          </cell>
        </row>
        <row r="185">
          <cell r="A185" t="str">
            <v>CDG6 </v>
          </cell>
          <cell r="B185">
            <v>207</v>
          </cell>
          <cell r="C185" t="str">
            <v>Servi. socio assistenz. - Q. S.Stefano                      </v>
          </cell>
          <cell r="D185">
            <v>5</v>
          </cell>
          <cell r="E185">
            <v>5921</v>
          </cell>
          <cell r="F185" t="str">
            <v>Q.RI CAMPI SOSTA NOMADI                                     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 t="str">
            <v>CDG6 </v>
          </cell>
          <cell r="B186">
            <v>217</v>
          </cell>
          <cell r="C186" t="str">
            <v>Servi. socio assistenz. - Q. San Vitale                     </v>
          </cell>
          <cell r="D186">
            <v>5</v>
          </cell>
          <cell r="E186">
            <v>5921</v>
          </cell>
          <cell r="F186" t="str">
            <v>Q.RI CAMPI SOSTA NOMADI                                     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 t="str">
            <v>CDG6 </v>
          </cell>
          <cell r="B187">
            <v>227</v>
          </cell>
          <cell r="C187" t="str">
            <v>Servi. socio assistenz. - Q. Saragozza                      </v>
          </cell>
          <cell r="D187">
            <v>5</v>
          </cell>
          <cell r="E187">
            <v>5921</v>
          </cell>
          <cell r="F187" t="str">
            <v>Q.RI CAMPI SOSTA NOMADI                                     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CDG6 </v>
          </cell>
          <cell r="B188">
            <v>237</v>
          </cell>
          <cell r="C188" t="str">
            <v>Servi. socio assistenziali - Q. Savena                      </v>
          </cell>
          <cell r="D188">
            <v>5</v>
          </cell>
          <cell r="E188">
            <v>5921</v>
          </cell>
          <cell r="F188" t="str">
            <v>Q.RI CAMPI SOSTA NOMADI                                     </v>
          </cell>
          <cell r="G188">
            <v>0</v>
          </cell>
          <cell r="H188">
            <v>2928.31</v>
          </cell>
          <cell r="I188">
            <v>37184.9</v>
          </cell>
          <cell r="J188">
            <v>37185</v>
          </cell>
          <cell r="K188">
            <v>37184.9</v>
          </cell>
        </row>
        <row r="189">
          <cell r="A189" t="str">
            <v>CDG6 </v>
          </cell>
          <cell r="B189">
            <v>157</v>
          </cell>
          <cell r="C189" t="str">
            <v>Servizi socio assistenziali - Q. Borgo                      </v>
          </cell>
          <cell r="D189">
            <v>5</v>
          </cell>
          <cell r="E189">
            <v>5922</v>
          </cell>
          <cell r="F189" t="str">
            <v>Q.RI SPERIMENTAZIONE SERVIZI PER ANZIANI                    </v>
          </cell>
          <cell r="G189">
            <v>0</v>
          </cell>
          <cell r="H189">
            <v>1721.52</v>
          </cell>
          <cell r="I189">
            <v>20658.28</v>
          </cell>
          <cell r="J189">
            <v>20658.28</v>
          </cell>
          <cell r="K189">
            <v>20658.28</v>
          </cell>
        </row>
        <row r="190">
          <cell r="A190" t="str">
            <v>CDG6 </v>
          </cell>
          <cell r="B190">
            <v>167</v>
          </cell>
          <cell r="C190" t="str">
            <v>Servizi socio assistenziali - Q. Navile                     </v>
          </cell>
          <cell r="D190">
            <v>5</v>
          </cell>
          <cell r="E190">
            <v>5922</v>
          </cell>
          <cell r="F190" t="str">
            <v>Q.RI SPERIMENTAZIONE SERVIZI PER ANZIANI                    </v>
          </cell>
          <cell r="G190">
            <v>0</v>
          </cell>
          <cell r="H190">
            <v>645.57</v>
          </cell>
          <cell r="I190">
            <v>13427.88</v>
          </cell>
          <cell r="J190">
            <v>13944.34</v>
          </cell>
          <cell r="K190">
            <v>13944.34</v>
          </cell>
        </row>
        <row r="191">
          <cell r="A191" t="str">
            <v>CDG6 </v>
          </cell>
          <cell r="B191">
            <v>177</v>
          </cell>
          <cell r="C191" t="str">
            <v>Servizi socio assistenziali - Q. Porto                      </v>
          </cell>
          <cell r="D191">
            <v>5</v>
          </cell>
          <cell r="E191">
            <v>5922</v>
          </cell>
          <cell r="F191" t="str">
            <v>Q.RI SPERIMENTAZIONE SERVIZI PER ANZIANI                    </v>
          </cell>
          <cell r="G191">
            <v>0</v>
          </cell>
          <cell r="H191">
            <v>516.46</v>
          </cell>
          <cell r="I191">
            <v>7746.85</v>
          </cell>
          <cell r="J191">
            <v>7746.85</v>
          </cell>
          <cell r="K191">
            <v>7746.85</v>
          </cell>
        </row>
        <row r="192">
          <cell r="A192" t="str">
            <v>CDG6 </v>
          </cell>
          <cell r="B192">
            <v>187</v>
          </cell>
          <cell r="C192" t="str">
            <v>Servi. socio assistenziali - Q. Reno                        </v>
          </cell>
          <cell r="D192">
            <v>5</v>
          </cell>
          <cell r="E192">
            <v>5922</v>
          </cell>
          <cell r="F192" t="str">
            <v>Q.RI SPERIMENTAZIONE SERVIZI PER ANZIANI                    </v>
          </cell>
          <cell r="G192">
            <v>0</v>
          </cell>
          <cell r="H192">
            <v>3991.85</v>
          </cell>
          <cell r="I192">
            <v>36151.98</v>
          </cell>
          <cell r="J192">
            <v>36151.98</v>
          </cell>
          <cell r="K192">
            <v>43898.84</v>
          </cell>
        </row>
        <row r="193">
          <cell r="A193" t="str">
            <v>CDG6 </v>
          </cell>
          <cell r="B193">
            <v>197</v>
          </cell>
          <cell r="C193" t="str">
            <v>Servi. socio assistenz. - Q. San Donato                     </v>
          </cell>
          <cell r="D193">
            <v>5</v>
          </cell>
          <cell r="E193">
            <v>5922</v>
          </cell>
          <cell r="F193" t="str">
            <v>Q.RI SPERIMENTAZIONE SERVIZI PER ANZIANI                    </v>
          </cell>
          <cell r="G193">
            <v>0</v>
          </cell>
          <cell r="H193">
            <v>2108.87</v>
          </cell>
          <cell r="I193">
            <v>41316.55</v>
          </cell>
          <cell r="J193">
            <v>41316.55</v>
          </cell>
          <cell r="K193">
            <v>41316.55</v>
          </cell>
        </row>
        <row r="194">
          <cell r="A194" t="str">
            <v>CDG6 </v>
          </cell>
          <cell r="B194">
            <v>207</v>
          </cell>
          <cell r="C194" t="str">
            <v>Servi. socio assistenz. - Q. S.Stefano                      </v>
          </cell>
          <cell r="D194">
            <v>5</v>
          </cell>
          <cell r="E194">
            <v>5922</v>
          </cell>
          <cell r="F194" t="str">
            <v>Q.RI SPERIMENTAZIONE SERVIZI PER ANZIANI                    </v>
          </cell>
          <cell r="G194">
            <v>0</v>
          </cell>
          <cell r="H194">
            <v>4705.86</v>
          </cell>
          <cell r="I194">
            <v>69721.68</v>
          </cell>
          <cell r="J194">
            <v>71787.51</v>
          </cell>
          <cell r="K194">
            <v>71787.51</v>
          </cell>
        </row>
        <row r="195">
          <cell r="A195" t="str">
            <v>CDG6 </v>
          </cell>
          <cell r="B195">
            <v>217</v>
          </cell>
          <cell r="C195" t="str">
            <v>Servi. socio assistenz. - Q. San Vitale                     </v>
          </cell>
          <cell r="D195">
            <v>5</v>
          </cell>
          <cell r="E195">
            <v>5922</v>
          </cell>
          <cell r="F195" t="str">
            <v>Q.RI SPERIMENTAZIONE SERVIZI PER ANZIANI                    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 t="str">
            <v>CDG6 </v>
          </cell>
          <cell r="B196">
            <v>227</v>
          </cell>
          <cell r="C196" t="str">
            <v>Servi. socio assistenz. - Q. Saragozza                      </v>
          </cell>
          <cell r="D196">
            <v>5</v>
          </cell>
          <cell r="E196">
            <v>5922</v>
          </cell>
          <cell r="F196" t="str">
            <v>Q.RI SPERIMENTAZIONE SERVIZI PER ANZIANI                    </v>
          </cell>
          <cell r="G196">
            <v>0</v>
          </cell>
          <cell r="H196">
            <v>516.46</v>
          </cell>
          <cell r="I196">
            <v>6197.48</v>
          </cell>
          <cell r="J196">
            <v>6197</v>
          </cell>
          <cell r="K196">
            <v>6197.48</v>
          </cell>
        </row>
        <row r="197">
          <cell r="A197" t="str">
            <v>CDG6 </v>
          </cell>
          <cell r="B197">
            <v>237</v>
          </cell>
          <cell r="C197" t="str">
            <v>Servi. socio assistenziali - Q. Savena                      </v>
          </cell>
          <cell r="D197">
            <v>5</v>
          </cell>
          <cell r="E197">
            <v>5922</v>
          </cell>
          <cell r="F197" t="str">
            <v>Q.RI SPERIMENTAZIONE SERVIZI PER ANZIANI                    </v>
          </cell>
          <cell r="G197">
            <v>0</v>
          </cell>
          <cell r="H197">
            <v>5016.56</v>
          </cell>
          <cell r="I197">
            <v>76435.62</v>
          </cell>
          <cell r="J197">
            <v>87519</v>
          </cell>
          <cell r="K197">
            <v>87518.79</v>
          </cell>
        </row>
        <row r="198">
          <cell r="A198" t="str">
            <v>CDG6 </v>
          </cell>
          <cell r="B198">
            <v>156</v>
          </cell>
          <cell r="C198" t="str">
            <v>Direz. aff. gen. e isti. - Q. Borgo                         </v>
          </cell>
          <cell r="D198">
            <v>5</v>
          </cell>
          <cell r="E198">
            <v>5923</v>
          </cell>
          <cell r="F198" t="str">
            <v>Q.RI INTERVENTI PROMOZIONALI DIVERSI                        </v>
          </cell>
          <cell r="G198">
            <v>0</v>
          </cell>
          <cell r="H198">
            <v>4020.62</v>
          </cell>
          <cell r="I198">
            <v>67779.8</v>
          </cell>
          <cell r="J198">
            <v>68172.31</v>
          </cell>
          <cell r="K198">
            <v>68172.31</v>
          </cell>
        </row>
        <row r="199">
          <cell r="A199" t="str">
            <v>CDG6 </v>
          </cell>
          <cell r="B199">
            <v>166</v>
          </cell>
          <cell r="C199" t="str">
            <v>Direz. aff. gen. e isti. - Q. Navile                        </v>
          </cell>
          <cell r="D199">
            <v>5</v>
          </cell>
          <cell r="E199">
            <v>5923</v>
          </cell>
          <cell r="F199" t="str">
            <v>Q.RI INTERVENTI PROMOZIONALI DIVERSI                        </v>
          </cell>
          <cell r="G199">
            <v>0</v>
          </cell>
          <cell r="H199">
            <v>5379.76</v>
          </cell>
          <cell r="I199">
            <v>59392.54</v>
          </cell>
          <cell r="J199">
            <v>59392.54</v>
          </cell>
          <cell r="K199">
            <v>59392.54</v>
          </cell>
        </row>
        <row r="200">
          <cell r="A200" t="str">
            <v>CDG6 </v>
          </cell>
          <cell r="B200">
            <v>176</v>
          </cell>
          <cell r="C200" t="str">
            <v>Direz. aff. gen. e isti. - Q. Porto                         </v>
          </cell>
          <cell r="D200">
            <v>5</v>
          </cell>
          <cell r="E200">
            <v>5923</v>
          </cell>
          <cell r="F200" t="str">
            <v>Q.RI INTERVENTI PROMOZIONALI DIVERSI                        </v>
          </cell>
          <cell r="G200">
            <v>0</v>
          </cell>
          <cell r="H200">
            <v>3260.13</v>
          </cell>
          <cell r="I200">
            <v>37184.9</v>
          </cell>
          <cell r="J200">
            <v>41316.55</v>
          </cell>
          <cell r="K200">
            <v>41316.55</v>
          </cell>
        </row>
        <row r="201">
          <cell r="A201" t="str">
            <v>CDG6 </v>
          </cell>
          <cell r="B201">
            <v>186</v>
          </cell>
          <cell r="C201" t="str">
            <v>Direz. aff. gen. e isti. - Q. Reno                          </v>
          </cell>
          <cell r="D201">
            <v>5</v>
          </cell>
          <cell r="E201">
            <v>5923</v>
          </cell>
          <cell r="F201" t="str">
            <v>Q.RI INTERVENTI PROMOZIONALI DIVERSI                        </v>
          </cell>
          <cell r="G201">
            <v>0</v>
          </cell>
          <cell r="H201">
            <v>2727.62</v>
          </cell>
          <cell r="I201">
            <v>30987.41</v>
          </cell>
          <cell r="J201">
            <v>30987.41</v>
          </cell>
          <cell r="K201">
            <v>38734.27</v>
          </cell>
        </row>
        <row r="202">
          <cell r="A202" t="str">
            <v>CDG6 </v>
          </cell>
          <cell r="B202">
            <v>196</v>
          </cell>
          <cell r="C202" t="str">
            <v>Direz. aff. gen. e isti. - Q. San Donato                    </v>
          </cell>
          <cell r="D202">
            <v>5</v>
          </cell>
          <cell r="E202">
            <v>5923</v>
          </cell>
          <cell r="F202" t="str">
            <v>Q.RI INTERVENTI PROMOZIONALI DIVERSI                        </v>
          </cell>
          <cell r="G202">
            <v>0</v>
          </cell>
          <cell r="H202">
            <v>2318.03</v>
          </cell>
          <cell r="I202">
            <v>36151.98</v>
          </cell>
          <cell r="J202">
            <v>53711.52</v>
          </cell>
          <cell r="K202">
            <v>58876.09</v>
          </cell>
        </row>
        <row r="203">
          <cell r="A203" t="str">
            <v>CDG6 </v>
          </cell>
          <cell r="B203">
            <v>206</v>
          </cell>
          <cell r="C203" t="str">
            <v>Direz. aff. gen. e isti. - Q. S.Stefano                     </v>
          </cell>
          <cell r="D203">
            <v>5</v>
          </cell>
          <cell r="E203">
            <v>5923</v>
          </cell>
          <cell r="F203" t="str">
            <v>Q.RI INTERVENTI PROMOZIONALI DIVERSI                        </v>
          </cell>
          <cell r="G203">
            <v>0</v>
          </cell>
          <cell r="H203">
            <v>5079.23</v>
          </cell>
          <cell r="I203">
            <v>62491.28</v>
          </cell>
          <cell r="J203">
            <v>67655.85</v>
          </cell>
          <cell r="K203">
            <v>67655.85</v>
          </cell>
        </row>
        <row r="204">
          <cell r="A204" t="str">
            <v>CDG6 </v>
          </cell>
          <cell r="B204">
            <v>216</v>
          </cell>
          <cell r="C204" t="str">
            <v>Direz. aff. gen. e isti. - Q. San Vitale                    </v>
          </cell>
          <cell r="D204">
            <v>5</v>
          </cell>
          <cell r="E204">
            <v>5923</v>
          </cell>
          <cell r="F204" t="str">
            <v>Q.RI INTERVENTI PROMOZIONALI DIVERSI                        </v>
          </cell>
          <cell r="G204">
            <v>0</v>
          </cell>
          <cell r="H204">
            <v>4301.66</v>
          </cell>
          <cell r="I204">
            <v>57326.72</v>
          </cell>
          <cell r="J204">
            <v>40541.87</v>
          </cell>
          <cell r="K204">
            <v>49321.63</v>
          </cell>
        </row>
        <row r="205">
          <cell r="A205" t="str">
            <v>CDG6 </v>
          </cell>
          <cell r="B205">
            <v>226</v>
          </cell>
          <cell r="C205" t="str">
            <v>Direz. aff. gen. e isti. - Q. Saragozza                     </v>
          </cell>
          <cell r="D205">
            <v>5</v>
          </cell>
          <cell r="E205">
            <v>5923</v>
          </cell>
          <cell r="F205" t="str">
            <v>Q.RI INTERVENTI PROMOZIONALI DIVERSI                        </v>
          </cell>
          <cell r="G205">
            <v>0</v>
          </cell>
          <cell r="H205">
            <v>4110.14</v>
          </cell>
          <cell r="I205">
            <v>51645.69</v>
          </cell>
          <cell r="J205">
            <v>51646</v>
          </cell>
          <cell r="K205">
            <v>51645.69</v>
          </cell>
        </row>
        <row r="206">
          <cell r="A206" t="str">
            <v>CDG6 </v>
          </cell>
          <cell r="B206">
            <v>236</v>
          </cell>
          <cell r="C206" t="str">
            <v>Direz. aff. gen. e isti. - Q. Savena                        </v>
          </cell>
          <cell r="D206">
            <v>5</v>
          </cell>
          <cell r="E206">
            <v>5923</v>
          </cell>
          <cell r="F206" t="str">
            <v>Q.RI INTERVENTI PROMOZIONALI DIVERSI                        </v>
          </cell>
          <cell r="G206">
            <v>0</v>
          </cell>
          <cell r="H206">
            <v>5984.66</v>
          </cell>
          <cell r="I206">
            <v>142025.65</v>
          </cell>
          <cell r="J206">
            <v>132782</v>
          </cell>
          <cell r="K206">
            <v>90823.51</v>
          </cell>
        </row>
        <row r="207">
          <cell r="A207" t="str">
            <v>CDG6 </v>
          </cell>
          <cell r="B207">
            <v>156</v>
          </cell>
          <cell r="C207" t="str">
            <v>Direz. aff. gen. e isti. - Q. Borgo                         </v>
          </cell>
          <cell r="D207">
            <v>5</v>
          </cell>
          <cell r="E207">
            <v>5925</v>
          </cell>
          <cell r="F207" t="str">
            <v>Q.RI FONDO INNOVAZIONE                                      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CDG6 </v>
          </cell>
          <cell r="B208">
            <v>166</v>
          </cell>
          <cell r="C208" t="str">
            <v>Direz. aff. gen. e isti. - Q. Navile                        </v>
          </cell>
          <cell r="D208">
            <v>5</v>
          </cell>
          <cell r="E208">
            <v>5925</v>
          </cell>
          <cell r="F208" t="str">
            <v>Q.RI FONDO INNOVAZIONE                                      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CDG6 </v>
          </cell>
          <cell r="B209">
            <v>176</v>
          </cell>
          <cell r="C209" t="str">
            <v>Direz. aff. gen. e isti. - Q. Porto                         </v>
          </cell>
          <cell r="D209">
            <v>5</v>
          </cell>
          <cell r="E209">
            <v>5925</v>
          </cell>
          <cell r="F209" t="str">
            <v>Q.RI FONDO INNOVAZIONE                                      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CDG6 </v>
          </cell>
          <cell r="B210">
            <v>186</v>
          </cell>
          <cell r="C210" t="str">
            <v>Direz. aff. gen. e isti. - Q. Reno                          </v>
          </cell>
          <cell r="D210">
            <v>5</v>
          </cell>
          <cell r="E210">
            <v>5925</v>
          </cell>
          <cell r="F210" t="str">
            <v>Q.RI FONDO INNOVAZIONE                                      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CDG6 </v>
          </cell>
          <cell r="B211">
            <v>196</v>
          </cell>
          <cell r="C211" t="str">
            <v>Direz. aff. gen. e isti. - Q. San Donato                    </v>
          </cell>
          <cell r="D211">
            <v>5</v>
          </cell>
          <cell r="E211">
            <v>5925</v>
          </cell>
          <cell r="F211" t="str">
            <v>Q.RI FONDO INNOVAZIONE                                      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CDG6 </v>
          </cell>
          <cell r="B212">
            <v>206</v>
          </cell>
          <cell r="C212" t="str">
            <v>Direz. aff. gen. e isti. - Q. S.Stefano                     </v>
          </cell>
          <cell r="D212">
            <v>5</v>
          </cell>
          <cell r="E212">
            <v>5925</v>
          </cell>
          <cell r="F212" t="str">
            <v>Q.RI FONDO INNOVAZIONE                                      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A213" t="str">
            <v>CDG6 </v>
          </cell>
          <cell r="B213">
            <v>216</v>
          </cell>
          <cell r="C213" t="str">
            <v>Direz. aff. gen. e isti. - Q. San Vitale                    </v>
          </cell>
          <cell r="D213">
            <v>5</v>
          </cell>
          <cell r="E213">
            <v>5925</v>
          </cell>
          <cell r="F213" t="str">
            <v>Q.RI FONDO INNOVAZIONE                                      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 t="str">
            <v>CDG6 </v>
          </cell>
          <cell r="B214">
            <v>226</v>
          </cell>
          <cell r="C214" t="str">
            <v>Direz. aff. gen. e isti. - Q. Saragozza                     </v>
          </cell>
          <cell r="D214">
            <v>5</v>
          </cell>
          <cell r="E214">
            <v>5925</v>
          </cell>
          <cell r="F214" t="str">
            <v>Q.RI FONDO INNOVAZIONE                                      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CDG6 </v>
          </cell>
          <cell r="B215">
            <v>236</v>
          </cell>
          <cell r="C215" t="str">
            <v>Direz. aff. gen. e isti. - Q. Savena                        </v>
          </cell>
          <cell r="D215">
            <v>5</v>
          </cell>
          <cell r="E215">
            <v>5925</v>
          </cell>
          <cell r="F215" t="str">
            <v>Q.RI FONDO INNOVAZIONE                                      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CDG6 </v>
          </cell>
          <cell r="B216">
            <v>162</v>
          </cell>
          <cell r="C216" t="str">
            <v>Altri servizi educativi - Q. Borgo                          </v>
          </cell>
          <cell r="D216">
            <v>5</v>
          </cell>
          <cell r="E216">
            <v>5926</v>
          </cell>
          <cell r="F216" t="str">
            <v>Q.RI DIRITTO ALLO STUDIO                                    </v>
          </cell>
          <cell r="G216">
            <v>0</v>
          </cell>
          <cell r="H216">
            <v>4562.04</v>
          </cell>
          <cell r="I216">
            <v>48515.96</v>
          </cell>
          <cell r="J216">
            <v>51645.69</v>
          </cell>
          <cell r="K216">
            <v>51645.69</v>
          </cell>
        </row>
        <row r="217">
          <cell r="A217" t="str">
            <v>CDG6 </v>
          </cell>
          <cell r="B217">
            <v>172</v>
          </cell>
          <cell r="C217" t="str">
            <v>Altri serv. educativi - Q. Navile                           </v>
          </cell>
          <cell r="D217">
            <v>5</v>
          </cell>
          <cell r="E217">
            <v>5926</v>
          </cell>
          <cell r="F217" t="str">
            <v>Q.RI DIRITTO ALLO STUDIO                                    </v>
          </cell>
          <cell r="G217">
            <v>0</v>
          </cell>
          <cell r="H217">
            <v>12093.7</v>
          </cell>
          <cell r="I217">
            <v>161134.55</v>
          </cell>
          <cell r="J217">
            <v>165782.67</v>
          </cell>
          <cell r="K217">
            <v>165782.66</v>
          </cell>
        </row>
        <row r="218">
          <cell r="A218" t="str">
            <v>CDG6 </v>
          </cell>
          <cell r="B218">
            <v>182</v>
          </cell>
          <cell r="C218" t="str">
            <v>Altri serv. educativi - Q. Porto                            </v>
          </cell>
          <cell r="D218">
            <v>5</v>
          </cell>
          <cell r="E218">
            <v>5926</v>
          </cell>
          <cell r="F218" t="str">
            <v>Q.RI DIRITTO ALLO STUDIO                                    </v>
          </cell>
          <cell r="G218">
            <v>0</v>
          </cell>
          <cell r="H218">
            <v>6843.05</v>
          </cell>
          <cell r="I218">
            <v>62821.82</v>
          </cell>
          <cell r="J218">
            <v>95028.07</v>
          </cell>
          <cell r="K218">
            <v>95028.07</v>
          </cell>
        </row>
        <row r="219">
          <cell r="A219" t="str">
            <v>CDG6 </v>
          </cell>
          <cell r="B219">
            <v>192</v>
          </cell>
          <cell r="C219" t="str">
            <v>Altri serv. educativi - Q. Reno                             </v>
          </cell>
          <cell r="D219">
            <v>5</v>
          </cell>
          <cell r="E219">
            <v>5926</v>
          </cell>
          <cell r="F219" t="str">
            <v>Q.RI DIRITTO ALLO STUDIO                                    </v>
          </cell>
          <cell r="G219">
            <v>0</v>
          </cell>
          <cell r="H219">
            <v>5069.89</v>
          </cell>
          <cell r="I219">
            <v>68606.13</v>
          </cell>
          <cell r="J219">
            <v>70506.7</v>
          </cell>
          <cell r="K219">
            <v>70506.7</v>
          </cell>
        </row>
        <row r="220">
          <cell r="A220" t="str">
            <v>CDG6 </v>
          </cell>
          <cell r="B220">
            <v>202</v>
          </cell>
          <cell r="C220" t="str">
            <v>Altri servizi educativi - Q. San Donato                     </v>
          </cell>
          <cell r="D220">
            <v>5</v>
          </cell>
          <cell r="E220">
            <v>5926</v>
          </cell>
          <cell r="F220" t="str">
            <v>Q.RI DIRITTO ALLO STUDIO                                    </v>
          </cell>
          <cell r="G220">
            <v>0</v>
          </cell>
          <cell r="H220">
            <v>6438.93</v>
          </cell>
          <cell r="I220">
            <v>70171</v>
          </cell>
          <cell r="J220">
            <v>87797.67</v>
          </cell>
          <cell r="K220">
            <v>92962.24</v>
          </cell>
        </row>
        <row r="221">
          <cell r="A221" t="str">
            <v>CDG6 </v>
          </cell>
          <cell r="B221">
            <v>212</v>
          </cell>
          <cell r="C221" t="str">
            <v>Altri serv. educativi - Q. Santo Stefano                    </v>
          </cell>
          <cell r="D221">
            <v>5</v>
          </cell>
          <cell r="E221">
            <v>5926</v>
          </cell>
          <cell r="F221" t="str">
            <v>Q.RI DIRITTO ALLO STUDIO                                    </v>
          </cell>
          <cell r="G221">
            <v>0</v>
          </cell>
          <cell r="H221">
            <v>10908.07</v>
          </cell>
          <cell r="I221">
            <v>202967.56</v>
          </cell>
          <cell r="J221">
            <v>208648.59</v>
          </cell>
          <cell r="K221">
            <v>208648.59</v>
          </cell>
        </row>
        <row r="222">
          <cell r="A222" t="str">
            <v>CDG6 </v>
          </cell>
          <cell r="B222">
            <v>222</v>
          </cell>
          <cell r="C222" t="str">
            <v>Altri serv. educativi - Q. San Vitale                       </v>
          </cell>
          <cell r="D222">
            <v>5</v>
          </cell>
          <cell r="E222">
            <v>5926</v>
          </cell>
          <cell r="F222" t="str">
            <v>Q.RI DIRITTO ALLO STUDIO                                    </v>
          </cell>
          <cell r="G222">
            <v>0</v>
          </cell>
          <cell r="H222">
            <v>10772.56</v>
          </cell>
          <cell r="I222">
            <v>154523.9</v>
          </cell>
          <cell r="J222">
            <v>164957.88</v>
          </cell>
          <cell r="K222">
            <v>164749.75</v>
          </cell>
        </row>
        <row r="223">
          <cell r="A223" t="str">
            <v>CDG6 </v>
          </cell>
          <cell r="B223">
            <v>232</v>
          </cell>
          <cell r="C223" t="str">
            <v>Altri serv. educativi - Q. Saragozza                        </v>
          </cell>
          <cell r="D223">
            <v>5</v>
          </cell>
          <cell r="E223">
            <v>5926</v>
          </cell>
          <cell r="F223" t="str">
            <v>Q.RI DIRITTO ALLO STUDIO                                    </v>
          </cell>
          <cell r="G223">
            <v>0</v>
          </cell>
          <cell r="H223">
            <v>6715.62</v>
          </cell>
          <cell r="I223">
            <v>94397.99</v>
          </cell>
          <cell r="J223">
            <v>120738</v>
          </cell>
          <cell r="K223">
            <v>120850.91</v>
          </cell>
        </row>
        <row r="224">
          <cell r="A224" t="str">
            <v>CDG6 </v>
          </cell>
          <cell r="B224">
            <v>242</v>
          </cell>
          <cell r="C224" t="str">
            <v>Altri serv. educativi - Q. Savena                           </v>
          </cell>
          <cell r="D224">
            <v>5</v>
          </cell>
          <cell r="E224">
            <v>5926</v>
          </cell>
          <cell r="F224" t="str">
            <v>Q.RI DIRITTO ALLO STUDIO                                    </v>
          </cell>
          <cell r="G224">
            <v>0</v>
          </cell>
          <cell r="H224">
            <v>11795.71</v>
          </cell>
          <cell r="I224">
            <v>125499.03</v>
          </cell>
          <cell r="J224">
            <v>178175</v>
          </cell>
          <cell r="K224">
            <v>177836.71</v>
          </cell>
        </row>
        <row r="225">
          <cell r="A225" t="str">
            <v>CDG6 </v>
          </cell>
          <cell r="B225">
            <v>162</v>
          </cell>
          <cell r="C225" t="str">
            <v>Altri servizi educativi - Q. Borgo                          </v>
          </cell>
          <cell r="D225">
            <v>5</v>
          </cell>
          <cell r="E225">
            <v>5927</v>
          </cell>
          <cell r="F225" t="str">
            <v>Q.RI ESTATE IN CITTA'                                       </v>
          </cell>
          <cell r="G225">
            <v>0</v>
          </cell>
          <cell r="H225">
            <v>873.67</v>
          </cell>
          <cell r="I225">
            <v>12911.42</v>
          </cell>
          <cell r="J225">
            <v>14460.79</v>
          </cell>
          <cell r="K225">
            <v>14460.79</v>
          </cell>
        </row>
        <row r="226">
          <cell r="A226" t="str">
            <v>CDG6 </v>
          </cell>
          <cell r="B226">
            <v>172</v>
          </cell>
          <cell r="C226" t="str">
            <v>Altri serv. educativi - Q. Navile                           </v>
          </cell>
          <cell r="D226">
            <v>5</v>
          </cell>
          <cell r="E226">
            <v>5927</v>
          </cell>
          <cell r="F226" t="str">
            <v>Q.RI ESTATE IN CITTA'                                       </v>
          </cell>
          <cell r="G226">
            <v>0</v>
          </cell>
          <cell r="H226">
            <v>2668.36</v>
          </cell>
          <cell r="I226">
            <v>36151.98</v>
          </cell>
          <cell r="J226">
            <v>37184.9</v>
          </cell>
          <cell r="K226">
            <v>37184.9</v>
          </cell>
        </row>
        <row r="227">
          <cell r="A227" t="str">
            <v>CDG6 </v>
          </cell>
          <cell r="B227">
            <v>182</v>
          </cell>
          <cell r="C227" t="str">
            <v>Altri serv. educativi - Q. Porto                            </v>
          </cell>
          <cell r="D227">
            <v>5</v>
          </cell>
          <cell r="E227">
            <v>5927</v>
          </cell>
          <cell r="F227" t="str">
            <v>Q.RI ESTATE IN CITTA'                                       </v>
          </cell>
          <cell r="G227">
            <v>0</v>
          </cell>
          <cell r="H227">
            <v>1026.89</v>
          </cell>
          <cell r="I227">
            <v>12394.97</v>
          </cell>
          <cell r="J227">
            <v>13427.88</v>
          </cell>
          <cell r="K227">
            <v>13427.88</v>
          </cell>
        </row>
        <row r="228">
          <cell r="A228" t="str">
            <v>CDG6 </v>
          </cell>
          <cell r="B228">
            <v>192</v>
          </cell>
          <cell r="C228" t="str">
            <v>Altri serv. educativi - Q. Reno                             </v>
          </cell>
          <cell r="D228">
            <v>5</v>
          </cell>
          <cell r="E228">
            <v>5927</v>
          </cell>
          <cell r="F228" t="str">
            <v>Q.RI ESTATE IN CITTA'                                       </v>
          </cell>
          <cell r="G228">
            <v>0</v>
          </cell>
          <cell r="H228">
            <v>1248.1</v>
          </cell>
          <cell r="I228">
            <v>20658.28</v>
          </cell>
          <cell r="J228">
            <v>21174.73</v>
          </cell>
          <cell r="K228">
            <v>21174.73</v>
          </cell>
        </row>
        <row r="229">
          <cell r="A229" t="str">
            <v>CDG6 </v>
          </cell>
          <cell r="B229">
            <v>202</v>
          </cell>
          <cell r="C229" t="str">
            <v>Altri servizi educativi - Q. San Donato                     </v>
          </cell>
          <cell r="D229">
            <v>5</v>
          </cell>
          <cell r="E229">
            <v>5927</v>
          </cell>
          <cell r="F229" t="str">
            <v>Q.RI ESTATE IN CITTA'                                       </v>
          </cell>
          <cell r="G229">
            <v>0</v>
          </cell>
          <cell r="H229">
            <v>1471.17</v>
          </cell>
          <cell r="I229">
            <v>21174.73</v>
          </cell>
          <cell r="J229">
            <v>21691.19</v>
          </cell>
          <cell r="K229">
            <v>21691.19</v>
          </cell>
        </row>
        <row r="230">
          <cell r="A230" t="str">
            <v>CDG6 </v>
          </cell>
          <cell r="B230">
            <v>212</v>
          </cell>
          <cell r="C230" t="str">
            <v>Altri serv. educativi - Q. Santo Stefano                    </v>
          </cell>
          <cell r="D230">
            <v>5</v>
          </cell>
          <cell r="E230">
            <v>5927</v>
          </cell>
          <cell r="F230" t="str">
            <v>Q.RI ESTATE IN CITTA'                                       </v>
          </cell>
          <cell r="G230">
            <v>0</v>
          </cell>
          <cell r="H230">
            <v>2452.17</v>
          </cell>
          <cell r="I230">
            <v>32536.78</v>
          </cell>
          <cell r="J230">
            <v>35119.07</v>
          </cell>
          <cell r="K230">
            <v>35119.07</v>
          </cell>
        </row>
        <row r="231">
          <cell r="A231" t="str">
            <v>CDG6 </v>
          </cell>
          <cell r="B231">
            <v>222</v>
          </cell>
          <cell r="C231" t="str">
            <v>Altri serv. educativi - Q. San Vitale                       </v>
          </cell>
          <cell r="D231">
            <v>5</v>
          </cell>
          <cell r="E231">
            <v>5927</v>
          </cell>
          <cell r="F231" t="str">
            <v>Q.RI ESTATE IN CITTA'                                       </v>
          </cell>
          <cell r="G231">
            <v>0</v>
          </cell>
          <cell r="H231">
            <v>2022.79</v>
          </cell>
          <cell r="I231">
            <v>24273.47</v>
          </cell>
          <cell r="J231">
            <v>38300.44</v>
          </cell>
          <cell r="K231">
            <v>38217.81</v>
          </cell>
        </row>
        <row r="232">
          <cell r="A232" t="str">
            <v>CDG6 </v>
          </cell>
          <cell r="B232">
            <v>232</v>
          </cell>
          <cell r="C232" t="str">
            <v>Altri serv. educativi - Q. Saragozza                        </v>
          </cell>
          <cell r="D232">
            <v>5</v>
          </cell>
          <cell r="E232">
            <v>5927</v>
          </cell>
          <cell r="F232" t="str">
            <v>Q.RI ESTATE IN CITTA'                                       </v>
          </cell>
          <cell r="G232">
            <v>0</v>
          </cell>
          <cell r="H232">
            <v>2585.77</v>
          </cell>
          <cell r="I232">
            <v>40913.72</v>
          </cell>
          <cell r="J232">
            <v>40913</v>
          </cell>
          <cell r="K232">
            <v>40800.1</v>
          </cell>
        </row>
        <row r="233">
          <cell r="A233" t="str">
            <v>CDG6 </v>
          </cell>
          <cell r="B233">
            <v>242</v>
          </cell>
          <cell r="C233" t="str">
            <v>Altri serv. educativi - Q. Savena                           </v>
          </cell>
          <cell r="D233">
            <v>5</v>
          </cell>
          <cell r="E233">
            <v>5927</v>
          </cell>
          <cell r="F233" t="str">
            <v>Q.RI ESTATE IN CITTA'                                       </v>
          </cell>
          <cell r="G233">
            <v>0</v>
          </cell>
          <cell r="H233">
            <v>2088.21</v>
          </cell>
          <cell r="I233">
            <v>24789.93</v>
          </cell>
          <cell r="J233">
            <v>21810</v>
          </cell>
          <cell r="K233">
            <v>21809.97</v>
          </cell>
        </row>
        <row r="234">
          <cell r="A234" t="str">
            <v>CDG6 </v>
          </cell>
          <cell r="B234">
            <v>162</v>
          </cell>
          <cell r="C234" t="str">
            <v>Altri servizi educativi - Q. Borgo                          </v>
          </cell>
          <cell r="D234">
            <v>5</v>
          </cell>
          <cell r="E234">
            <v>5931</v>
          </cell>
          <cell r="F234" t="str">
            <v>Q.RI ASSISTENZA ALUNNI CON HANDICAP                         </v>
          </cell>
          <cell r="G234">
            <v>0</v>
          </cell>
          <cell r="H234">
            <v>2539.25</v>
          </cell>
          <cell r="I234">
            <v>41316.55</v>
          </cell>
          <cell r="J234">
            <v>56810.26</v>
          </cell>
          <cell r="K234">
            <v>56810.26</v>
          </cell>
        </row>
        <row r="235">
          <cell r="A235" t="str">
            <v>CDG6 </v>
          </cell>
          <cell r="B235">
            <v>172</v>
          </cell>
          <cell r="C235" t="str">
            <v>Altri serv. educativi - Q. Navile                           </v>
          </cell>
          <cell r="D235">
            <v>5</v>
          </cell>
          <cell r="E235">
            <v>5931</v>
          </cell>
          <cell r="F235" t="str">
            <v>Q.RI ASSISTENZA ALUNNI CON HANDICAP                         </v>
          </cell>
          <cell r="G235">
            <v>0</v>
          </cell>
          <cell r="H235">
            <v>17688.65</v>
          </cell>
          <cell r="I235">
            <v>217428.35</v>
          </cell>
          <cell r="J235">
            <v>292314.61</v>
          </cell>
          <cell r="K235">
            <v>292314.6</v>
          </cell>
        </row>
        <row r="236">
          <cell r="A236" t="str">
            <v>CDG6 </v>
          </cell>
          <cell r="B236">
            <v>182</v>
          </cell>
          <cell r="C236" t="str">
            <v>Altri serv. educativi - Q. Porto                            </v>
          </cell>
          <cell r="D236">
            <v>5</v>
          </cell>
          <cell r="E236">
            <v>5931</v>
          </cell>
          <cell r="F236" t="str">
            <v>Q.RI ASSISTENZA ALUNNI CON HANDICAP                         </v>
          </cell>
          <cell r="G236">
            <v>0</v>
          </cell>
          <cell r="H236">
            <v>9259.21</v>
          </cell>
          <cell r="I236">
            <v>149772.5</v>
          </cell>
          <cell r="J236">
            <v>175595.35</v>
          </cell>
          <cell r="K236">
            <v>175595.35</v>
          </cell>
        </row>
        <row r="237">
          <cell r="A237" t="str">
            <v>CDG6 </v>
          </cell>
          <cell r="B237">
            <v>192</v>
          </cell>
          <cell r="C237" t="str">
            <v>Altri serv. educativi - Q. Reno                             </v>
          </cell>
          <cell r="D237">
            <v>5</v>
          </cell>
          <cell r="E237">
            <v>5931</v>
          </cell>
          <cell r="F237" t="str">
            <v>Q.RI ASSISTENZA ALUNNI CON HANDICAP                         </v>
          </cell>
          <cell r="G237">
            <v>0</v>
          </cell>
          <cell r="H237">
            <v>12466.41</v>
          </cell>
          <cell r="I237">
            <v>134278.79</v>
          </cell>
          <cell r="J237">
            <v>170430.78</v>
          </cell>
          <cell r="K237">
            <v>170430.78</v>
          </cell>
        </row>
        <row r="238">
          <cell r="A238" t="str">
            <v>CDG6 </v>
          </cell>
          <cell r="B238">
            <v>202</v>
          </cell>
          <cell r="C238" t="str">
            <v>Altri servizi educativi - Q. San Donato                     </v>
          </cell>
          <cell r="D238">
            <v>5</v>
          </cell>
          <cell r="E238">
            <v>5931</v>
          </cell>
          <cell r="F238" t="str">
            <v>Q.RI ASSISTENZA ALUNNI CON HANDICAP                         </v>
          </cell>
          <cell r="G238">
            <v>0</v>
          </cell>
          <cell r="H238">
            <v>10845.59</v>
          </cell>
          <cell r="I238">
            <v>175595.35</v>
          </cell>
          <cell r="J238">
            <v>231372.69</v>
          </cell>
          <cell r="K238">
            <v>231372.69</v>
          </cell>
        </row>
        <row r="239">
          <cell r="A239" t="str">
            <v>CDG6 </v>
          </cell>
          <cell r="B239">
            <v>212</v>
          </cell>
          <cell r="C239" t="str">
            <v>Altri serv. educativi - Q. Santo Stefano                    </v>
          </cell>
          <cell r="D239">
            <v>5</v>
          </cell>
          <cell r="E239">
            <v>5931</v>
          </cell>
          <cell r="F239" t="str">
            <v>Q.RI ASSISTENZA ALUNNI CON HANDICAP                         </v>
          </cell>
          <cell r="G239">
            <v>0</v>
          </cell>
          <cell r="H239">
            <v>11593.12</v>
          </cell>
          <cell r="I239">
            <v>170430.78</v>
          </cell>
          <cell r="J239">
            <v>167332.04</v>
          </cell>
          <cell r="K239">
            <v>158035.81</v>
          </cell>
        </row>
        <row r="240">
          <cell r="A240" t="str">
            <v>CDG6 </v>
          </cell>
          <cell r="B240">
            <v>222</v>
          </cell>
          <cell r="C240" t="str">
            <v>Altri serv. educativi - Q. San Vitale                       </v>
          </cell>
          <cell r="D240">
            <v>5</v>
          </cell>
          <cell r="E240">
            <v>5931</v>
          </cell>
          <cell r="F240" t="str">
            <v>Q.RI ASSISTENZA ALUNNI CON HANDICAP                         </v>
          </cell>
          <cell r="G240">
            <v>0</v>
          </cell>
          <cell r="H240">
            <v>7987.87</v>
          </cell>
          <cell r="I240">
            <v>103291.38</v>
          </cell>
          <cell r="J240">
            <v>105474.96</v>
          </cell>
          <cell r="K240">
            <v>105357.21</v>
          </cell>
        </row>
        <row r="241">
          <cell r="A241" t="str">
            <v>CDG6 </v>
          </cell>
          <cell r="B241">
            <v>232</v>
          </cell>
          <cell r="C241" t="str">
            <v>Altri serv. educativi - Q. Saragozza                        </v>
          </cell>
          <cell r="D241">
            <v>5</v>
          </cell>
          <cell r="E241">
            <v>5931</v>
          </cell>
          <cell r="F241" t="str">
            <v>Q.RI ASSISTENZA ALUNNI CON HANDICAP                         </v>
          </cell>
          <cell r="G241">
            <v>0</v>
          </cell>
          <cell r="H241">
            <v>8684.91</v>
          </cell>
          <cell r="I241">
            <v>134278.79</v>
          </cell>
          <cell r="J241">
            <v>134279</v>
          </cell>
          <cell r="K241">
            <v>134278.79</v>
          </cell>
        </row>
        <row r="242">
          <cell r="A242" t="str">
            <v>CDG6 </v>
          </cell>
          <cell r="B242">
            <v>242</v>
          </cell>
          <cell r="C242" t="str">
            <v>Altri serv. educativi - Q. Savena                           </v>
          </cell>
          <cell r="D242">
            <v>5</v>
          </cell>
          <cell r="E242">
            <v>5931</v>
          </cell>
          <cell r="F242" t="str">
            <v>Q.RI ASSISTENZA ALUNNI CON HANDICAP                         </v>
          </cell>
          <cell r="G242">
            <v>0</v>
          </cell>
          <cell r="H242">
            <v>17612.64</v>
          </cell>
          <cell r="I242">
            <v>281985.47</v>
          </cell>
          <cell r="J242">
            <v>321203</v>
          </cell>
          <cell r="K242">
            <v>312058.75</v>
          </cell>
        </row>
        <row r="243">
          <cell r="A243" t="str">
            <v>CDG6 </v>
          </cell>
          <cell r="B243">
            <v>157</v>
          </cell>
          <cell r="C243" t="str">
            <v>Servizi socio assistenziali - Q. Borgo                      </v>
          </cell>
          <cell r="D243">
            <v>5</v>
          </cell>
          <cell r="E243">
            <v>5934</v>
          </cell>
          <cell r="F243" t="str">
            <v>Q.RI CENTRI DIURNI                                          </v>
          </cell>
          <cell r="G243">
            <v>0</v>
          </cell>
          <cell r="H243">
            <v>11754.77</v>
          </cell>
          <cell r="I243">
            <v>160101.64</v>
          </cell>
          <cell r="J243">
            <v>154937.07</v>
          </cell>
          <cell r="K243">
            <v>154937.07</v>
          </cell>
        </row>
        <row r="244">
          <cell r="A244" t="str">
            <v>CDG6 </v>
          </cell>
          <cell r="B244">
            <v>167</v>
          </cell>
          <cell r="C244" t="str">
            <v>Servizi socio assistenziali - Q. Navile                     </v>
          </cell>
          <cell r="D244">
            <v>5</v>
          </cell>
          <cell r="E244">
            <v>5934</v>
          </cell>
          <cell r="F244" t="str">
            <v>Q.RI CENTRI DIURNI                                          </v>
          </cell>
          <cell r="G244">
            <v>0</v>
          </cell>
          <cell r="H244">
            <v>14122.47</v>
          </cell>
          <cell r="I244">
            <v>328983.04</v>
          </cell>
          <cell r="J244">
            <v>328983.04</v>
          </cell>
          <cell r="K244">
            <v>328983.04</v>
          </cell>
        </row>
        <row r="245">
          <cell r="A245" t="str">
            <v>CDG6 </v>
          </cell>
          <cell r="B245">
            <v>177</v>
          </cell>
          <cell r="C245" t="str">
            <v>Servizi socio assistenziali - Q. Porto                      </v>
          </cell>
          <cell r="D245">
            <v>5</v>
          </cell>
          <cell r="E245">
            <v>5934</v>
          </cell>
          <cell r="F245" t="str">
            <v>Q.RI CENTRI DIURNI                                          </v>
          </cell>
          <cell r="G245">
            <v>0</v>
          </cell>
          <cell r="H245">
            <v>15924.09</v>
          </cell>
          <cell r="I245">
            <v>216911.9</v>
          </cell>
          <cell r="J245">
            <v>216911.9</v>
          </cell>
          <cell r="K245">
            <v>216911.9</v>
          </cell>
        </row>
        <row r="246">
          <cell r="A246" t="str">
            <v>CDG6 </v>
          </cell>
          <cell r="B246">
            <v>187</v>
          </cell>
          <cell r="C246" t="str">
            <v>Servi. socio assistenziali - Q. Reno                        </v>
          </cell>
          <cell r="D246">
            <v>5</v>
          </cell>
          <cell r="E246">
            <v>5934</v>
          </cell>
          <cell r="F246" t="str">
            <v>Q.RI CENTRI DIURNI                                          </v>
          </cell>
          <cell r="G246">
            <v>0</v>
          </cell>
          <cell r="H246">
            <v>12050.66</v>
          </cell>
          <cell r="I246">
            <v>144607.93</v>
          </cell>
          <cell r="J246">
            <v>144607.93</v>
          </cell>
          <cell r="K246">
            <v>144607.93</v>
          </cell>
        </row>
        <row r="247">
          <cell r="A247" t="str">
            <v>CDG6 </v>
          </cell>
          <cell r="B247">
            <v>197</v>
          </cell>
          <cell r="C247" t="str">
            <v>Servi. socio assistenz. - Q. San Donato                     </v>
          </cell>
          <cell r="D247">
            <v>5</v>
          </cell>
          <cell r="E247">
            <v>5934</v>
          </cell>
          <cell r="F247" t="str">
            <v>Q.RI CENTRI DIURNI                                          </v>
          </cell>
          <cell r="G247">
            <v>0</v>
          </cell>
          <cell r="H247">
            <v>0</v>
          </cell>
          <cell r="I247">
            <v>0</v>
          </cell>
          <cell r="J247">
            <v>154937.07</v>
          </cell>
          <cell r="K247">
            <v>154937.07</v>
          </cell>
        </row>
        <row r="248">
          <cell r="A248" t="str">
            <v>CDG6 </v>
          </cell>
          <cell r="B248">
            <v>207</v>
          </cell>
          <cell r="C248" t="str">
            <v>Servi. socio assistenz. - Q. S.Stefano                      </v>
          </cell>
          <cell r="D248">
            <v>5</v>
          </cell>
          <cell r="E248">
            <v>5934</v>
          </cell>
          <cell r="F248" t="str">
            <v>Q.RI CENTRI DIURNI                                          </v>
          </cell>
          <cell r="G248">
            <v>0</v>
          </cell>
          <cell r="H248">
            <v>11518.65</v>
          </cell>
          <cell r="I248">
            <v>139443.36</v>
          </cell>
          <cell r="J248">
            <v>139443.36</v>
          </cell>
          <cell r="K248">
            <v>139443.36</v>
          </cell>
        </row>
        <row r="249">
          <cell r="A249" t="str">
            <v>CDG6 </v>
          </cell>
          <cell r="B249">
            <v>217</v>
          </cell>
          <cell r="C249" t="str">
            <v>Servi. socio assistenz. - Q. San Vitale                     </v>
          </cell>
          <cell r="D249">
            <v>5</v>
          </cell>
          <cell r="E249">
            <v>5934</v>
          </cell>
          <cell r="F249" t="str">
            <v>Q.RI CENTRI DIURNI                                          </v>
          </cell>
          <cell r="G249">
            <v>0</v>
          </cell>
          <cell r="H249">
            <v>16872.11</v>
          </cell>
          <cell r="I249">
            <v>361519.83</v>
          </cell>
          <cell r="J249">
            <v>309874.14</v>
          </cell>
          <cell r="K249">
            <v>309874.14</v>
          </cell>
        </row>
        <row r="250">
          <cell r="A250" t="str">
            <v>CDG6 </v>
          </cell>
          <cell r="B250">
            <v>227</v>
          </cell>
          <cell r="C250" t="str">
            <v>Servi. socio assistenz. - Q. Saragozza                      </v>
          </cell>
          <cell r="D250">
            <v>5</v>
          </cell>
          <cell r="E250">
            <v>5934</v>
          </cell>
          <cell r="F250" t="str">
            <v>Q.RI CENTRI DIURNI                                          </v>
          </cell>
          <cell r="G250">
            <v>0</v>
          </cell>
          <cell r="H250">
            <v>8607.62</v>
          </cell>
          <cell r="I250">
            <v>113620.52</v>
          </cell>
          <cell r="J250">
            <v>113621</v>
          </cell>
          <cell r="K250">
            <v>113620.52</v>
          </cell>
        </row>
        <row r="251">
          <cell r="A251" t="str">
            <v>CDG6 </v>
          </cell>
          <cell r="B251">
            <v>237</v>
          </cell>
          <cell r="C251" t="str">
            <v>Servi. socio assistenziali - Q. Savena                      </v>
          </cell>
          <cell r="D251">
            <v>5</v>
          </cell>
          <cell r="E251">
            <v>5934</v>
          </cell>
          <cell r="F251" t="str">
            <v>Q.RI CENTRI DIURNI                                          </v>
          </cell>
          <cell r="G251">
            <v>0</v>
          </cell>
          <cell r="H251">
            <v>14675.98</v>
          </cell>
          <cell r="I251">
            <v>180759.91</v>
          </cell>
          <cell r="J251">
            <v>172884</v>
          </cell>
          <cell r="K251">
            <v>167848.49</v>
          </cell>
        </row>
        <row r="252">
          <cell r="A252" t="str">
            <v>CDG6 </v>
          </cell>
          <cell r="B252">
            <v>156</v>
          </cell>
          <cell r="C252" t="str">
            <v>Direz. aff. gen. e isti. - Q. Borgo                         </v>
          </cell>
          <cell r="D252">
            <v>5</v>
          </cell>
          <cell r="E252">
            <v>5935</v>
          </cell>
          <cell r="F252" t="str">
            <v>Q.RI SPESE DI FUNZIONAMENTO ECONOMALI                       </v>
          </cell>
          <cell r="G252">
            <v>0</v>
          </cell>
          <cell r="H252">
            <v>7052.91</v>
          </cell>
          <cell r="I252">
            <v>35119.07</v>
          </cell>
          <cell r="J252">
            <v>41316.55</v>
          </cell>
          <cell r="K252">
            <v>41316.55</v>
          </cell>
        </row>
        <row r="253">
          <cell r="A253" t="str">
            <v>CDG6 </v>
          </cell>
          <cell r="B253">
            <v>166</v>
          </cell>
          <cell r="C253" t="str">
            <v>Direz. aff. gen. e isti. - Q. Navile                        </v>
          </cell>
          <cell r="D253">
            <v>5</v>
          </cell>
          <cell r="E253">
            <v>5935</v>
          </cell>
          <cell r="F253" t="str">
            <v>Q.RI SPESE DI FUNZIONAMENTO ECONOMALI                       </v>
          </cell>
          <cell r="G253">
            <v>0</v>
          </cell>
          <cell r="H253">
            <v>10037.51</v>
          </cell>
          <cell r="I253">
            <v>72820.42</v>
          </cell>
          <cell r="J253">
            <v>72820.42</v>
          </cell>
          <cell r="K253">
            <v>72820.42</v>
          </cell>
        </row>
        <row r="254">
          <cell r="A254" t="str">
            <v>CDG6 </v>
          </cell>
          <cell r="B254">
            <v>176</v>
          </cell>
          <cell r="C254" t="str">
            <v>Direz. aff. gen. e isti. - Q. Porto                         </v>
          </cell>
          <cell r="D254">
            <v>5</v>
          </cell>
          <cell r="E254">
            <v>5935</v>
          </cell>
          <cell r="F254" t="str">
            <v>Q.RI SPESE DI FUNZIONAMENTO ECONOMALI                       </v>
          </cell>
          <cell r="G254">
            <v>0</v>
          </cell>
          <cell r="H254">
            <v>5181.48</v>
          </cell>
          <cell r="I254">
            <v>63995.21</v>
          </cell>
          <cell r="J254">
            <v>65435.09</v>
          </cell>
          <cell r="K254">
            <v>65435.09</v>
          </cell>
        </row>
        <row r="255">
          <cell r="A255" t="str">
            <v>CDG6 </v>
          </cell>
          <cell r="B255">
            <v>186</v>
          </cell>
          <cell r="C255" t="str">
            <v>Direz. aff. gen. e isti. - Q. Reno                          </v>
          </cell>
          <cell r="D255">
            <v>5</v>
          </cell>
          <cell r="E255">
            <v>5935</v>
          </cell>
          <cell r="F255" t="str">
            <v>Q.RI SPESE DI FUNZIONAMENTO ECONOMALI                       </v>
          </cell>
          <cell r="G255">
            <v>0</v>
          </cell>
          <cell r="H255">
            <v>3534.3</v>
          </cell>
          <cell r="I255">
            <v>36151.98</v>
          </cell>
          <cell r="J255">
            <v>41316.55</v>
          </cell>
          <cell r="K255">
            <v>41316.55</v>
          </cell>
        </row>
        <row r="256">
          <cell r="A256" t="str">
            <v>CDG6 </v>
          </cell>
          <cell r="B256">
            <v>196</v>
          </cell>
          <cell r="C256" t="str">
            <v>Direz. aff. gen. e isti. - Q. San Donato                    </v>
          </cell>
          <cell r="D256">
            <v>5</v>
          </cell>
          <cell r="E256">
            <v>5935</v>
          </cell>
          <cell r="F256" t="str">
            <v>Q.RI SPESE DI FUNZIONAMENTO ECONOMALI                       </v>
          </cell>
          <cell r="G256">
            <v>0</v>
          </cell>
          <cell r="H256">
            <v>5246.26</v>
          </cell>
          <cell r="I256">
            <v>59392.54</v>
          </cell>
          <cell r="J256">
            <v>58876.09</v>
          </cell>
          <cell r="K256">
            <v>53711.52</v>
          </cell>
        </row>
        <row r="257">
          <cell r="A257" t="str">
            <v>CDG6 </v>
          </cell>
          <cell r="B257">
            <v>206</v>
          </cell>
          <cell r="C257" t="str">
            <v>Direz. aff. gen. e isti. - Q. S.Stefano                     </v>
          </cell>
          <cell r="D257">
            <v>5</v>
          </cell>
          <cell r="E257">
            <v>5935</v>
          </cell>
          <cell r="F257" t="str">
            <v>Q.RI SPESE DI FUNZIONAMENTO ECONOMALI                       </v>
          </cell>
          <cell r="G257">
            <v>0</v>
          </cell>
          <cell r="H257">
            <v>5778.86</v>
          </cell>
          <cell r="I257">
            <v>85215.39</v>
          </cell>
          <cell r="J257">
            <v>64557.11</v>
          </cell>
          <cell r="K257">
            <v>64557.11</v>
          </cell>
        </row>
        <row r="258">
          <cell r="A258" t="str">
            <v>CDG6 </v>
          </cell>
          <cell r="B258">
            <v>216</v>
          </cell>
          <cell r="C258" t="str">
            <v>Direz. aff. gen. e isti. - Q. San Vitale                    </v>
          </cell>
          <cell r="D258">
            <v>5</v>
          </cell>
          <cell r="E258">
            <v>5935</v>
          </cell>
          <cell r="F258" t="str">
            <v>Q.RI SPESE DI FUNZIONAMENTO ECONOMALI                       </v>
          </cell>
          <cell r="G258">
            <v>0</v>
          </cell>
          <cell r="H258">
            <v>12526.79</v>
          </cell>
          <cell r="I258">
            <v>74886.25</v>
          </cell>
          <cell r="J258">
            <v>77468.53</v>
          </cell>
          <cell r="K258">
            <v>77468.53</v>
          </cell>
        </row>
        <row r="259">
          <cell r="A259" t="str">
            <v>CDG6 </v>
          </cell>
          <cell r="B259">
            <v>226</v>
          </cell>
          <cell r="C259" t="str">
            <v>Direz. aff. gen. e isti. - Q. Saragozza                     </v>
          </cell>
          <cell r="D259">
            <v>5</v>
          </cell>
          <cell r="E259">
            <v>5935</v>
          </cell>
          <cell r="F259" t="str">
            <v>Q.RI SPESE DI FUNZIONAMENTO ECONOMALI                       </v>
          </cell>
          <cell r="G259">
            <v>0</v>
          </cell>
          <cell r="H259">
            <v>6917.54</v>
          </cell>
          <cell r="I259">
            <v>80567.28</v>
          </cell>
          <cell r="J259">
            <v>80567</v>
          </cell>
          <cell r="K259">
            <v>80567.28</v>
          </cell>
        </row>
        <row r="260">
          <cell r="A260" t="str">
            <v>CDG6 </v>
          </cell>
          <cell r="B260">
            <v>236</v>
          </cell>
          <cell r="C260" t="str">
            <v>Direz. aff. gen. e isti. - Q. Savena                        </v>
          </cell>
          <cell r="D260">
            <v>5</v>
          </cell>
          <cell r="E260">
            <v>5935</v>
          </cell>
          <cell r="F260" t="str">
            <v>Q.RI SPESE DI FUNZIONAMENTO ECONOMALI                       </v>
          </cell>
          <cell r="G260">
            <v>0</v>
          </cell>
          <cell r="H260">
            <v>17244.16</v>
          </cell>
          <cell r="I260">
            <v>150288.96</v>
          </cell>
          <cell r="J260">
            <v>130714</v>
          </cell>
          <cell r="K260">
            <v>125034.22</v>
          </cell>
        </row>
        <row r="261">
          <cell r="A261" t="str">
            <v>CDG6 </v>
          </cell>
          <cell r="B261">
            <v>162</v>
          </cell>
          <cell r="C261" t="str">
            <v>Altri servizi educativi - Q. Borgo                          </v>
          </cell>
          <cell r="D261">
            <v>5</v>
          </cell>
          <cell r="E261">
            <v>6011</v>
          </cell>
          <cell r="F261" t="str">
            <v>Q.RI TRASPORTO                                              </v>
          </cell>
          <cell r="G261">
            <v>0</v>
          </cell>
          <cell r="H261">
            <v>10720.96</v>
          </cell>
          <cell r="I261">
            <v>142025.65</v>
          </cell>
          <cell r="J261">
            <v>145640.85</v>
          </cell>
          <cell r="K261">
            <v>145640.85</v>
          </cell>
        </row>
        <row r="262">
          <cell r="A262" t="str">
            <v>CDG6 </v>
          </cell>
          <cell r="B262">
            <v>172</v>
          </cell>
          <cell r="C262" t="str">
            <v>Altri serv. educativi - Q. Navile                           </v>
          </cell>
          <cell r="D262">
            <v>5</v>
          </cell>
          <cell r="E262">
            <v>6011</v>
          </cell>
          <cell r="F262" t="str">
            <v>Q.RI TRASPORTO                                              </v>
          </cell>
          <cell r="G262">
            <v>0</v>
          </cell>
          <cell r="H262">
            <v>26032.41</v>
          </cell>
          <cell r="I262">
            <v>225691.66</v>
          </cell>
          <cell r="J262">
            <v>232405.61</v>
          </cell>
          <cell r="K262">
            <v>232405.6</v>
          </cell>
        </row>
        <row r="263">
          <cell r="A263" t="str">
            <v>CDG6 </v>
          </cell>
          <cell r="B263">
            <v>182</v>
          </cell>
          <cell r="C263" t="str">
            <v>Altri serv. educativi - Q. Porto                            </v>
          </cell>
          <cell r="D263">
            <v>5</v>
          </cell>
          <cell r="E263">
            <v>6011</v>
          </cell>
          <cell r="F263" t="str">
            <v>Q.RI TRASPORTO                                              </v>
          </cell>
          <cell r="G263">
            <v>0</v>
          </cell>
          <cell r="H263">
            <v>882.28</v>
          </cell>
          <cell r="I263">
            <v>10329.14</v>
          </cell>
          <cell r="J263">
            <v>10329.14</v>
          </cell>
          <cell r="K263">
            <v>10329.14</v>
          </cell>
        </row>
        <row r="264">
          <cell r="A264" t="str">
            <v>CDG6 </v>
          </cell>
          <cell r="B264">
            <v>192</v>
          </cell>
          <cell r="C264" t="str">
            <v>Altri serv. educativi - Q. Reno                             </v>
          </cell>
          <cell r="D264">
            <v>5</v>
          </cell>
          <cell r="E264">
            <v>6011</v>
          </cell>
          <cell r="F264" t="str">
            <v>Q.RI TRASPORTO                                              </v>
          </cell>
          <cell r="G264">
            <v>0</v>
          </cell>
          <cell r="H264">
            <v>2433.37</v>
          </cell>
          <cell r="I264">
            <v>37184.9</v>
          </cell>
          <cell r="J264">
            <v>38217.81</v>
          </cell>
          <cell r="K264">
            <v>38217.81</v>
          </cell>
        </row>
        <row r="265">
          <cell r="A265" t="str">
            <v>CDG6 </v>
          </cell>
          <cell r="B265">
            <v>202</v>
          </cell>
          <cell r="C265" t="str">
            <v>Altri servizi educativi - Q. San Donato                     </v>
          </cell>
          <cell r="D265">
            <v>5</v>
          </cell>
          <cell r="E265">
            <v>6011</v>
          </cell>
          <cell r="F265" t="str">
            <v>Q.RI TRASPORTO                                              </v>
          </cell>
          <cell r="G265">
            <v>0</v>
          </cell>
          <cell r="H265">
            <v>12549.9</v>
          </cell>
          <cell r="I265">
            <v>139443.36</v>
          </cell>
          <cell r="J265">
            <v>139443.36</v>
          </cell>
          <cell r="K265">
            <v>139443.36</v>
          </cell>
        </row>
        <row r="266">
          <cell r="A266" t="str">
            <v>CDG6 </v>
          </cell>
          <cell r="B266">
            <v>212</v>
          </cell>
          <cell r="C266" t="str">
            <v>Altri serv. educativi - Q. Santo Stefano                    </v>
          </cell>
          <cell r="D266">
            <v>5</v>
          </cell>
          <cell r="E266">
            <v>6011</v>
          </cell>
          <cell r="F266" t="str">
            <v>Q.RI TRASPORTO                                              </v>
          </cell>
          <cell r="G266">
            <v>0</v>
          </cell>
          <cell r="H266">
            <v>9522.41</v>
          </cell>
          <cell r="I266">
            <v>121367.37</v>
          </cell>
          <cell r="J266">
            <v>123949.66</v>
          </cell>
          <cell r="K266">
            <v>123949.66</v>
          </cell>
        </row>
        <row r="267">
          <cell r="A267" t="str">
            <v>CDG6 </v>
          </cell>
          <cell r="B267">
            <v>222</v>
          </cell>
          <cell r="C267" t="str">
            <v>Altri serv. educativi - Q. San Vitale                       </v>
          </cell>
          <cell r="D267">
            <v>5</v>
          </cell>
          <cell r="E267">
            <v>6011</v>
          </cell>
          <cell r="F267" t="str">
            <v>Q.RI TRASPORTO                                              </v>
          </cell>
          <cell r="G267">
            <v>0</v>
          </cell>
          <cell r="H267">
            <v>6119.71</v>
          </cell>
          <cell r="I267">
            <v>54227.97</v>
          </cell>
          <cell r="J267">
            <v>79281.3</v>
          </cell>
          <cell r="K267">
            <v>79276.13</v>
          </cell>
        </row>
        <row r="268">
          <cell r="A268" t="str">
            <v>CDG6 </v>
          </cell>
          <cell r="B268">
            <v>232</v>
          </cell>
          <cell r="C268" t="str">
            <v>Altri serv. educativi - Q. Saragozza                        </v>
          </cell>
          <cell r="D268">
            <v>5</v>
          </cell>
          <cell r="E268">
            <v>6011</v>
          </cell>
          <cell r="F268" t="str">
            <v>Q.RI TRASPORTO                                              </v>
          </cell>
          <cell r="G268">
            <v>0</v>
          </cell>
          <cell r="H268">
            <v>25985.79</v>
          </cell>
          <cell r="I268">
            <v>309874.14</v>
          </cell>
          <cell r="J268">
            <v>309874</v>
          </cell>
          <cell r="K268">
            <v>309874.14</v>
          </cell>
        </row>
        <row r="269">
          <cell r="A269" t="str">
            <v>CDG6 </v>
          </cell>
          <cell r="B269">
            <v>242</v>
          </cell>
          <cell r="C269" t="str">
            <v>Altri serv. educativi - Q. Savena                           </v>
          </cell>
          <cell r="D269">
            <v>5</v>
          </cell>
          <cell r="E269">
            <v>6011</v>
          </cell>
          <cell r="F269" t="str">
            <v>Q.RI TRASPORTO                                              </v>
          </cell>
          <cell r="G269">
            <v>0</v>
          </cell>
          <cell r="H269">
            <v>6561.9</v>
          </cell>
          <cell r="I269">
            <v>110005.32</v>
          </cell>
          <cell r="J269">
            <v>98761</v>
          </cell>
          <cell r="K269">
            <v>104388.47</v>
          </cell>
        </row>
        <row r="270">
          <cell r="A270" t="str">
            <v>CDG6 </v>
          </cell>
          <cell r="B270">
            <v>162</v>
          </cell>
          <cell r="C270" t="str">
            <v>Altri servizi educativi - Q. Borgo                          </v>
          </cell>
          <cell r="D270">
            <v>5</v>
          </cell>
          <cell r="E270">
            <v>6012</v>
          </cell>
          <cell r="F270" t="str">
            <v>Q.RI SERV.ZI INTEGRATIVI E ASS. HANDICAP                    </v>
          </cell>
          <cell r="G270">
            <v>0</v>
          </cell>
          <cell r="H270">
            <v>5478.75</v>
          </cell>
          <cell r="I270">
            <v>74886.25</v>
          </cell>
          <cell r="J270">
            <v>74886.25</v>
          </cell>
          <cell r="K270">
            <v>74886.25</v>
          </cell>
        </row>
        <row r="271">
          <cell r="A271" t="str">
            <v>CDG6 </v>
          </cell>
          <cell r="B271">
            <v>172</v>
          </cell>
          <cell r="C271" t="str">
            <v>Altri serv. educativi - Q. Navile                           </v>
          </cell>
          <cell r="D271">
            <v>5</v>
          </cell>
          <cell r="E271">
            <v>6012</v>
          </cell>
          <cell r="F271" t="str">
            <v>Q.RI SERV.ZI INTEGRATIVI E ASS. HANDICAP                    </v>
          </cell>
          <cell r="G271">
            <v>0</v>
          </cell>
          <cell r="H271">
            <v>12787.93</v>
          </cell>
          <cell r="I271">
            <v>133762.34</v>
          </cell>
          <cell r="J271">
            <v>137893.99</v>
          </cell>
          <cell r="K271">
            <v>137893.99</v>
          </cell>
        </row>
        <row r="272">
          <cell r="A272" t="str">
            <v>CDG6 </v>
          </cell>
          <cell r="B272">
            <v>182</v>
          </cell>
          <cell r="C272" t="str">
            <v>Altri serv. educativi - Q. Porto                            </v>
          </cell>
          <cell r="D272">
            <v>5</v>
          </cell>
          <cell r="E272">
            <v>6012</v>
          </cell>
          <cell r="F272" t="str">
            <v>Q.RI SERV.ZI INTEGRATIVI E ASS. HANDICAP                    </v>
          </cell>
          <cell r="G272">
            <v>0</v>
          </cell>
          <cell r="H272">
            <v>4519</v>
          </cell>
          <cell r="I272">
            <v>41316.55</v>
          </cell>
          <cell r="J272">
            <v>56810.26</v>
          </cell>
          <cell r="K272">
            <v>56810.26</v>
          </cell>
        </row>
        <row r="273">
          <cell r="A273" t="str">
            <v>CDG6 </v>
          </cell>
          <cell r="B273">
            <v>192</v>
          </cell>
          <cell r="C273" t="str">
            <v>Altri serv. educativi - Q. Reno                             </v>
          </cell>
          <cell r="D273">
            <v>5</v>
          </cell>
          <cell r="E273">
            <v>6012</v>
          </cell>
          <cell r="F273" t="str">
            <v>Q.RI SERV.ZI INTEGRATIVI E ASS. HANDICAP                    </v>
          </cell>
          <cell r="G273">
            <v>0</v>
          </cell>
          <cell r="H273">
            <v>5853.18</v>
          </cell>
          <cell r="I273">
            <v>61974.83</v>
          </cell>
          <cell r="J273">
            <v>63524.2</v>
          </cell>
          <cell r="K273">
            <v>61974.83</v>
          </cell>
        </row>
        <row r="274">
          <cell r="A274" t="str">
            <v>CDG6 </v>
          </cell>
          <cell r="B274">
            <v>202</v>
          </cell>
          <cell r="C274" t="str">
            <v>Altri servizi educativi - Q. San Donato                     </v>
          </cell>
          <cell r="D274">
            <v>5</v>
          </cell>
          <cell r="E274">
            <v>6012</v>
          </cell>
          <cell r="F274" t="str">
            <v>Q.RI SERV.ZI INTEGRATIVI E ASS. HANDICAP                    </v>
          </cell>
          <cell r="G274">
            <v>0</v>
          </cell>
          <cell r="H274">
            <v>6756.98</v>
          </cell>
          <cell r="I274">
            <v>91412.87</v>
          </cell>
          <cell r="J274">
            <v>80050.82</v>
          </cell>
          <cell r="K274">
            <v>80050.82</v>
          </cell>
        </row>
        <row r="275">
          <cell r="A275" t="str">
            <v>CDG6 </v>
          </cell>
          <cell r="B275">
            <v>212</v>
          </cell>
          <cell r="C275" t="str">
            <v>Altri serv. educativi - Q. Santo Stefano                    </v>
          </cell>
          <cell r="D275">
            <v>5</v>
          </cell>
          <cell r="E275">
            <v>6012</v>
          </cell>
          <cell r="F275" t="str">
            <v>Q.RI SERV.ZI INTEGRATIVI E ASS. HANDICAP                    </v>
          </cell>
          <cell r="G275">
            <v>0</v>
          </cell>
          <cell r="H275">
            <v>7681.85</v>
          </cell>
          <cell r="I275">
            <v>97610.35</v>
          </cell>
          <cell r="J275">
            <v>100709.1</v>
          </cell>
          <cell r="K275">
            <v>100709.1</v>
          </cell>
        </row>
        <row r="276">
          <cell r="A276" t="str">
            <v>CDG6 </v>
          </cell>
          <cell r="B276">
            <v>222</v>
          </cell>
          <cell r="C276" t="str">
            <v>Altri serv. educativi - Q. San Vitale                       </v>
          </cell>
          <cell r="D276">
            <v>5</v>
          </cell>
          <cell r="E276">
            <v>6012</v>
          </cell>
          <cell r="F276" t="str">
            <v>Q.RI SERV.ZI INTEGRATIVI E ASS. HANDICAP                    </v>
          </cell>
          <cell r="G276">
            <v>0</v>
          </cell>
          <cell r="H276">
            <v>9898.76</v>
          </cell>
          <cell r="I276">
            <v>105873.66</v>
          </cell>
          <cell r="J276">
            <v>92006.8</v>
          </cell>
          <cell r="K276">
            <v>91929.33</v>
          </cell>
        </row>
        <row r="277">
          <cell r="A277" t="str">
            <v>CDG6 </v>
          </cell>
          <cell r="B277">
            <v>232</v>
          </cell>
          <cell r="C277" t="str">
            <v>Altri serv. educativi - Q. Saragozza                        </v>
          </cell>
          <cell r="D277">
            <v>5</v>
          </cell>
          <cell r="E277">
            <v>6012</v>
          </cell>
          <cell r="F277" t="str">
            <v>Q.RI SERV.ZI INTEGRATIVI E ASS. HANDICAP                    </v>
          </cell>
          <cell r="G277">
            <v>0</v>
          </cell>
          <cell r="H277">
            <v>11168.29</v>
          </cell>
          <cell r="I277">
            <v>129114.22</v>
          </cell>
          <cell r="J277">
            <v>129114</v>
          </cell>
          <cell r="K277">
            <v>129114.22</v>
          </cell>
        </row>
        <row r="278">
          <cell r="A278" t="str">
            <v>CDG6 </v>
          </cell>
          <cell r="B278">
            <v>242</v>
          </cell>
          <cell r="C278" t="str">
            <v>Altri serv. educativi - Q. Savena                           </v>
          </cell>
          <cell r="D278">
            <v>5</v>
          </cell>
          <cell r="E278">
            <v>6012</v>
          </cell>
          <cell r="F278" t="str">
            <v>Q.RI SERV.ZI INTEGRATIVI E ASS. HANDICAP                    </v>
          </cell>
          <cell r="G278">
            <v>0</v>
          </cell>
          <cell r="H278">
            <v>10122.88</v>
          </cell>
          <cell r="I278">
            <v>133245.88</v>
          </cell>
          <cell r="J278">
            <v>138018</v>
          </cell>
          <cell r="K278">
            <v>138017.94</v>
          </cell>
        </row>
        <row r="279">
          <cell r="A279" t="str">
            <v>CDG6 </v>
          </cell>
          <cell r="B279">
            <v>45</v>
          </cell>
          <cell r="C279" t="str">
            <v>Direzione, amm., CDG, qualità/altro LLPP                    </v>
          </cell>
          <cell r="D279">
            <v>5</v>
          </cell>
          <cell r="E279">
            <v>6205</v>
          </cell>
          <cell r="F279" t="str">
            <v>SPESE IN C/CAPITALE CONTRO ENTRATE ORD.                     </v>
          </cell>
          <cell r="G279">
            <v>0</v>
          </cell>
          <cell r="H279">
            <v>7746.85</v>
          </cell>
          <cell r="I279">
            <v>0</v>
          </cell>
          <cell r="J279">
            <v>154937.07</v>
          </cell>
          <cell r="K279">
            <v>154937.07</v>
          </cell>
        </row>
        <row r="280">
          <cell r="A280" t="str">
            <v>CDG6 </v>
          </cell>
          <cell r="B280">
            <v>146</v>
          </cell>
          <cell r="C280" t="str">
            <v>Coordinamento organizzazione decentrata                     </v>
          </cell>
          <cell r="D280">
            <v>5</v>
          </cell>
          <cell r="E280">
            <v>6205</v>
          </cell>
          <cell r="F280" t="str">
            <v>SPESE IN C/CAPITALE CONTRO ENTRATE ORD.                     </v>
          </cell>
          <cell r="G280">
            <v>0</v>
          </cell>
          <cell r="H280">
            <v>430.38</v>
          </cell>
          <cell r="I280">
            <v>5164.57</v>
          </cell>
          <cell r="J280">
            <v>5164.57</v>
          </cell>
          <cell r="K280">
            <v>5164.57</v>
          </cell>
        </row>
        <row r="281">
          <cell r="A281" t="str">
            <v>CDG6 </v>
          </cell>
          <cell r="B281">
            <v>156</v>
          </cell>
          <cell r="C281" t="str">
            <v>Direz. aff. gen. e isti. - Q. Borgo                         </v>
          </cell>
          <cell r="D281">
            <v>5</v>
          </cell>
          <cell r="E281">
            <v>6205</v>
          </cell>
          <cell r="F281" t="str">
            <v>SPESE IN C/CAPITALE CONTRO ENTRATE ORD.                     </v>
          </cell>
          <cell r="G281">
            <v>0</v>
          </cell>
          <cell r="H281">
            <v>1936.71</v>
          </cell>
          <cell r="I281">
            <v>15493.71</v>
          </cell>
          <cell r="J281">
            <v>25822.84</v>
          </cell>
          <cell r="K281">
            <v>25822.84</v>
          </cell>
        </row>
        <row r="282">
          <cell r="A282" t="str">
            <v>CDG6 </v>
          </cell>
          <cell r="B282">
            <v>166</v>
          </cell>
          <cell r="C282" t="str">
            <v>Direz. aff. gen. e isti. - Q. Navile                        </v>
          </cell>
          <cell r="D282">
            <v>5</v>
          </cell>
          <cell r="E282">
            <v>6205</v>
          </cell>
          <cell r="F282" t="str">
            <v>SPESE IN C/CAPITALE CONTRO ENTRATE ORD.                     </v>
          </cell>
          <cell r="G282">
            <v>0</v>
          </cell>
          <cell r="H282">
            <v>4071.4</v>
          </cell>
          <cell r="I282">
            <v>19625.36</v>
          </cell>
          <cell r="J282">
            <v>19625.36</v>
          </cell>
          <cell r="K282">
            <v>19625.36</v>
          </cell>
        </row>
        <row r="283">
          <cell r="A283" t="str">
            <v>CDG6 </v>
          </cell>
          <cell r="B283">
            <v>176</v>
          </cell>
          <cell r="C283" t="str">
            <v>Direz. aff. gen. e isti. - Q. Porto                         </v>
          </cell>
          <cell r="D283">
            <v>5</v>
          </cell>
          <cell r="E283">
            <v>6205</v>
          </cell>
          <cell r="F283" t="str">
            <v>SPESE IN C/CAPITALE CONTRO ENTRATE ORD.                     </v>
          </cell>
          <cell r="G283">
            <v>0</v>
          </cell>
          <cell r="H283">
            <v>4325.33</v>
          </cell>
          <cell r="I283">
            <v>25822.84</v>
          </cell>
          <cell r="J283">
            <v>25822.85</v>
          </cell>
          <cell r="K283">
            <v>25822.84</v>
          </cell>
        </row>
        <row r="284">
          <cell r="A284" t="str">
            <v>CDG6 </v>
          </cell>
          <cell r="B284">
            <v>186</v>
          </cell>
          <cell r="C284" t="str">
            <v>Direz. aff. gen. e isti. - Q. Reno                          </v>
          </cell>
          <cell r="D284">
            <v>5</v>
          </cell>
          <cell r="E284">
            <v>6205</v>
          </cell>
          <cell r="F284" t="str">
            <v>SPESE IN C/CAPITALE CONTRO ENTRATE ORD.                     </v>
          </cell>
          <cell r="G284">
            <v>0</v>
          </cell>
          <cell r="H284">
            <v>430.38</v>
          </cell>
          <cell r="I284">
            <v>6197.48</v>
          </cell>
          <cell r="J284">
            <v>6197.48</v>
          </cell>
          <cell r="K284">
            <v>6197.48</v>
          </cell>
        </row>
        <row r="285">
          <cell r="A285" t="str">
            <v>CDG6 </v>
          </cell>
          <cell r="B285">
            <v>196</v>
          </cell>
          <cell r="C285" t="str">
            <v>Direz. aff. gen. e isti. - Q. San Donato                    </v>
          </cell>
          <cell r="D285">
            <v>5</v>
          </cell>
          <cell r="E285">
            <v>6205</v>
          </cell>
          <cell r="F285" t="str">
            <v>SPESE IN C/CAPITALE CONTRO ENTRATE ORD.                     </v>
          </cell>
          <cell r="G285">
            <v>0</v>
          </cell>
          <cell r="H285">
            <v>0</v>
          </cell>
          <cell r="I285">
            <v>0</v>
          </cell>
          <cell r="J285">
            <v>5164.57</v>
          </cell>
          <cell r="K285">
            <v>5164.57</v>
          </cell>
        </row>
        <row r="286">
          <cell r="A286" t="str">
            <v>CDG6 </v>
          </cell>
          <cell r="B286">
            <v>206</v>
          </cell>
          <cell r="C286" t="str">
            <v>Direz. aff. gen. e isti. - Q. S.Stefano                     </v>
          </cell>
          <cell r="D286">
            <v>5</v>
          </cell>
          <cell r="E286">
            <v>6205</v>
          </cell>
          <cell r="F286" t="str">
            <v>SPESE IN C/CAPITALE CONTRO ENTRATE ORD.                     </v>
          </cell>
          <cell r="G286">
            <v>0</v>
          </cell>
          <cell r="H286">
            <v>1650.01</v>
          </cell>
          <cell r="I286">
            <v>0</v>
          </cell>
          <cell r="J286">
            <v>30987.41</v>
          </cell>
          <cell r="K286">
            <v>30987.41</v>
          </cell>
        </row>
        <row r="287">
          <cell r="A287" t="str">
            <v>CDG6 </v>
          </cell>
          <cell r="B287">
            <v>216</v>
          </cell>
          <cell r="C287" t="str">
            <v>Direz. aff. gen. e isti. - Q. San Vitale                    </v>
          </cell>
          <cell r="D287">
            <v>5</v>
          </cell>
          <cell r="E287">
            <v>6205</v>
          </cell>
          <cell r="F287" t="str">
            <v>SPESE IN C/CAPITALE CONTRO ENTRATE ORD.                     </v>
          </cell>
          <cell r="G287">
            <v>0</v>
          </cell>
          <cell r="H287">
            <v>4949.38</v>
          </cell>
          <cell r="I287">
            <v>0</v>
          </cell>
          <cell r="J287">
            <v>18075.99</v>
          </cell>
          <cell r="K287">
            <v>18075.99</v>
          </cell>
        </row>
        <row r="288">
          <cell r="A288" t="str">
            <v>CDG6 </v>
          </cell>
          <cell r="B288">
            <v>226</v>
          </cell>
          <cell r="C288" t="str">
            <v>Direz. aff. gen. e isti. - Q. Saragozza                     </v>
          </cell>
          <cell r="D288">
            <v>5</v>
          </cell>
          <cell r="E288">
            <v>6205</v>
          </cell>
          <cell r="F288" t="str">
            <v>SPESE IN C/CAPITALE CONTRO ENTRATE ORD.                     </v>
          </cell>
          <cell r="G288">
            <v>0</v>
          </cell>
          <cell r="H288">
            <v>2684.71</v>
          </cell>
          <cell r="I288">
            <v>0</v>
          </cell>
          <cell r="J288">
            <v>20658</v>
          </cell>
          <cell r="K288">
            <v>20658.28</v>
          </cell>
        </row>
        <row r="289">
          <cell r="A289" t="str">
            <v>CDG6 </v>
          </cell>
          <cell r="B289">
            <v>236</v>
          </cell>
          <cell r="C289" t="str">
            <v>Direz. aff. gen. e isti. - Q. Savena                        </v>
          </cell>
          <cell r="D289">
            <v>5</v>
          </cell>
          <cell r="E289">
            <v>6205</v>
          </cell>
          <cell r="F289" t="str">
            <v>SPESE IN C/CAPITALE CONTRO ENTRATE ORD.                     </v>
          </cell>
          <cell r="G289">
            <v>0</v>
          </cell>
          <cell r="H289">
            <v>3614.12</v>
          </cell>
          <cell r="I289">
            <v>0</v>
          </cell>
          <cell r="J289">
            <v>51646</v>
          </cell>
          <cell r="K289">
            <v>51645.69</v>
          </cell>
        </row>
        <row r="290">
          <cell r="A290" t="str">
            <v>CDG6 </v>
          </cell>
          <cell r="B290">
            <v>5</v>
          </cell>
          <cell r="C290" t="str">
            <v>Staff del Consiglio                                         </v>
          </cell>
          <cell r="D290">
            <v>5</v>
          </cell>
          <cell r="E290">
            <v>6205</v>
          </cell>
          <cell r="F290" t="str">
            <v>SPESE IN C/CAPITALE CONTRO ENTRATE ORD.                     </v>
          </cell>
          <cell r="G290">
            <v>0</v>
          </cell>
          <cell r="H290">
            <v>5810.14</v>
          </cell>
          <cell r="I290">
            <v>0</v>
          </cell>
          <cell r="J290">
            <v>98126.81</v>
          </cell>
          <cell r="K290">
            <v>98126.81</v>
          </cell>
        </row>
        <row r="291">
          <cell r="A291" t="str">
            <v>CDG6 </v>
          </cell>
          <cell r="B291">
            <v>28</v>
          </cell>
          <cell r="C291" t="str">
            <v>Direzione, amm.ne/altro - Gabinetto                         </v>
          </cell>
          <cell r="D291">
            <v>5</v>
          </cell>
          <cell r="E291">
            <v>6205</v>
          </cell>
          <cell r="F291" t="str">
            <v>SPESE IN C/CAPITALE CONTRO ENTRATE ORD.                     </v>
          </cell>
          <cell r="G291">
            <v>0</v>
          </cell>
          <cell r="H291">
            <v>860.76</v>
          </cell>
          <cell r="I291">
            <v>15493.71</v>
          </cell>
          <cell r="J291">
            <v>20658.28</v>
          </cell>
          <cell r="K291">
            <v>20658.28</v>
          </cell>
        </row>
        <row r="292">
          <cell r="A292" t="str">
            <v>CDG6 </v>
          </cell>
          <cell r="B292">
            <v>247</v>
          </cell>
          <cell r="C292" t="str">
            <v>Direzione, amm.,CDG/altro-inf.cittadino                     </v>
          </cell>
          <cell r="D292">
            <v>5</v>
          </cell>
          <cell r="E292">
            <v>6205</v>
          </cell>
          <cell r="F292" t="str">
            <v>SPESE IN C/CAPITALE CONTRO ENTRATE ORD.                     </v>
          </cell>
          <cell r="G292">
            <v>0</v>
          </cell>
          <cell r="H292">
            <v>2237.98</v>
          </cell>
          <cell r="I292">
            <v>0</v>
          </cell>
          <cell r="J292">
            <v>77468.53</v>
          </cell>
          <cell r="K292">
            <v>61974.83</v>
          </cell>
        </row>
        <row r="293">
          <cell r="A293" t="str">
            <v>CDG6 </v>
          </cell>
          <cell r="B293">
            <v>248</v>
          </cell>
          <cell r="C293" t="str">
            <v>U.R.P.                                                      </v>
          </cell>
          <cell r="D293">
            <v>5</v>
          </cell>
          <cell r="E293">
            <v>6205</v>
          </cell>
          <cell r="F293" t="str">
            <v>SPESE IN C/CAPITALE CONTRO ENTRATE ORD.                     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CDG6 </v>
          </cell>
          <cell r="B294">
            <v>61</v>
          </cell>
          <cell r="C294" t="str">
            <v>Direzione, amm., CDG/altro - Pers.e org.                    </v>
          </cell>
          <cell r="D294">
            <v>5</v>
          </cell>
          <cell r="E294">
            <v>6205</v>
          </cell>
          <cell r="F294" t="str">
            <v>SPESE IN C/CAPITALE CONTRO ENTRATE ORD.                     </v>
          </cell>
          <cell r="G294">
            <v>0</v>
          </cell>
          <cell r="H294">
            <v>2582.28</v>
          </cell>
          <cell r="I294">
            <v>3356.97</v>
          </cell>
          <cell r="J294">
            <v>46481.12</v>
          </cell>
          <cell r="K294">
            <v>20658.28</v>
          </cell>
        </row>
        <row r="295">
          <cell r="A295" t="str">
            <v>CDG6 </v>
          </cell>
          <cell r="B295">
            <v>64</v>
          </cell>
          <cell r="C295" t="str">
            <v>Formazione e sviluppo -C.U.F.                               </v>
          </cell>
          <cell r="D295">
            <v>5</v>
          </cell>
          <cell r="E295">
            <v>6205</v>
          </cell>
          <cell r="F295" t="str">
            <v>SPESE IN C/CAPITALE CONTRO ENTRATE ORD.                     </v>
          </cell>
          <cell r="G295">
            <v>0</v>
          </cell>
          <cell r="H295">
            <v>860.76</v>
          </cell>
          <cell r="I295">
            <v>0</v>
          </cell>
          <cell r="J295">
            <v>10329.14</v>
          </cell>
          <cell r="K295">
            <v>25822.84</v>
          </cell>
        </row>
        <row r="296">
          <cell r="A296" t="str">
            <v>CDG6 </v>
          </cell>
          <cell r="B296">
            <v>62</v>
          </cell>
          <cell r="C296" t="str">
            <v>Personale e organizzazione non gestiti                      </v>
          </cell>
          <cell r="D296">
            <v>5</v>
          </cell>
          <cell r="E296">
            <v>6205</v>
          </cell>
          <cell r="F296" t="str">
            <v>SPESE IN C/CAPITALE CONTRO ENTRATE ORD.                     </v>
          </cell>
          <cell r="G296">
            <v>0</v>
          </cell>
          <cell r="H296">
            <v>258.23</v>
          </cell>
          <cell r="I296">
            <v>2582.28</v>
          </cell>
          <cell r="J296">
            <v>2582.28</v>
          </cell>
          <cell r="K296">
            <v>2582.28</v>
          </cell>
        </row>
        <row r="297">
          <cell r="A297" t="str">
            <v>CDG6 </v>
          </cell>
          <cell r="B297">
            <v>33</v>
          </cell>
          <cell r="C297" t="str">
            <v>Direzione, amm./altro - Aff. gen. e ist.                    </v>
          </cell>
          <cell r="D297">
            <v>5</v>
          </cell>
          <cell r="E297">
            <v>6205</v>
          </cell>
          <cell r="F297" t="str">
            <v>SPESE IN C/CAPITALE CONTRO ENTRATE ORD.                     </v>
          </cell>
          <cell r="G297">
            <v>0</v>
          </cell>
          <cell r="H297">
            <v>3830.39</v>
          </cell>
          <cell r="I297">
            <v>0</v>
          </cell>
          <cell r="J297">
            <v>72303.97</v>
          </cell>
          <cell r="K297">
            <v>54227.97</v>
          </cell>
        </row>
        <row r="298">
          <cell r="A298" t="str">
            <v>CDG6 </v>
          </cell>
          <cell r="B298">
            <v>252</v>
          </cell>
          <cell r="C298" t="str">
            <v>Segreteria generale                                         </v>
          </cell>
          <cell r="D298">
            <v>5</v>
          </cell>
          <cell r="E298">
            <v>6205</v>
          </cell>
          <cell r="F298" t="str">
            <v>SPESE IN C/CAPITALE CONTRO ENTRATE ORD.                     </v>
          </cell>
          <cell r="G298">
            <v>0</v>
          </cell>
          <cell r="H298">
            <v>0</v>
          </cell>
          <cell r="I298">
            <v>0</v>
          </cell>
          <cell r="J298">
            <v>27888.67</v>
          </cell>
          <cell r="K298">
            <v>21174.73</v>
          </cell>
        </row>
        <row r="299">
          <cell r="A299" t="str">
            <v>CDG6 </v>
          </cell>
          <cell r="B299">
            <v>2</v>
          </cell>
          <cell r="C299" t="str">
            <v>Direzione Generale                                          </v>
          </cell>
          <cell r="D299">
            <v>5</v>
          </cell>
          <cell r="E299">
            <v>6205</v>
          </cell>
          <cell r="F299" t="str">
            <v>SPESE IN C/CAPITALE CONTRO ENTRATE ORD.                     </v>
          </cell>
          <cell r="G299">
            <v>0</v>
          </cell>
          <cell r="H299">
            <v>0</v>
          </cell>
          <cell r="I299">
            <v>0</v>
          </cell>
          <cell r="J299">
            <v>3098.74</v>
          </cell>
          <cell r="K299">
            <v>3098.74</v>
          </cell>
        </row>
        <row r="300">
          <cell r="A300" t="str">
            <v>CDG6 </v>
          </cell>
          <cell r="B300">
            <v>11</v>
          </cell>
          <cell r="C300" t="str">
            <v>Ragioneria                                                  </v>
          </cell>
          <cell r="D300">
            <v>5</v>
          </cell>
          <cell r="E300">
            <v>6205</v>
          </cell>
          <cell r="F300" t="str">
            <v>SPESE IN C/CAPITALE CONTRO ENTRATE ORD.                     </v>
          </cell>
          <cell r="G300">
            <v>0</v>
          </cell>
          <cell r="H300">
            <v>0</v>
          </cell>
          <cell r="I300">
            <v>0</v>
          </cell>
          <cell r="J300">
            <v>41316.56</v>
          </cell>
          <cell r="K300">
            <v>20658.28</v>
          </cell>
        </row>
        <row r="301">
          <cell r="A301" t="str">
            <v>CDG6 </v>
          </cell>
          <cell r="B301">
            <v>39</v>
          </cell>
          <cell r="C301" t="str">
            <v>Direzione, amm., CDG/altro - Acquisti                       </v>
          </cell>
          <cell r="D301">
            <v>5</v>
          </cell>
          <cell r="E301">
            <v>6205</v>
          </cell>
          <cell r="F301" t="str">
            <v>SPESE IN C/CAPITALE CONTRO ENTRATE ORD.                     </v>
          </cell>
          <cell r="G301">
            <v>0</v>
          </cell>
          <cell r="H301">
            <v>0</v>
          </cell>
          <cell r="I301">
            <v>0</v>
          </cell>
          <cell r="J301">
            <v>25800</v>
          </cell>
          <cell r="K301">
            <v>25822.84</v>
          </cell>
        </row>
        <row r="302">
          <cell r="A302" t="str">
            <v>CDG6 </v>
          </cell>
          <cell r="B302">
            <v>43</v>
          </cell>
          <cell r="C302" t="str">
            <v>Coordinamento entrate                                       </v>
          </cell>
          <cell r="D302">
            <v>5</v>
          </cell>
          <cell r="E302">
            <v>6205</v>
          </cell>
          <cell r="F302" t="str">
            <v>SPESE IN C/CAPITALE CONTRO ENTRATE ORD.                     </v>
          </cell>
          <cell r="G302">
            <v>0</v>
          </cell>
          <cell r="H302">
            <v>0</v>
          </cell>
          <cell r="I302">
            <v>5164.57</v>
          </cell>
          <cell r="J302">
            <v>0</v>
          </cell>
          <cell r="K302">
            <v>0</v>
          </cell>
        </row>
        <row r="303">
          <cell r="A303" t="str">
            <v>CDG6 </v>
          </cell>
          <cell r="B303">
            <v>48</v>
          </cell>
          <cell r="C303" t="str">
            <v>Edilizia pubblica                                           </v>
          </cell>
          <cell r="D303">
            <v>5</v>
          </cell>
          <cell r="E303">
            <v>6205</v>
          </cell>
          <cell r="F303" t="str">
            <v>SPESE IN C/CAPITALE CONTRO ENTRATE ORD.                     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CDG6 </v>
          </cell>
          <cell r="B304">
            <v>58</v>
          </cell>
          <cell r="C304" t="str">
            <v>Manutenzione edilizia e servizio calore                     </v>
          </cell>
          <cell r="D304">
            <v>5</v>
          </cell>
          <cell r="E304">
            <v>6205</v>
          </cell>
          <cell r="F304" t="str">
            <v>SPESE IN C/CAPITALE CONTRO ENTRATE ORD.                     </v>
          </cell>
          <cell r="G304">
            <v>0</v>
          </cell>
          <cell r="H304">
            <v>0</v>
          </cell>
          <cell r="I304">
            <v>2220764.67</v>
          </cell>
          <cell r="J304">
            <v>0</v>
          </cell>
          <cell r="K304">
            <v>0</v>
          </cell>
        </row>
        <row r="305">
          <cell r="A305" t="str">
            <v>CDG6 </v>
          </cell>
          <cell r="B305">
            <v>44</v>
          </cell>
          <cell r="C305" t="str">
            <v>Patrimonio                                                  </v>
          </cell>
          <cell r="D305">
            <v>5</v>
          </cell>
          <cell r="E305">
            <v>6205</v>
          </cell>
          <cell r="F305" t="str">
            <v>SPESE IN C/CAPITALE CONTRO ENTRATE ORD.                     </v>
          </cell>
          <cell r="G305">
            <v>0</v>
          </cell>
          <cell r="H305">
            <v>0</v>
          </cell>
          <cell r="I305">
            <v>5164.57</v>
          </cell>
          <cell r="J305">
            <v>7746.85</v>
          </cell>
          <cell r="K305">
            <v>7746.85</v>
          </cell>
        </row>
        <row r="306">
          <cell r="A306" t="str">
            <v>CDG6 </v>
          </cell>
          <cell r="B306">
            <v>140</v>
          </cell>
          <cell r="C306" t="str">
            <v>Direzione, amm.,CDG/altro - demografici                     </v>
          </cell>
          <cell r="D306">
            <v>5</v>
          </cell>
          <cell r="E306">
            <v>6205</v>
          </cell>
          <cell r="F306" t="str">
            <v>SPESE IN C/CAPITALE CONTRO ENTRATE ORD.                     </v>
          </cell>
          <cell r="G306">
            <v>0</v>
          </cell>
          <cell r="H306">
            <v>2065.83</v>
          </cell>
          <cell r="I306">
            <v>0</v>
          </cell>
          <cell r="J306">
            <v>167848.49</v>
          </cell>
          <cell r="K306">
            <v>51645.69</v>
          </cell>
        </row>
        <row r="307">
          <cell r="A307" t="str">
            <v>CDG6 </v>
          </cell>
          <cell r="B307">
            <v>66</v>
          </cell>
          <cell r="C307" t="str">
            <v>Direzione, amm./altro - Pianif. e contr.                    </v>
          </cell>
          <cell r="D307">
            <v>5</v>
          </cell>
          <cell r="E307">
            <v>6205</v>
          </cell>
          <cell r="F307" t="str">
            <v>SPESE IN C/CAPITALE CONTRO ENTRATE ORD.                     </v>
          </cell>
          <cell r="G307">
            <v>0</v>
          </cell>
          <cell r="H307">
            <v>774.69</v>
          </cell>
          <cell r="I307">
            <v>10329.14</v>
          </cell>
          <cell r="J307">
            <v>7746.85</v>
          </cell>
          <cell r="K307">
            <v>7746.85</v>
          </cell>
        </row>
        <row r="308">
          <cell r="A308" t="str">
            <v>CDG6 </v>
          </cell>
          <cell r="B308">
            <v>70</v>
          </cell>
          <cell r="C308" t="str">
            <v>Operazioni e qualità                                        </v>
          </cell>
          <cell r="D308">
            <v>5</v>
          </cell>
          <cell r="E308">
            <v>6205</v>
          </cell>
          <cell r="F308" t="str">
            <v>SPESE IN C/CAPITALE CONTRO ENTRATE ORD.                     </v>
          </cell>
          <cell r="G308">
            <v>0</v>
          </cell>
          <cell r="H308">
            <v>23240.56</v>
          </cell>
          <cell r="I308">
            <v>0</v>
          </cell>
          <cell r="J308">
            <v>1032913.8</v>
          </cell>
          <cell r="K308">
            <v>258228.45</v>
          </cell>
        </row>
        <row r="309">
          <cell r="A309" t="str">
            <v>CDG6 </v>
          </cell>
          <cell r="B309">
            <v>71</v>
          </cell>
          <cell r="C309" t="str">
            <v>Progettazione e sviluppo                                    </v>
          </cell>
          <cell r="D309">
            <v>5</v>
          </cell>
          <cell r="E309">
            <v>6205</v>
          </cell>
          <cell r="F309" t="str">
            <v>SPESE IN C/CAPITALE CONTRO ENTRATE ORD.                     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CDG6 </v>
          </cell>
          <cell r="B310">
            <v>8</v>
          </cell>
          <cell r="C310" t="str">
            <v>Qualita'                                                    </v>
          </cell>
          <cell r="D310">
            <v>5</v>
          </cell>
          <cell r="E310">
            <v>6205</v>
          </cell>
          <cell r="F310" t="str">
            <v>SPESE IN C/CAPITALE CONTRO ENTRATE ORD.                     </v>
          </cell>
          <cell r="G310">
            <v>0</v>
          </cell>
          <cell r="H310">
            <v>430.38</v>
          </cell>
          <cell r="I310">
            <v>3615.2</v>
          </cell>
          <cell r="J310">
            <v>3615.2</v>
          </cell>
          <cell r="K310">
            <v>3615.2</v>
          </cell>
        </row>
        <row r="311">
          <cell r="A311" t="str">
            <v>CDG6 </v>
          </cell>
          <cell r="B311">
            <v>9</v>
          </cell>
          <cell r="C311" t="str">
            <v>Legale                                                      </v>
          </cell>
          <cell r="D311">
            <v>5</v>
          </cell>
          <cell r="E311">
            <v>6205</v>
          </cell>
          <cell r="F311" t="str">
            <v>SPESE IN C/CAPITALE CONTRO ENTRATE ORD.                     </v>
          </cell>
          <cell r="G311">
            <v>0</v>
          </cell>
          <cell r="H311">
            <v>215.19</v>
          </cell>
          <cell r="I311">
            <v>2582.28</v>
          </cell>
          <cell r="J311">
            <v>2582.28</v>
          </cell>
          <cell r="K311">
            <v>2582.28</v>
          </cell>
        </row>
        <row r="312">
          <cell r="A312" t="str">
            <v>CDG6 </v>
          </cell>
          <cell r="B312">
            <v>51</v>
          </cell>
          <cell r="C312" t="str">
            <v>Impianti tecnologici                                        </v>
          </cell>
          <cell r="D312">
            <v>5</v>
          </cell>
          <cell r="E312">
            <v>6205</v>
          </cell>
          <cell r="F312" t="str">
            <v>SPESE IN C/CAPITALE CONTRO ENTRATE ORD.                     </v>
          </cell>
          <cell r="G312">
            <v>0</v>
          </cell>
          <cell r="H312">
            <v>3227.86</v>
          </cell>
          <cell r="I312">
            <v>0</v>
          </cell>
          <cell r="J312">
            <v>25822.84</v>
          </cell>
          <cell r="K312">
            <v>25822.84</v>
          </cell>
        </row>
        <row r="313">
          <cell r="A313" t="str">
            <v>CDG6 </v>
          </cell>
          <cell r="B313">
            <v>102</v>
          </cell>
          <cell r="C313" t="str">
            <v>Direzione, amm.,CDG/altro - polizia mun.                    </v>
          </cell>
          <cell r="D313">
            <v>5</v>
          </cell>
          <cell r="E313">
            <v>6205</v>
          </cell>
          <cell r="F313" t="str">
            <v>SPESE IN C/CAPITALE CONTRO ENTRATE ORD.                     </v>
          </cell>
          <cell r="G313">
            <v>0</v>
          </cell>
          <cell r="H313">
            <v>0</v>
          </cell>
          <cell r="I313">
            <v>0</v>
          </cell>
          <cell r="J313">
            <v>401803.47</v>
          </cell>
          <cell r="K313">
            <v>91929.33</v>
          </cell>
        </row>
        <row r="314">
          <cell r="A314" t="str">
            <v>CDG6 </v>
          </cell>
          <cell r="B314">
            <v>107</v>
          </cell>
          <cell r="C314" t="str">
            <v>Servizio grande viabilità                                   </v>
          </cell>
          <cell r="D314">
            <v>5</v>
          </cell>
          <cell r="E314">
            <v>6205</v>
          </cell>
          <cell r="F314" t="str">
            <v>SPESE IN C/CAPITALE CONTRO ENTRATE ORD.                     </v>
          </cell>
          <cell r="G314">
            <v>0</v>
          </cell>
          <cell r="H314">
            <v>0</v>
          </cell>
          <cell r="I314">
            <v>0</v>
          </cell>
          <cell r="J314">
            <v>20658.28</v>
          </cell>
          <cell r="K314">
            <v>20658.28</v>
          </cell>
        </row>
        <row r="315">
          <cell r="A315" t="str">
            <v>CDG6 </v>
          </cell>
          <cell r="B315">
            <v>95</v>
          </cell>
          <cell r="C315" t="str">
            <v>Laboratori e aule didattiche centrali                       </v>
          </cell>
          <cell r="D315">
            <v>5</v>
          </cell>
          <cell r="E315">
            <v>6205</v>
          </cell>
          <cell r="F315" t="str">
            <v>SPESE IN C/CAPITALE CONTRO ENTRATE ORD.                     </v>
          </cell>
          <cell r="G315">
            <v>0</v>
          </cell>
          <cell r="H315">
            <v>0</v>
          </cell>
          <cell r="I315">
            <v>6197.48</v>
          </cell>
          <cell r="J315">
            <v>10329.14</v>
          </cell>
          <cell r="K315">
            <v>10329.14</v>
          </cell>
        </row>
        <row r="316">
          <cell r="A316" t="str">
            <v>CDG6 </v>
          </cell>
          <cell r="B316">
            <v>91</v>
          </cell>
          <cell r="C316" t="str">
            <v>Scambi internazionali e istituz. estive                     </v>
          </cell>
          <cell r="D316">
            <v>5</v>
          </cell>
          <cell r="E316">
            <v>6205</v>
          </cell>
          <cell r="F316" t="str">
            <v>SPESE IN C/CAPITALE CONTRO ENTRATE ORD.                     </v>
          </cell>
          <cell r="G316">
            <v>0</v>
          </cell>
          <cell r="H316">
            <v>430.38</v>
          </cell>
          <cell r="I316">
            <v>0</v>
          </cell>
          <cell r="J316">
            <v>2582.28</v>
          </cell>
          <cell r="K316">
            <v>2582.28</v>
          </cell>
        </row>
        <row r="317">
          <cell r="A317" t="str">
            <v>CDG6 </v>
          </cell>
          <cell r="B317">
            <v>94</v>
          </cell>
          <cell r="C317" t="str">
            <v>Politiche giovanili                                         </v>
          </cell>
          <cell r="D317">
            <v>5</v>
          </cell>
          <cell r="E317">
            <v>6205</v>
          </cell>
          <cell r="F317" t="str">
            <v>SPESE IN C/CAPITALE CONTRO ENTRATE ORD.                     </v>
          </cell>
          <cell r="G317">
            <v>0</v>
          </cell>
          <cell r="H317">
            <v>0</v>
          </cell>
          <cell r="I317">
            <v>25822.84</v>
          </cell>
          <cell r="J317">
            <v>25822.84</v>
          </cell>
          <cell r="K317">
            <v>25822.84</v>
          </cell>
        </row>
        <row r="318">
          <cell r="A318" t="str">
            <v>CDG6 </v>
          </cell>
          <cell r="B318">
            <v>88</v>
          </cell>
          <cell r="C318" t="str">
            <v>Direzione,amm.,CDG/altro - istr. e sport                    </v>
          </cell>
          <cell r="D318">
            <v>5</v>
          </cell>
          <cell r="E318">
            <v>6205</v>
          </cell>
          <cell r="F318" t="str">
            <v>SPESE IN C/CAPITALE CONTRO ENTRATE ORD.                     </v>
          </cell>
          <cell r="G318">
            <v>0</v>
          </cell>
          <cell r="H318">
            <v>0</v>
          </cell>
          <cell r="I318">
            <v>5681.03</v>
          </cell>
          <cell r="J318">
            <v>56810.26</v>
          </cell>
          <cell r="K318">
            <v>22207.65</v>
          </cell>
        </row>
        <row r="319">
          <cell r="A319" t="str">
            <v>CDG6 </v>
          </cell>
          <cell r="B319">
            <v>90</v>
          </cell>
          <cell r="C319" t="str">
            <v>Servizi all'infanzia                                        </v>
          </cell>
          <cell r="D319">
            <v>5</v>
          </cell>
          <cell r="E319">
            <v>6205</v>
          </cell>
          <cell r="F319" t="str">
            <v>SPESE IN C/CAPITALE CONTRO ENTRATE ORD.                     </v>
          </cell>
          <cell r="G319">
            <v>0</v>
          </cell>
          <cell r="H319">
            <v>0</v>
          </cell>
          <cell r="I319">
            <v>0</v>
          </cell>
          <cell r="J319">
            <v>201418.19</v>
          </cell>
          <cell r="K319">
            <v>201418.19</v>
          </cell>
        </row>
        <row r="320">
          <cell r="A320" t="str">
            <v>CDG6 </v>
          </cell>
          <cell r="B320">
            <v>96</v>
          </cell>
          <cell r="C320" t="str">
            <v>Formazione professionale                                    </v>
          </cell>
          <cell r="D320">
            <v>5</v>
          </cell>
          <cell r="E320">
            <v>6205</v>
          </cell>
          <cell r="F320" t="str">
            <v>SPESE IN C/CAPITALE CONTRO ENTRATE ORD.                     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CDG6 </v>
          </cell>
          <cell r="B321">
            <v>254</v>
          </cell>
          <cell r="C321" t="str">
            <v>Prog.nuove ist.mus.:m.resistenza/Certosa                    </v>
          </cell>
          <cell r="D321">
            <v>5</v>
          </cell>
          <cell r="E321">
            <v>6205</v>
          </cell>
          <cell r="F321" t="str">
            <v>SPESE IN C/CAPITALE CONTRO ENTRATE ORD.                     </v>
          </cell>
          <cell r="G321">
            <v>0</v>
          </cell>
          <cell r="H321">
            <v>0</v>
          </cell>
          <cell r="I321">
            <v>15493.71</v>
          </cell>
          <cell r="J321">
            <v>36151.98</v>
          </cell>
          <cell r="K321">
            <v>18075.99</v>
          </cell>
        </row>
        <row r="322">
          <cell r="A322" t="str">
            <v>CDG6 </v>
          </cell>
          <cell r="B322">
            <v>81</v>
          </cell>
          <cell r="C322" t="str">
            <v>Museo Archelogico                                           </v>
          </cell>
          <cell r="D322">
            <v>5</v>
          </cell>
          <cell r="E322">
            <v>6205</v>
          </cell>
          <cell r="F322" t="str">
            <v>SPESE IN C/CAPITALE CONTRO ENTRATE ORD.                     </v>
          </cell>
          <cell r="G322">
            <v>0</v>
          </cell>
          <cell r="H322">
            <v>3615.2</v>
          </cell>
          <cell r="I322">
            <v>0</v>
          </cell>
          <cell r="J322">
            <v>15493.71</v>
          </cell>
          <cell r="K322">
            <v>15493.71</v>
          </cell>
        </row>
        <row r="323">
          <cell r="A323" t="str">
            <v>CDG6 </v>
          </cell>
          <cell r="B323">
            <v>82</v>
          </cell>
          <cell r="C323" t="str">
            <v>Musei Civici di arte antica                                 </v>
          </cell>
          <cell r="D323">
            <v>5</v>
          </cell>
          <cell r="E323">
            <v>6205</v>
          </cell>
          <cell r="F323" t="str">
            <v>SPESE IN C/CAPITALE CONTRO ENTRATE ORD.                     </v>
          </cell>
          <cell r="G323">
            <v>0</v>
          </cell>
          <cell r="H323">
            <v>0</v>
          </cell>
          <cell r="I323">
            <v>0</v>
          </cell>
          <cell r="J323">
            <v>61974.83</v>
          </cell>
          <cell r="K323">
            <v>33569.7</v>
          </cell>
        </row>
        <row r="324">
          <cell r="A324" t="str">
            <v>CDG6 </v>
          </cell>
          <cell r="B324">
            <v>80</v>
          </cell>
          <cell r="C324" t="str">
            <v>Sala Borsa/CentroDoc.Don.-Bibl.Naz.Don.                     </v>
          </cell>
          <cell r="D324">
            <v>5</v>
          </cell>
          <cell r="E324">
            <v>6205</v>
          </cell>
          <cell r="F324" t="str">
            <v>SPESE IN C/CAPITALE CONTRO ENTRATE ORD.                     </v>
          </cell>
          <cell r="G324">
            <v>0</v>
          </cell>
          <cell r="H324">
            <v>516.46</v>
          </cell>
          <cell r="I324">
            <v>6197.48</v>
          </cell>
          <cell r="J324">
            <v>25822.84</v>
          </cell>
          <cell r="K324">
            <v>10329.14</v>
          </cell>
        </row>
        <row r="325">
          <cell r="A325" t="str">
            <v>CDG6 </v>
          </cell>
          <cell r="B325">
            <v>85</v>
          </cell>
          <cell r="C325" t="str">
            <v>Museo del Patrimonio industriale                            </v>
          </cell>
          <cell r="D325">
            <v>5</v>
          </cell>
          <cell r="E325">
            <v>6205</v>
          </cell>
          <cell r="F325" t="str">
            <v>SPESE IN C/CAPITALE CONTRO ENTRATE ORD.                     </v>
          </cell>
          <cell r="G325">
            <v>0</v>
          </cell>
          <cell r="H325">
            <v>0</v>
          </cell>
          <cell r="I325">
            <v>5681.03</v>
          </cell>
          <cell r="J325">
            <v>6713.94</v>
          </cell>
          <cell r="K325">
            <v>6713.94</v>
          </cell>
        </row>
        <row r="326">
          <cell r="A326" t="str">
            <v>CDG6 </v>
          </cell>
          <cell r="B326">
            <v>79</v>
          </cell>
          <cell r="C326" t="str">
            <v>Biblioteca dell'Archiginnasio                               </v>
          </cell>
          <cell r="D326">
            <v>5</v>
          </cell>
          <cell r="E326">
            <v>6205</v>
          </cell>
          <cell r="F326" t="str">
            <v>SPESE IN C/CAPITALE CONTRO ENTRATE ORD.                     </v>
          </cell>
          <cell r="G326">
            <v>0</v>
          </cell>
          <cell r="H326">
            <v>6455.71</v>
          </cell>
          <cell r="I326">
            <v>0</v>
          </cell>
          <cell r="J326">
            <v>71271.05</v>
          </cell>
          <cell r="K326">
            <v>71271.05</v>
          </cell>
        </row>
        <row r="327">
          <cell r="A327" t="str">
            <v>CDG6 </v>
          </cell>
          <cell r="B327">
            <v>76</v>
          </cell>
          <cell r="C327" t="str">
            <v>Direzione, amm.,CDG/altro - Cultura                         </v>
          </cell>
          <cell r="D327">
            <v>5</v>
          </cell>
          <cell r="E327">
            <v>6205</v>
          </cell>
          <cell r="F327" t="str">
            <v>SPESE IN C/CAPITALE CONTRO ENTRATE ORD.                     </v>
          </cell>
          <cell r="G327">
            <v>0</v>
          </cell>
          <cell r="H327">
            <v>215.19</v>
          </cell>
          <cell r="I327">
            <v>20658.28</v>
          </cell>
          <cell r="J327">
            <v>35377.3</v>
          </cell>
          <cell r="K327">
            <v>30212.73</v>
          </cell>
        </row>
        <row r="328">
          <cell r="A328" t="str">
            <v>CDG6 </v>
          </cell>
          <cell r="B328">
            <v>77</v>
          </cell>
          <cell r="C328" t="str">
            <v>Attività culturali gestione sale                            </v>
          </cell>
          <cell r="D328">
            <v>5</v>
          </cell>
          <cell r="E328">
            <v>6205</v>
          </cell>
          <cell r="F328" t="str">
            <v>SPESE IN C/CAPITALE CONTRO ENTRATE ORD.                     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CDG6 </v>
          </cell>
          <cell r="B329">
            <v>93</v>
          </cell>
          <cell r="C329" t="str">
            <v>Sport                                                       </v>
          </cell>
          <cell r="D329">
            <v>5</v>
          </cell>
          <cell r="E329">
            <v>6205</v>
          </cell>
          <cell r="F329" t="str">
            <v>SPESE IN C/CAPITALE CONTRO ENTRATE ORD.                     </v>
          </cell>
          <cell r="G329">
            <v>0</v>
          </cell>
          <cell r="H329">
            <v>0</v>
          </cell>
          <cell r="I329">
            <v>10329.14</v>
          </cell>
          <cell r="J329">
            <v>10329.14</v>
          </cell>
          <cell r="K329">
            <v>7746.85</v>
          </cell>
        </row>
        <row r="330">
          <cell r="A330" t="str">
            <v>CDG6 </v>
          </cell>
          <cell r="B330">
            <v>97</v>
          </cell>
          <cell r="C330" t="str">
            <v>Direzione, amm.,CDG/altro - traffico                        </v>
          </cell>
          <cell r="D330">
            <v>5</v>
          </cell>
          <cell r="E330">
            <v>6205</v>
          </cell>
          <cell r="F330" t="str">
            <v>SPESE IN C/CAPITALE CONTRO ENTRATE ORD.                     </v>
          </cell>
          <cell r="G330">
            <v>0</v>
          </cell>
          <cell r="H330">
            <v>1936.71</v>
          </cell>
          <cell r="I330">
            <v>0</v>
          </cell>
          <cell r="J330">
            <v>61974.83</v>
          </cell>
          <cell r="K330">
            <v>59392.54</v>
          </cell>
        </row>
        <row r="331">
          <cell r="A331" t="str">
            <v>CDG6 </v>
          </cell>
          <cell r="B331">
            <v>4</v>
          </cell>
          <cell r="C331" t="str">
            <v>Pianificaz. infrastrutturale trasporti                      </v>
          </cell>
          <cell r="D331">
            <v>5</v>
          </cell>
          <cell r="E331">
            <v>6205</v>
          </cell>
          <cell r="F331" t="str">
            <v>SPESE IN C/CAPITALE CONTRO ENTRATE ORD.                     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CDG6 </v>
          </cell>
          <cell r="B332">
            <v>134</v>
          </cell>
          <cell r="C332" t="str">
            <v>Ambiente                                                    </v>
          </cell>
          <cell r="D332">
            <v>5</v>
          </cell>
          <cell r="E332">
            <v>6205</v>
          </cell>
          <cell r="F332" t="str">
            <v>SPESE IN C/CAPITALE CONTRO ENTRATE ORD.                     </v>
          </cell>
          <cell r="G332">
            <v>0</v>
          </cell>
          <cell r="H332">
            <v>0</v>
          </cell>
          <cell r="I332">
            <v>0</v>
          </cell>
          <cell r="J332">
            <v>20658.28</v>
          </cell>
          <cell r="K332">
            <v>12394.97</v>
          </cell>
        </row>
        <row r="333">
          <cell r="A333" t="str">
            <v>CDG6 </v>
          </cell>
          <cell r="B333">
            <v>133</v>
          </cell>
          <cell r="C333" t="str">
            <v>Direz.,amm.,CDG/altro-territ.e riq.urb.                     </v>
          </cell>
          <cell r="D333">
            <v>5</v>
          </cell>
          <cell r="E333">
            <v>6205</v>
          </cell>
          <cell r="F333" t="str">
            <v>SPESE IN C/CAPITALE CONTRO ENTRATE ORD.                     </v>
          </cell>
          <cell r="G333">
            <v>0</v>
          </cell>
          <cell r="H333">
            <v>0</v>
          </cell>
          <cell r="I333">
            <v>0</v>
          </cell>
          <cell r="J333">
            <v>51645.69</v>
          </cell>
          <cell r="K333">
            <v>25822.84</v>
          </cell>
        </row>
        <row r="334">
          <cell r="A334" t="str">
            <v>CDG6 </v>
          </cell>
          <cell r="B334">
            <v>136</v>
          </cell>
          <cell r="C334" t="str">
            <v>Urbanistica                                                 </v>
          </cell>
          <cell r="D334">
            <v>5</v>
          </cell>
          <cell r="E334">
            <v>6205</v>
          </cell>
          <cell r="F334" t="str">
            <v>SPESE IN C/CAPITALE CONTRO ENTRATE ORD.                     </v>
          </cell>
          <cell r="G334">
            <v>0</v>
          </cell>
          <cell r="H334">
            <v>0</v>
          </cell>
          <cell r="I334">
            <v>0</v>
          </cell>
          <cell r="J334">
            <v>41316.55</v>
          </cell>
          <cell r="K334">
            <v>39250.72</v>
          </cell>
        </row>
        <row r="335">
          <cell r="A335" t="str">
            <v>CDG6 </v>
          </cell>
          <cell r="B335">
            <v>135</v>
          </cell>
          <cell r="C335" t="str">
            <v>Atti amministrativi                                         </v>
          </cell>
          <cell r="D335">
            <v>5</v>
          </cell>
          <cell r="E335">
            <v>6205</v>
          </cell>
          <cell r="F335" t="str">
            <v>SPESE IN C/CAPITALE CONTRO ENTRATE ORD.                     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CDG6 </v>
          </cell>
          <cell r="B336">
            <v>138</v>
          </cell>
          <cell r="C336" t="str">
            <v>Sistema informativo territoriale                            </v>
          </cell>
          <cell r="D336">
            <v>5</v>
          </cell>
          <cell r="E336">
            <v>6205</v>
          </cell>
          <cell r="F336" t="str">
            <v>SPESE IN C/CAPITALE CONTRO ENTRATE ORD.                     </v>
          </cell>
          <cell r="G336">
            <v>0</v>
          </cell>
          <cell r="H336">
            <v>1850.64</v>
          </cell>
          <cell r="I336">
            <v>10329.14</v>
          </cell>
          <cell r="J336">
            <v>39405.67</v>
          </cell>
          <cell r="K336">
            <v>25977.78</v>
          </cell>
        </row>
        <row r="337">
          <cell r="A337" t="str">
            <v>CDG6 </v>
          </cell>
          <cell r="B337">
            <v>137</v>
          </cell>
          <cell r="C337" t="str">
            <v>Controllo edilizio                                          </v>
          </cell>
          <cell r="D337">
            <v>5</v>
          </cell>
          <cell r="E337">
            <v>6205</v>
          </cell>
          <cell r="F337" t="str">
            <v>SPESE IN C/CAPITALE CONTRO ENTRATE ORD.                     </v>
          </cell>
          <cell r="G337">
            <v>0</v>
          </cell>
          <cell r="H337">
            <v>301.27</v>
          </cell>
          <cell r="I337">
            <v>0</v>
          </cell>
          <cell r="J337">
            <v>67139.4</v>
          </cell>
          <cell r="K337">
            <v>67139.4</v>
          </cell>
        </row>
        <row r="338">
          <cell r="A338" t="str">
            <v>CDG6 </v>
          </cell>
          <cell r="B338">
            <v>139</v>
          </cell>
          <cell r="C338" t="str">
            <v>Casa                                                        </v>
          </cell>
          <cell r="D338">
            <v>5</v>
          </cell>
          <cell r="E338">
            <v>6205</v>
          </cell>
          <cell r="F338" t="str">
            <v>SPESE IN C/CAPITALE CONTRO ENTRATE ORD.                     </v>
          </cell>
          <cell r="G338">
            <v>0</v>
          </cell>
          <cell r="H338">
            <v>0</v>
          </cell>
          <cell r="I338">
            <v>0</v>
          </cell>
          <cell r="J338">
            <v>18075.99</v>
          </cell>
          <cell r="K338">
            <v>18075.99</v>
          </cell>
        </row>
        <row r="339">
          <cell r="A339" t="str">
            <v>CDG6 </v>
          </cell>
          <cell r="B339">
            <v>7</v>
          </cell>
          <cell r="C339" t="str">
            <v>Protezione civile                                           </v>
          </cell>
          <cell r="D339">
            <v>5</v>
          </cell>
          <cell r="E339">
            <v>6205</v>
          </cell>
          <cell r="F339" t="str">
            <v>SPESE IN C/CAPITALE CONTRO ENTRATE ORD.                     </v>
          </cell>
          <cell r="G339">
            <v>0</v>
          </cell>
          <cell r="H339">
            <v>0</v>
          </cell>
          <cell r="I339">
            <v>0</v>
          </cell>
          <cell r="J339">
            <v>29438.04</v>
          </cell>
          <cell r="K339">
            <v>29438.04</v>
          </cell>
        </row>
        <row r="340">
          <cell r="A340" t="str">
            <v>CDG6 </v>
          </cell>
          <cell r="B340">
            <v>50</v>
          </cell>
          <cell r="C340" t="str">
            <v>Fognature                                                   </v>
          </cell>
          <cell r="D340">
            <v>5</v>
          </cell>
          <cell r="E340">
            <v>6205</v>
          </cell>
          <cell r="F340" t="str">
            <v>SPESE IN C/CAPITALE CONTRO ENTRATE ORD.                     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CDG6 </v>
          </cell>
          <cell r="B341">
            <v>6</v>
          </cell>
          <cell r="C341" t="str">
            <v>Progetto speciale qualità urbana                            </v>
          </cell>
          <cell r="D341">
            <v>5</v>
          </cell>
          <cell r="E341">
            <v>6205</v>
          </cell>
          <cell r="F341" t="str">
            <v>SPESE IN C/CAPITALE CONTRO ENTRATE ORD.                     </v>
          </cell>
          <cell r="G341">
            <v>0</v>
          </cell>
          <cell r="H341">
            <v>0</v>
          </cell>
          <cell r="I341">
            <v>0</v>
          </cell>
          <cell r="J341">
            <v>5164.57</v>
          </cell>
          <cell r="K341">
            <v>5164.57</v>
          </cell>
        </row>
        <row r="342">
          <cell r="A342" t="str">
            <v>CDG6 </v>
          </cell>
          <cell r="B342">
            <v>108</v>
          </cell>
          <cell r="C342" t="str">
            <v>Direz., amm.,CDG/altro - socio sanitario                    </v>
          </cell>
          <cell r="D342">
            <v>5</v>
          </cell>
          <cell r="E342">
            <v>6205</v>
          </cell>
          <cell r="F342" t="str">
            <v>SPESE IN C/CAPITALE CONTRO ENTRATE ORD.                     </v>
          </cell>
          <cell r="G342">
            <v>0</v>
          </cell>
          <cell r="H342">
            <v>8667.87</v>
          </cell>
          <cell r="I342">
            <v>0</v>
          </cell>
          <cell r="J342">
            <v>154937.07</v>
          </cell>
          <cell r="K342">
            <v>154937.07</v>
          </cell>
        </row>
        <row r="343">
          <cell r="A343" t="str">
            <v>CDG6 </v>
          </cell>
          <cell r="B343">
            <v>118</v>
          </cell>
          <cell r="C343" t="str">
            <v>Servizi sociali a minori e famiglie                         </v>
          </cell>
          <cell r="D343">
            <v>5</v>
          </cell>
          <cell r="E343">
            <v>6205</v>
          </cell>
          <cell r="F343" t="str">
            <v>SPESE IN C/CAPITALE CONTRO ENTRATE ORD.                     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CDG6 </v>
          </cell>
          <cell r="B344">
            <v>255</v>
          </cell>
          <cell r="C344" t="str">
            <v>Sicurezza urbana                                            </v>
          </cell>
          <cell r="D344">
            <v>5</v>
          </cell>
          <cell r="E344">
            <v>6205</v>
          </cell>
          <cell r="F344" t="str">
            <v>SPESE IN C/CAPITALE CONTRO ENTRATE ORD.                     </v>
          </cell>
          <cell r="G344">
            <v>0</v>
          </cell>
          <cell r="H344">
            <v>0</v>
          </cell>
          <cell r="I344">
            <v>0</v>
          </cell>
          <cell r="J344">
            <v>82633.11</v>
          </cell>
          <cell r="K344">
            <v>82633.1</v>
          </cell>
        </row>
        <row r="345">
          <cell r="A345" t="str">
            <v>CDG6 </v>
          </cell>
          <cell r="B345">
            <v>259</v>
          </cell>
          <cell r="C345" t="str">
            <v>Direzione/amm./altro salute e qualità                       </v>
          </cell>
          <cell r="D345">
            <v>5</v>
          </cell>
          <cell r="E345">
            <v>6205</v>
          </cell>
          <cell r="F345" t="str">
            <v>SPESE IN C/CAPITALE CONTRO ENTRATE ORD.                     </v>
          </cell>
          <cell r="G345">
            <v>0</v>
          </cell>
          <cell r="H345">
            <v>0</v>
          </cell>
          <cell r="I345">
            <v>0</v>
          </cell>
          <cell r="J345">
            <v>56810.26</v>
          </cell>
          <cell r="K345">
            <v>56810.26</v>
          </cell>
        </row>
        <row r="346">
          <cell r="A346" t="str">
            <v>CDG6 </v>
          </cell>
          <cell r="B346">
            <v>126</v>
          </cell>
          <cell r="C346" t="str">
            <v>Istituz. Serv. per l'immigrazione (ISI)                     </v>
          </cell>
          <cell r="D346">
            <v>5</v>
          </cell>
          <cell r="E346">
            <v>6205</v>
          </cell>
          <cell r="F346" t="str">
            <v>SPESE IN C/CAPITALE CONTRO ENTRATE ORD.                     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CDG6 </v>
          </cell>
          <cell r="B347">
            <v>121</v>
          </cell>
          <cell r="C347" t="str">
            <v>Servizi sociali per adulti                                  </v>
          </cell>
          <cell r="D347">
            <v>5</v>
          </cell>
          <cell r="E347">
            <v>6205</v>
          </cell>
          <cell r="F347" t="str">
            <v>SPESE IN C/CAPITALE CONTRO ENTRATE ORD.                     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CDG6 </v>
          </cell>
          <cell r="B348">
            <v>109</v>
          </cell>
          <cell r="C348" t="str">
            <v>Servizi funerari                                            </v>
          </cell>
          <cell r="D348">
            <v>5</v>
          </cell>
          <cell r="E348">
            <v>6205</v>
          </cell>
          <cell r="F348" t="str">
            <v>SPESE IN C/CAPITALE CONTRO ENTRATE ORD.                     </v>
          </cell>
          <cell r="G348">
            <v>0</v>
          </cell>
          <cell r="H348">
            <v>0</v>
          </cell>
          <cell r="I348">
            <v>0</v>
          </cell>
          <cell r="J348">
            <v>211747.32</v>
          </cell>
          <cell r="K348">
            <v>160101.64</v>
          </cell>
        </row>
        <row r="349">
          <cell r="A349" t="str">
            <v>CDG6 </v>
          </cell>
          <cell r="B349">
            <v>72</v>
          </cell>
          <cell r="C349" t="str">
            <v>Direzione, amm.,CDG/altro - Economia                        </v>
          </cell>
          <cell r="D349">
            <v>5</v>
          </cell>
          <cell r="E349">
            <v>6205</v>
          </cell>
          <cell r="F349" t="str">
            <v>SPESE IN C/CAPITALE CONTRO ENTRATE ORD.                     </v>
          </cell>
          <cell r="G349">
            <v>0</v>
          </cell>
          <cell r="H349">
            <v>3443.05</v>
          </cell>
          <cell r="I349">
            <v>0</v>
          </cell>
          <cell r="J349">
            <v>36151.98</v>
          </cell>
          <cell r="K349">
            <v>36151.98</v>
          </cell>
        </row>
        <row r="350">
          <cell r="A350" t="str">
            <v>CDG6 </v>
          </cell>
          <cell r="B350">
            <v>73</v>
          </cell>
          <cell r="C350" t="str">
            <v>Economia e lavoro                                           </v>
          </cell>
          <cell r="D350">
            <v>5</v>
          </cell>
          <cell r="E350">
            <v>6205</v>
          </cell>
          <cell r="F350" t="str">
            <v>SPESE IN C/CAPITALE CONTRO ENTRATE ORD.                     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CDG6 </v>
          </cell>
          <cell r="B351">
            <v>37</v>
          </cell>
          <cell r="C351" t="str">
            <v>Trasformazioni strutturali                                  </v>
          </cell>
          <cell r="D351">
            <v>5</v>
          </cell>
          <cell r="E351">
            <v>6205</v>
          </cell>
          <cell r="F351" t="str">
            <v>SPESE IN C/CAPITALE CONTRO ENTRATE ORD.                     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CDG6 </v>
          </cell>
          <cell r="B352">
            <v>160</v>
          </cell>
          <cell r="C352" t="str">
            <v>Scuole dell'infanzia - Q. Borgo                             </v>
          </cell>
          <cell r="D352">
            <v>5</v>
          </cell>
          <cell r="E352">
            <v>6214</v>
          </cell>
          <cell r="F352" t="str">
            <v>Q.RI PROG.INTEGRATO SCUOLA DELL'INFANZIA                    </v>
          </cell>
          <cell r="G352">
            <v>0</v>
          </cell>
          <cell r="H352">
            <v>1463.29</v>
          </cell>
          <cell r="I352">
            <v>14584.74</v>
          </cell>
          <cell r="J352">
            <v>15493.71</v>
          </cell>
          <cell r="K352">
            <v>15493.71</v>
          </cell>
        </row>
        <row r="353">
          <cell r="A353" t="str">
            <v>CDG6 </v>
          </cell>
          <cell r="B353">
            <v>170</v>
          </cell>
          <cell r="C353" t="str">
            <v>Scuole dell'infanzia - Q. Navile                            </v>
          </cell>
          <cell r="D353">
            <v>5</v>
          </cell>
          <cell r="E353">
            <v>6214</v>
          </cell>
          <cell r="F353" t="str">
            <v>Q.RI PROG.INTEGRATO SCUOLA DELL'INFANZIA                    </v>
          </cell>
          <cell r="G353">
            <v>0</v>
          </cell>
          <cell r="H353">
            <v>5067.73</v>
          </cell>
          <cell r="I353">
            <v>50401.03</v>
          </cell>
          <cell r="J353">
            <v>50401.03</v>
          </cell>
          <cell r="K353">
            <v>50401.03</v>
          </cell>
        </row>
        <row r="354">
          <cell r="A354" t="str">
            <v>CDG6 </v>
          </cell>
          <cell r="B354">
            <v>180</v>
          </cell>
          <cell r="C354" t="str">
            <v>Scuole dell'infanzia - Q. Porto                             </v>
          </cell>
          <cell r="D354">
            <v>5</v>
          </cell>
          <cell r="E354">
            <v>6214</v>
          </cell>
          <cell r="F354" t="str">
            <v>Q.RI PROG.INTEGRATO SCUOLA DELL'INFANZIA                    </v>
          </cell>
          <cell r="G354">
            <v>0</v>
          </cell>
          <cell r="H354">
            <v>4282.29</v>
          </cell>
          <cell r="I354">
            <v>42463.09</v>
          </cell>
          <cell r="J354">
            <v>42504.4</v>
          </cell>
          <cell r="K354">
            <v>42504.4</v>
          </cell>
        </row>
        <row r="355">
          <cell r="A355" t="str">
            <v>CDG6 </v>
          </cell>
          <cell r="B355">
            <v>190</v>
          </cell>
          <cell r="C355" t="str">
            <v>Scuole dell'infanzia - Q. Reno                              </v>
          </cell>
          <cell r="D355">
            <v>5</v>
          </cell>
          <cell r="E355">
            <v>6214</v>
          </cell>
          <cell r="F355" t="str">
            <v>Q.RI PROG.INTEGRATO SCUOLA DELL'INFANZIA                    </v>
          </cell>
          <cell r="G355">
            <v>0</v>
          </cell>
          <cell r="H355">
            <v>2926.59</v>
          </cell>
          <cell r="I355">
            <v>29169.49</v>
          </cell>
          <cell r="J355">
            <v>29169.49</v>
          </cell>
          <cell r="K355">
            <v>29169.49</v>
          </cell>
        </row>
        <row r="356">
          <cell r="A356" t="str">
            <v>CDG6 </v>
          </cell>
          <cell r="B356">
            <v>200</v>
          </cell>
          <cell r="C356" t="str">
            <v>Scuole dell'infanzia - Q. San Donato                        </v>
          </cell>
          <cell r="D356">
            <v>5</v>
          </cell>
          <cell r="E356">
            <v>6214</v>
          </cell>
          <cell r="F356" t="str">
            <v>Q.RI PROG.INTEGRATO SCUOLA DELL'INFANZIA                    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CDG6 </v>
          </cell>
          <cell r="B357">
            <v>210</v>
          </cell>
          <cell r="C357" t="str">
            <v>Scuole dell'infanzia - Q. Santo Stefano                     </v>
          </cell>
          <cell r="D357">
            <v>5</v>
          </cell>
          <cell r="E357">
            <v>6214</v>
          </cell>
          <cell r="F357" t="str">
            <v>Q.RI PROG.INTEGRATO SCUOLA DELL'INFANZIA                    </v>
          </cell>
          <cell r="G357">
            <v>0</v>
          </cell>
          <cell r="H357">
            <v>15109.38</v>
          </cell>
          <cell r="I357">
            <v>135311.71</v>
          </cell>
          <cell r="J357">
            <v>135826.16</v>
          </cell>
          <cell r="K357">
            <v>135828.16</v>
          </cell>
        </row>
        <row r="358">
          <cell r="A358" t="str">
            <v>CDG6 </v>
          </cell>
          <cell r="B358">
            <v>220</v>
          </cell>
          <cell r="C358" t="str">
            <v>Scuole dell'infanzia - Q. San Vitale                        </v>
          </cell>
          <cell r="D358">
            <v>5</v>
          </cell>
          <cell r="E358">
            <v>6214</v>
          </cell>
          <cell r="F358" t="str">
            <v>Q.RI PROG.INTEGRATO SCUOLA DELL'INFANZIA                    </v>
          </cell>
          <cell r="G358">
            <v>0</v>
          </cell>
          <cell r="H358">
            <v>5853.18</v>
          </cell>
          <cell r="I358">
            <v>58359.63</v>
          </cell>
          <cell r="J358">
            <v>51645.69</v>
          </cell>
          <cell r="K358">
            <v>51645.69</v>
          </cell>
        </row>
        <row r="359">
          <cell r="A359" t="str">
            <v>CDG6 </v>
          </cell>
          <cell r="B359">
            <v>230</v>
          </cell>
          <cell r="C359" t="str">
            <v>Scuole dell'infanzia - Q. Saragozza                         </v>
          </cell>
          <cell r="D359">
            <v>5</v>
          </cell>
          <cell r="E359">
            <v>6214</v>
          </cell>
          <cell r="F359" t="str">
            <v>Q.RI PROG.INTEGRATO SCUOLA DELL'INFANZIA                    </v>
          </cell>
          <cell r="G359">
            <v>0</v>
          </cell>
          <cell r="H359">
            <v>0</v>
          </cell>
          <cell r="I359">
            <v>0</v>
          </cell>
          <cell r="J359">
            <v>14977</v>
          </cell>
          <cell r="K359">
            <v>14977.25</v>
          </cell>
        </row>
        <row r="360">
          <cell r="A360" t="str">
            <v>CDG6 </v>
          </cell>
          <cell r="B360">
            <v>240</v>
          </cell>
          <cell r="C360" t="str">
            <v>Scuole dell'infanzia - Q. Savena                            </v>
          </cell>
          <cell r="D360">
            <v>5</v>
          </cell>
          <cell r="E360">
            <v>6214</v>
          </cell>
          <cell r="F360" t="str">
            <v>Q.RI PROG.INTEGRATO SCUOLA DELL'INFANZIA                    </v>
          </cell>
          <cell r="G360">
            <v>0</v>
          </cell>
          <cell r="H360">
            <v>5745.58</v>
          </cell>
          <cell r="I360">
            <v>56810.26</v>
          </cell>
          <cell r="J360">
            <v>71633</v>
          </cell>
          <cell r="K360">
            <v>71632.57</v>
          </cell>
        </row>
        <row r="361">
          <cell r="A361" t="str">
            <v>CDG6 </v>
          </cell>
          <cell r="B361">
            <v>157</v>
          </cell>
          <cell r="C361" t="str">
            <v>Servizi socio assistenziali - Q. Borgo                      </v>
          </cell>
          <cell r="D361">
            <v>5</v>
          </cell>
          <cell r="E361">
            <v>6660</v>
          </cell>
          <cell r="F361" t="str">
            <v>Q.RI BUONI MENSA                                            </v>
          </cell>
          <cell r="G361">
            <v>0</v>
          </cell>
          <cell r="H361">
            <v>2862.03</v>
          </cell>
          <cell r="I361">
            <v>34602.61</v>
          </cell>
          <cell r="J361">
            <v>51645.69</v>
          </cell>
          <cell r="K361">
            <v>51645.69</v>
          </cell>
        </row>
        <row r="362">
          <cell r="A362" t="str">
            <v>CDG6 </v>
          </cell>
          <cell r="B362">
            <v>167</v>
          </cell>
          <cell r="C362" t="str">
            <v>Servizi socio assistenziali - Q. Navile                     </v>
          </cell>
          <cell r="D362">
            <v>5</v>
          </cell>
          <cell r="E362">
            <v>6660</v>
          </cell>
          <cell r="F362" t="str">
            <v>Q.RI BUONI MENSA                                            </v>
          </cell>
          <cell r="G362">
            <v>0</v>
          </cell>
          <cell r="H362">
            <v>7071.16</v>
          </cell>
          <cell r="I362">
            <v>86248.3</v>
          </cell>
          <cell r="J362">
            <v>87797.67</v>
          </cell>
          <cell r="K362">
            <v>87797.67</v>
          </cell>
        </row>
        <row r="363">
          <cell r="A363" t="str">
            <v>CDG6 </v>
          </cell>
          <cell r="B363">
            <v>177</v>
          </cell>
          <cell r="C363" t="str">
            <v>Servizi socio assistenziali - Q. Porto                      </v>
          </cell>
          <cell r="D363">
            <v>5</v>
          </cell>
          <cell r="E363">
            <v>6660</v>
          </cell>
          <cell r="F363" t="str">
            <v>Q.RI BUONI MENSA                                            </v>
          </cell>
          <cell r="G363">
            <v>0</v>
          </cell>
          <cell r="H363">
            <v>3658.24</v>
          </cell>
          <cell r="I363">
            <v>51645.69</v>
          </cell>
          <cell r="J363">
            <v>56810.26</v>
          </cell>
          <cell r="K363">
            <v>56810.26</v>
          </cell>
        </row>
        <row r="364">
          <cell r="A364" t="str">
            <v>CDG6 </v>
          </cell>
          <cell r="B364">
            <v>187</v>
          </cell>
          <cell r="C364" t="str">
            <v>Servi. socio assistenziali - Q. Reno                        </v>
          </cell>
          <cell r="D364">
            <v>5</v>
          </cell>
          <cell r="E364">
            <v>6660</v>
          </cell>
          <cell r="F364" t="str">
            <v>Q.RI BUONI MENSA                                            </v>
          </cell>
          <cell r="G364">
            <v>0</v>
          </cell>
          <cell r="H364">
            <v>4432.92</v>
          </cell>
          <cell r="I364">
            <v>51645.69</v>
          </cell>
          <cell r="J364">
            <v>56810.26</v>
          </cell>
          <cell r="K364">
            <v>55777.35</v>
          </cell>
        </row>
        <row r="365">
          <cell r="A365" t="str">
            <v>CDG6 </v>
          </cell>
          <cell r="B365">
            <v>197</v>
          </cell>
          <cell r="C365" t="str">
            <v>Servi. socio assistenz. - Q. San Donato                     </v>
          </cell>
          <cell r="D365">
            <v>5</v>
          </cell>
          <cell r="E365">
            <v>6660</v>
          </cell>
          <cell r="F365" t="str">
            <v>Q.RI BUONI MENSA                                            </v>
          </cell>
          <cell r="G365">
            <v>0</v>
          </cell>
          <cell r="H365">
            <v>2480.16</v>
          </cell>
          <cell r="I365">
            <v>27888.67</v>
          </cell>
          <cell r="J365">
            <v>35635.53</v>
          </cell>
          <cell r="K365">
            <v>35635.53</v>
          </cell>
        </row>
        <row r="366">
          <cell r="A366" t="str">
            <v>CDG6 </v>
          </cell>
          <cell r="B366">
            <v>207</v>
          </cell>
          <cell r="C366" t="str">
            <v>Servi. socio assistenz. - Q. S.Stefano                      </v>
          </cell>
          <cell r="D366">
            <v>5</v>
          </cell>
          <cell r="E366">
            <v>6660</v>
          </cell>
          <cell r="F366" t="str">
            <v>Q.RI BUONI MENSA                                            </v>
          </cell>
          <cell r="G366">
            <v>0</v>
          </cell>
          <cell r="H366">
            <v>4943.83</v>
          </cell>
          <cell r="I366">
            <v>56810.26</v>
          </cell>
          <cell r="J366">
            <v>61974.83</v>
          </cell>
          <cell r="K366">
            <v>61974.83</v>
          </cell>
        </row>
        <row r="367">
          <cell r="A367" t="str">
            <v>CDG6 </v>
          </cell>
          <cell r="B367">
            <v>217</v>
          </cell>
          <cell r="C367" t="str">
            <v>Servi. socio assistenz. - Q. San Vitale                     </v>
          </cell>
          <cell r="D367">
            <v>5</v>
          </cell>
          <cell r="E367">
            <v>6660</v>
          </cell>
          <cell r="F367" t="str">
            <v>Q.RI BUONI MENSA                                            </v>
          </cell>
          <cell r="G367">
            <v>0</v>
          </cell>
          <cell r="H367">
            <v>1936.71</v>
          </cell>
          <cell r="I367">
            <v>25822.84</v>
          </cell>
          <cell r="J367">
            <v>31839.57</v>
          </cell>
          <cell r="K367">
            <v>32020.33</v>
          </cell>
        </row>
        <row r="368">
          <cell r="A368" t="str">
            <v>CDG6 </v>
          </cell>
          <cell r="B368">
            <v>227</v>
          </cell>
          <cell r="C368" t="str">
            <v>Servi. socio assistenz. - Q. Saragozza                      </v>
          </cell>
          <cell r="D368">
            <v>5</v>
          </cell>
          <cell r="E368">
            <v>6660</v>
          </cell>
          <cell r="F368" t="str">
            <v>Q.RI BUONI MENSA                                            </v>
          </cell>
          <cell r="G368">
            <v>0</v>
          </cell>
          <cell r="H368">
            <v>5406.89</v>
          </cell>
          <cell r="I368">
            <v>64557.11</v>
          </cell>
          <cell r="J368">
            <v>64557</v>
          </cell>
          <cell r="K368">
            <v>64557.11</v>
          </cell>
        </row>
        <row r="369">
          <cell r="A369" t="str">
            <v>CDG6 </v>
          </cell>
          <cell r="B369">
            <v>237</v>
          </cell>
          <cell r="C369" t="str">
            <v>Servi. socio assistenziali - Q. Savena                      </v>
          </cell>
          <cell r="D369">
            <v>5</v>
          </cell>
          <cell r="E369">
            <v>6660</v>
          </cell>
          <cell r="F369" t="str">
            <v>Q.RI BUONI MENSA                                            </v>
          </cell>
          <cell r="G369">
            <v>0</v>
          </cell>
          <cell r="H369">
            <v>3943.01</v>
          </cell>
          <cell r="I369">
            <v>50612.78</v>
          </cell>
          <cell r="J369">
            <v>52663</v>
          </cell>
          <cell r="K369">
            <v>52663.11</v>
          </cell>
        </row>
        <row r="370">
          <cell r="A370" t="str">
            <v>CDG6 </v>
          </cell>
          <cell r="B370">
            <v>157</v>
          </cell>
          <cell r="C370" t="str">
            <v>Servizi socio assistenziali - Q. Borgo                      </v>
          </cell>
          <cell r="D370">
            <v>5</v>
          </cell>
          <cell r="E370">
            <v>6909</v>
          </cell>
          <cell r="F370" t="str">
            <v>Q.RI CASE PROTETTE E RSA                                    </v>
          </cell>
          <cell r="G370">
            <v>0</v>
          </cell>
          <cell r="H370">
            <v>0</v>
          </cell>
          <cell r="I370">
            <v>144607.93</v>
          </cell>
          <cell r="J370">
            <v>154937.07</v>
          </cell>
          <cell r="K370">
            <v>154937.07</v>
          </cell>
        </row>
        <row r="371">
          <cell r="A371" t="str">
            <v>CDG6 </v>
          </cell>
          <cell r="B371">
            <v>167</v>
          </cell>
          <cell r="C371" t="str">
            <v>Servizi socio assistenziali - Q. Navile                     </v>
          </cell>
          <cell r="D371">
            <v>5</v>
          </cell>
          <cell r="E371">
            <v>6909</v>
          </cell>
          <cell r="F371" t="str">
            <v>Q.RI CASE PROTETTE E RSA                                    </v>
          </cell>
          <cell r="G371">
            <v>0</v>
          </cell>
          <cell r="H371">
            <v>49974.59</v>
          </cell>
          <cell r="I371">
            <v>602705.2</v>
          </cell>
          <cell r="J371">
            <v>601672.29</v>
          </cell>
          <cell r="K371">
            <v>601672.29</v>
          </cell>
        </row>
        <row r="372">
          <cell r="A372" t="str">
            <v>CDG6 </v>
          </cell>
          <cell r="B372">
            <v>177</v>
          </cell>
          <cell r="C372" t="str">
            <v>Servizi socio assistenziali - Q. Porto                      </v>
          </cell>
          <cell r="D372">
            <v>5</v>
          </cell>
          <cell r="E372">
            <v>6909</v>
          </cell>
          <cell r="F372" t="str">
            <v>Q.RI CASE PROTETTE E RSA                                    </v>
          </cell>
          <cell r="G372">
            <v>0</v>
          </cell>
          <cell r="H372">
            <v>22379.8</v>
          </cell>
          <cell r="I372">
            <v>284051.29</v>
          </cell>
          <cell r="J372">
            <v>284051.29</v>
          </cell>
          <cell r="K372">
            <v>284051.29</v>
          </cell>
        </row>
        <row r="373">
          <cell r="A373" t="str">
            <v>CDG6 </v>
          </cell>
          <cell r="B373">
            <v>187</v>
          </cell>
          <cell r="C373" t="str">
            <v>Servi. socio assistenziali - Q. Reno                        </v>
          </cell>
          <cell r="D373">
            <v>5</v>
          </cell>
          <cell r="E373">
            <v>6909</v>
          </cell>
          <cell r="F373" t="str">
            <v>Q.RI CASE PROTETTE E RSA                                    </v>
          </cell>
          <cell r="G373">
            <v>0</v>
          </cell>
          <cell r="H373">
            <v>7101.28</v>
          </cell>
          <cell r="I373">
            <v>129114.22</v>
          </cell>
          <cell r="J373">
            <v>129114.22</v>
          </cell>
          <cell r="K373">
            <v>129114.22</v>
          </cell>
        </row>
        <row r="374">
          <cell r="A374" t="str">
            <v>CDG6 </v>
          </cell>
          <cell r="B374">
            <v>197</v>
          </cell>
          <cell r="C374" t="str">
            <v>Servi. socio assistenz. - Q. San Donato                     </v>
          </cell>
          <cell r="D374">
            <v>5</v>
          </cell>
          <cell r="E374">
            <v>6909</v>
          </cell>
          <cell r="F374" t="str">
            <v>Q.RI CASE PROTETTE E RSA                                    </v>
          </cell>
          <cell r="G374">
            <v>0</v>
          </cell>
          <cell r="H374">
            <v>18398.78</v>
          </cell>
          <cell r="I374">
            <v>196253.62</v>
          </cell>
          <cell r="J374">
            <v>222076.47</v>
          </cell>
          <cell r="K374">
            <v>222076.47</v>
          </cell>
        </row>
        <row r="375">
          <cell r="A375" t="str">
            <v>CDG6 </v>
          </cell>
          <cell r="B375">
            <v>207</v>
          </cell>
          <cell r="C375" t="str">
            <v>Servi. socio assistenz. - Q. S.Stefano                      </v>
          </cell>
          <cell r="D375">
            <v>5</v>
          </cell>
          <cell r="E375">
            <v>6909</v>
          </cell>
          <cell r="F375" t="str">
            <v>Q.RI CASE PROTETTE E RSA                                    </v>
          </cell>
          <cell r="G375">
            <v>0</v>
          </cell>
          <cell r="H375">
            <v>27544.37</v>
          </cell>
          <cell r="I375">
            <v>183858.66</v>
          </cell>
          <cell r="J375">
            <v>235504.35</v>
          </cell>
          <cell r="K375">
            <v>235504.35</v>
          </cell>
        </row>
        <row r="376">
          <cell r="A376" t="str">
            <v>CDG6 </v>
          </cell>
          <cell r="B376">
            <v>217</v>
          </cell>
          <cell r="C376" t="str">
            <v>Servi. socio assistenz. - Q. San Vitale                     </v>
          </cell>
          <cell r="D376">
            <v>5</v>
          </cell>
          <cell r="E376">
            <v>6909</v>
          </cell>
          <cell r="F376" t="str">
            <v>Q.RI CASE PROTETTE E RSA                                    </v>
          </cell>
          <cell r="G376">
            <v>0</v>
          </cell>
          <cell r="H376">
            <v>35638.52</v>
          </cell>
          <cell r="I376">
            <v>516456.9</v>
          </cell>
          <cell r="J376">
            <v>398188.27</v>
          </cell>
          <cell r="K376">
            <v>398188.27</v>
          </cell>
        </row>
        <row r="377">
          <cell r="A377" t="str">
            <v>CDG6 </v>
          </cell>
          <cell r="B377">
            <v>227</v>
          </cell>
          <cell r="C377" t="str">
            <v>Servi. socio assistenz. - Q. Saragozza                      </v>
          </cell>
          <cell r="D377">
            <v>5</v>
          </cell>
          <cell r="E377">
            <v>6909</v>
          </cell>
          <cell r="F377" t="str">
            <v>Q.RI CASE PROTETTE E RSA                                    </v>
          </cell>
          <cell r="G377">
            <v>0</v>
          </cell>
          <cell r="H377">
            <v>38088.7</v>
          </cell>
          <cell r="I377">
            <v>516456.9</v>
          </cell>
          <cell r="J377">
            <v>516457</v>
          </cell>
          <cell r="K377">
            <v>516456.9</v>
          </cell>
        </row>
        <row r="378">
          <cell r="A378" t="str">
            <v>CDG6 </v>
          </cell>
          <cell r="B378">
            <v>237</v>
          </cell>
          <cell r="C378" t="str">
            <v>Servi. socio assistenziali - Q. Savena                      </v>
          </cell>
          <cell r="D378">
            <v>5</v>
          </cell>
          <cell r="E378">
            <v>6909</v>
          </cell>
          <cell r="F378" t="str">
            <v>Q.RI CASE PROTETTE E RSA                                    </v>
          </cell>
          <cell r="G378">
            <v>0</v>
          </cell>
          <cell r="H378">
            <v>31953.14</v>
          </cell>
          <cell r="I378">
            <v>507677.13</v>
          </cell>
          <cell r="J378">
            <v>480305</v>
          </cell>
          <cell r="K378">
            <v>480304.92</v>
          </cell>
        </row>
        <row r="379">
          <cell r="A379" t="str">
            <v>CDG6 </v>
          </cell>
          <cell r="B379">
            <v>157</v>
          </cell>
          <cell r="C379" t="str">
            <v>Servizi socio assistenziali - Q. Borgo                      </v>
          </cell>
          <cell r="D379">
            <v>5</v>
          </cell>
          <cell r="E379">
            <v>6910</v>
          </cell>
          <cell r="F379" t="str">
            <v>Q.RI TELESOCCORSO                                           </v>
          </cell>
          <cell r="G379">
            <v>0</v>
          </cell>
          <cell r="H379">
            <v>731.65</v>
          </cell>
          <cell r="I379">
            <v>12911.42</v>
          </cell>
          <cell r="J379">
            <v>10329.14</v>
          </cell>
          <cell r="K379">
            <v>10329.14</v>
          </cell>
        </row>
        <row r="380">
          <cell r="A380" t="str">
            <v>CDG6 </v>
          </cell>
          <cell r="B380">
            <v>167</v>
          </cell>
          <cell r="C380" t="str">
            <v>Servizi socio assistenziali - Q. Navile                     </v>
          </cell>
          <cell r="D380">
            <v>5</v>
          </cell>
          <cell r="E380">
            <v>6910</v>
          </cell>
          <cell r="F380" t="str">
            <v>Q.RI TELESOCCORSO                                           </v>
          </cell>
          <cell r="G380">
            <v>0</v>
          </cell>
          <cell r="H380">
            <v>1291.14</v>
          </cell>
          <cell r="I380">
            <v>18075.99</v>
          </cell>
          <cell r="J380">
            <v>18592.45</v>
          </cell>
          <cell r="K380">
            <v>18592.45</v>
          </cell>
        </row>
        <row r="381">
          <cell r="A381" t="str">
            <v>CDG6 </v>
          </cell>
          <cell r="B381">
            <v>177</v>
          </cell>
          <cell r="C381" t="str">
            <v>Servizi socio assistenziali - Q. Porto                      </v>
          </cell>
          <cell r="D381">
            <v>5</v>
          </cell>
          <cell r="E381">
            <v>6910</v>
          </cell>
          <cell r="F381" t="str">
            <v>Q.RI TELESOCCORSO                                           </v>
          </cell>
          <cell r="G381">
            <v>0</v>
          </cell>
          <cell r="H381">
            <v>645.57</v>
          </cell>
          <cell r="I381">
            <v>10329.14</v>
          </cell>
          <cell r="J381">
            <v>10329.14</v>
          </cell>
          <cell r="K381">
            <v>10329.14</v>
          </cell>
        </row>
        <row r="382">
          <cell r="A382" t="str">
            <v>CDG6 </v>
          </cell>
          <cell r="B382">
            <v>187</v>
          </cell>
          <cell r="C382" t="str">
            <v>Servi. socio assistenziali - Q. Reno                        </v>
          </cell>
          <cell r="D382">
            <v>5</v>
          </cell>
          <cell r="E382">
            <v>6910</v>
          </cell>
          <cell r="F382" t="str">
            <v>Q.RI TELESOCCORSO                                           </v>
          </cell>
          <cell r="G382">
            <v>0</v>
          </cell>
          <cell r="H382">
            <v>1721.52</v>
          </cell>
          <cell r="I382">
            <v>20658.28</v>
          </cell>
          <cell r="J382">
            <v>18592.45</v>
          </cell>
          <cell r="K382">
            <v>18592.45</v>
          </cell>
        </row>
        <row r="383">
          <cell r="A383" t="str">
            <v>CDG6 </v>
          </cell>
          <cell r="B383">
            <v>197</v>
          </cell>
          <cell r="C383" t="str">
            <v>Servi. socio assistenz. - Q. San Donato                     </v>
          </cell>
          <cell r="D383">
            <v>5</v>
          </cell>
          <cell r="E383">
            <v>6910</v>
          </cell>
          <cell r="F383" t="str">
            <v>Q.RI TELESOCCORSO                                           </v>
          </cell>
          <cell r="G383">
            <v>0</v>
          </cell>
          <cell r="H383">
            <v>581.01</v>
          </cell>
          <cell r="I383">
            <v>6713.94</v>
          </cell>
          <cell r="J383">
            <v>4131.66</v>
          </cell>
          <cell r="K383">
            <v>4131.66</v>
          </cell>
        </row>
        <row r="384">
          <cell r="A384" t="str">
            <v>CDG6 </v>
          </cell>
          <cell r="B384">
            <v>207</v>
          </cell>
          <cell r="C384" t="str">
            <v>Servi. socio assistenz. - Q. S.Stefano                      </v>
          </cell>
          <cell r="D384">
            <v>5</v>
          </cell>
          <cell r="E384">
            <v>6910</v>
          </cell>
          <cell r="F384" t="str">
            <v>Q.RI TELESOCCORSO                                           </v>
          </cell>
          <cell r="G384">
            <v>0</v>
          </cell>
          <cell r="H384">
            <v>1764.56</v>
          </cell>
          <cell r="I384">
            <v>25822.84</v>
          </cell>
          <cell r="J384">
            <v>26855.76</v>
          </cell>
          <cell r="K384">
            <v>26855.76</v>
          </cell>
        </row>
        <row r="385">
          <cell r="A385" t="str">
            <v>CDG6 </v>
          </cell>
          <cell r="B385">
            <v>217</v>
          </cell>
          <cell r="C385" t="str">
            <v>Servi. socio assistenz. - Q. San Vitale                     </v>
          </cell>
          <cell r="D385">
            <v>5</v>
          </cell>
          <cell r="E385">
            <v>6910</v>
          </cell>
          <cell r="F385" t="str">
            <v>Q.RI TELESOCCORSO                                           </v>
          </cell>
          <cell r="G385">
            <v>0</v>
          </cell>
          <cell r="H385">
            <v>774.69</v>
          </cell>
          <cell r="I385">
            <v>10329.14</v>
          </cell>
          <cell r="J385">
            <v>13737.75</v>
          </cell>
          <cell r="K385">
            <v>13944.34</v>
          </cell>
        </row>
        <row r="386">
          <cell r="A386" t="str">
            <v>CDG6 </v>
          </cell>
          <cell r="B386">
            <v>227</v>
          </cell>
          <cell r="C386" t="str">
            <v>Servi. socio assistenz. - Q. Saragozza                      </v>
          </cell>
          <cell r="D386">
            <v>5</v>
          </cell>
          <cell r="E386">
            <v>6910</v>
          </cell>
          <cell r="F386" t="str">
            <v>Q.RI TELESOCCORSO                                           </v>
          </cell>
          <cell r="G386">
            <v>0</v>
          </cell>
          <cell r="H386">
            <v>2302.54</v>
          </cell>
          <cell r="I386">
            <v>28405.13</v>
          </cell>
          <cell r="J386">
            <v>28405</v>
          </cell>
          <cell r="K386">
            <v>28405.13</v>
          </cell>
        </row>
        <row r="387">
          <cell r="A387" t="str">
            <v>CDG6 </v>
          </cell>
          <cell r="B387">
            <v>237</v>
          </cell>
          <cell r="C387" t="str">
            <v>Servi. socio assistenziali - Q. Savena                      </v>
          </cell>
          <cell r="D387">
            <v>5</v>
          </cell>
          <cell r="E387">
            <v>6910</v>
          </cell>
          <cell r="F387" t="str">
            <v>Q.RI TELESOCCORSO                                           </v>
          </cell>
          <cell r="G387">
            <v>0</v>
          </cell>
          <cell r="H387">
            <v>2797.48</v>
          </cell>
          <cell r="I387">
            <v>36151.98</v>
          </cell>
          <cell r="J387">
            <v>37237</v>
          </cell>
          <cell r="K387">
            <v>37236.54</v>
          </cell>
        </row>
        <row r="388">
          <cell r="A388" t="str">
            <v>CDG6 </v>
          </cell>
          <cell r="B388">
            <v>157</v>
          </cell>
          <cell r="C388" t="str">
            <v>Servizi socio assistenziali - Q. Borgo                      </v>
          </cell>
          <cell r="D388">
            <v>5</v>
          </cell>
          <cell r="E388">
            <v>6911</v>
          </cell>
          <cell r="F388" t="str">
            <v>Q.RI ALTRI SERVIZI SOCIOASSISTENZIALI                       </v>
          </cell>
          <cell r="G388">
            <v>0</v>
          </cell>
          <cell r="H388">
            <v>5379.76</v>
          </cell>
          <cell r="I388">
            <v>67139.4</v>
          </cell>
          <cell r="J388">
            <v>63524.2</v>
          </cell>
          <cell r="K388">
            <v>63524.2</v>
          </cell>
        </row>
        <row r="389">
          <cell r="A389" t="str">
            <v>CDG6 </v>
          </cell>
          <cell r="B389">
            <v>167</v>
          </cell>
          <cell r="C389" t="str">
            <v>Servizi socio assistenziali - Q. Navile                     </v>
          </cell>
          <cell r="D389">
            <v>5</v>
          </cell>
          <cell r="E389">
            <v>6911</v>
          </cell>
          <cell r="F389" t="str">
            <v>Q.RI ALTRI SERVIZI SOCIOASSISTENZIALI                       </v>
          </cell>
          <cell r="G389">
            <v>0</v>
          </cell>
          <cell r="H389">
            <v>19087.39</v>
          </cell>
          <cell r="I389">
            <v>224142.29</v>
          </cell>
          <cell r="J389">
            <v>229823.32</v>
          </cell>
          <cell r="K389">
            <v>229823.32</v>
          </cell>
        </row>
        <row r="390">
          <cell r="A390" t="str">
            <v>CDG6 </v>
          </cell>
          <cell r="B390">
            <v>177</v>
          </cell>
          <cell r="C390" t="str">
            <v>Servizi socio assistenziali - Q. Porto                      </v>
          </cell>
          <cell r="D390">
            <v>5</v>
          </cell>
          <cell r="E390">
            <v>6911</v>
          </cell>
          <cell r="F390" t="str">
            <v>Q.RI ALTRI SERVIZI SOCIOASSISTENZIALI                       </v>
          </cell>
          <cell r="G390">
            <v>0</v>
          </cell>
          <cell r="H390">
            <v>10724.57</v>
          </cell>
          <cell r="I390">
            <v>124046.75</v>
          </cell>
          <cell r="J390">
            <v>118785.09</v>
          </cell>
          <cell r="K390">
            <v>118785.09</v>
          </cell>
        </row>
        <row r="391">
          <cell r="A391" t="str">
            <v>CDG6 </v>
          </cell>
          <cell r="B391">
            <v>187</v>
          </cell>
          <cell r="C391" t="str">
            <v>Servi. socio assistenziali - Q. Reno                        </v>
          </cell>
          <cell r="D391">
            <v>5</v>
          </cell>
          <cell r="E391">
            <v>6911</v>
          </cell>
          <cell r="F391" t="str">
            <v>Q.RI ALTRI SERVIZI SOCIOASSISTENZIALI                       </v>
          </cell>
          <cell r="G391">
            <v>0</v>
          </cell>
          <cell r="H391">
            <v>7639.26</v>
          </cell>
          <cell r="I391">
            <v>87797.67</v>
          </cell>
          <cell r="J391">
            <v>90379.96</v>
          </cell>
          <cell r="K391">
            <v>87797.67</v>
          </cell>
        </row>
        <row r="392">
          <cell r="A392" t="str">
            <v>CDG6 </v>
          </cell>
          <cell r="B392">
            <v>197</v>
          </cell>
          <cell r="C392" t="str">
            <v>Servi. socio assistenz. - Q. San Donato                     </v>
          </cell>
          <cell r="D392">
            <v>5</v>
          </cell>
          <cell r="E392">
            <v>6911</v>
          </cell>
          <cell r="F392" t="str">
            <v>Q.RI ALTRI SERVIZI SOCIOASSISTENZIALI                       </v>
          </cell>
          <cell r="G392">
            <v>0</v>
          </cell>
          <cell r="H392">
            <v>10494.83</v>
          </cell>
          <cell r="I392">
            <v>116202.8</v>
          </cell>
          <cell r="J392">
            <v>123949.66</v>
          </cell>
          <cell r="K392">
            <v>123949.66</v>
          </cell>
        </row>
        <row r="393">
          <cell r="A393" t="str">
            <v>CDG6 </v>
          </cell>
          <cell r="B393">
            <v>207</v>
          </cell>
          <cell r="C393" t="str">
            <v>Servi. socio assistenz. - Q. S.Stefano                      </v>
          </cell>
          <cell r="D393">
            <v>5</v>
          </cell>
          <cell r="E393">
            <v>6911</v>
          </cell>
          <cell r="F393" t="str">
            <v>Q.RI ALTRI SERVIZI SOCIOASSISTENZIALI                       </v>
          </cell>
          <cell r="G393">
            <v>0</v>
          </cell>
          <cell r="H393">
            <v>15482.85</v>
          </cell>
          <cell r="I393">
            <v>190056.14</v>
          </cell>
          <cell r="J393">
            <v>195737.16</v>
          </cell>
          <cell r="K393">
            <v>195737.16</v>
          </cell>
        </row>
        <row r="394">
          <cell r="A394" t="str">
            <v>CDG6 </v>
          </cell>
          <cell r="B394">
            <v>217</v>
          </cell>
          <cell r="C394" t="str">
            <v>Servi. socio assistenz. - Q. San Vitale                     </v>
          </cell>
          <cell r="D394">
            <v>5</v>
          </cell>
          <cell r="E394">
            <v>6911</v>
          </cell>
          <cell r="F394" t="str">
            <v>Q.RI ALTRI SERVIZI SOCIOASSISTENZIALI                       </v>
          </cell>
          <cell r="G394">
            <v>0</v>
          </cell>
          <cell r="H394">
            <v>8951.92</v>
          </cell>
          <cell r="I394">
            <v>99676.18</v>
          </cell>
          <cell r="J394">
            <v>108863.95</v>
          </cell>
          <cell r="K394">
            <v>108972.41</v>
          </cell>
        </row>
        <row r="395">
          <cell r="A395" t="str">
            <v>CDG6 </v>
          </cell>
          <cell r="B395">
            <v>227</v>
          </cell>
          <cell r="C395" t="str">
            <v>Servi. socio assistenz. - Q. Saragozza                      </v>
          </cell>
          <cell r="D395">
            <v>5</v>
          </cell>
          <cell r="E395">
            <v>6911</v>
          </cell>
          <cell r="F395" t="str">
            <v>Q.RI ALTRI SERVIZI SOCIOASSISTENZIALI                       </v>
          </cell>
          <cell r="G395">
            <v>0</v>
          </cell>
          <cell r="H395">
            <v>13228.59</v>
          </cell>
          <cell r="I395">
            <v>152354.79</v>
          </cell>
          <cell r="J395">
            <v>174562</v>
          </cell>
          <cell r="K395">
            <v>174562.43</v>
          </cell>
        </row>
        <row r="396">
          <cell r="A396" t="str">
            <v>CDG6 </v>
          </cell>
          <cell r="B396">
            <v>237</v>
          </cell>
          <cell r="C396" t="str">
            <v>Servi. socio assistenziali - Q. Savena                      </v>
          </cell>
          <cell r="D396">
            <v>5</v>
          </cell>
          <cell r="E396">
            <v>6911</v>
          </cell>
          <cell r="F396" t="str">
            <v>Q.RI ALTRI SERVIZI SOCIOASSISTENZIALI                       </v>
          </cell>
          <cell r="G396">
            <v>0</v>
          </cell>
          <cell r="H396">
            <v>17043.08</v>
          </cell>
          <cell r="I396">
            <v>255129.71</v>
          </cell>
          <cell r="J396">
            <v>257855</v>
          </cell>
          <cell r="K396">
            <v>229919.9</v>
          </cell>
        </row>
        <row r="397">
          <cell r="A397" t="str">
            <v>CDG6 </v>
          </cell>
          <cell r="B397">
            <v>157</v>
          </cell>
          <cell r="C397" t="str">
            <v>Servizi socio assistenziali - Q. Borgo                      </v>
          </cell>
          <cell r="D397">
            <v>5</v>
          </cell>
          <cell r="E397">
            <v>6974</v>
          </cell>
          <cell r="F397" t="str">
            <v>Q.RI AIUTO ALL'AUTONOMIA                                    </v>
          </cell>
          <cell r="G397">
            <v>0</v>
          </cell>
          <cell r="H397">
            <v>0</v>
          </cell>
          <cell r="I397">
            <v>7746.85</v>
          </cell>
          <cell r="J397">
            <v>7746.85</v>
          </cell>
          <cell r="K397">
            <v>7746.85</v>
          </cell>
        </row>
        <row r="398">
          <cell r="A398" t="str">
            <v>CDG6 </v>
          </cell>
          <cell r="B398">
            <v>167</v>
          </cell>
          <cell r="C398" t="str">
            <v>Servizi socio assistenziali - Q. Navile                     </v>
          </cell>
          <cell r="D398">
            <v>5</v>
          </cell>
          <cell r="E398">
            <v>6974</v>
          </cell>
          <cell r="F398" t="str">
            <v>Q.RI AIUTO ALL'AUTONOMIA                                    </v>
          </cell>
          <cell r="G398">
            <v>0</v>
          </cell>
          <cell r="H398">
            <v>1850.64</v>
          </cell>
          <cell r="I398">
            <v>20658.28</v>
          </cell>
          <cell r="J398">
            <v>20658.28</v>
          </cell>
          <cell r="K398">
            <v>20658.28</v>
          </cell>
        </row>
        <row r="399">
          <cell r="A399" t="str">
            <v>CDG6 </v>
          </cell>
          <cell r="B399">
            <v>177</v>
          </cell>
          <cell r="C399" t="str">
            <v>Servizi socio assistenziali - Q. Porto                      </v>
          </cell>
          <cell r="D399">
            <v>5</v>
          </cell>
          <cell r="E399">
            <v>6974</v>
          </cell>
          <cell r="F399" t="str">
            <v>Q.RI AIUTO ALL'AUTONOMIA                                    </v>
          </cell>
          <cell r="G399">
            <v>0</v>
          </cell>
          <cell r="H399">
            <v>731.65</v>
          </cell>
          <cell r="I399">
            <v>20658.28</v>
          </cell>
          <cell r="J399">
            <v>15493.71</v>
          </cell>
          <cell r="K399">
            <v>15493.71</v>
          </cell>
        </row>
        <row r="400">
          <cell r="A400" t="str">
            <v>CDG6 </v>
          </cell>
          <cell r="B400">
            <v>187</v>
          </cell>
          <cell r="C400" t="str">
            <v>Servi. socio assistenziali - Q. Reno                        </v>
          </cell>
          <cell r="D400">
            <v>5</v>
          </cell>
          <cell r="E400">
            <v>6974</v>
          </cell>
          <cell r="F400" t="str">
            <v>Q.RI AIUTO ALL'AUTONOMIA                                    </v>
          </cell>
          <cell r="G400">
            <v>0</v>
          </cell>
          <cell r="H400">
            <v>0</v>
          </cell>
          <cell r="I400">
            <v>10329.14</v>
          </cell>
          <cell r="J400">
            <v>7746.85</v>
          </cell>
          <cell r="K400">
            <v>7746.85</v>
          </cell>
        </row>
        <row r="401">
          <cell r="A401" t="str">
            <v>CDG6 </v>
          </cell>
          <cell r="B401">
            <v>197</v>
          </cell>
          <cell r="C401" t="str">
            <v>Servi. socio assistenz. - Q. San Donato                     </v>
          </cell>
          <cell r="D401">
            <v>5</v>
          </cell>
          <cell r="E401">
            <v>6974</v>
          </cell>
          <cell r="F401" t="str">
            <v>Q.RI AIUTO ALL'AUTONOMIA                                    </v>
          </cell>
          <cell r="G401">
            <v>0</v>
          </cell>
          <cell r="H401">
            <v>1444.92</v>
          </cell>
          <cell r="I401">
            <v>15493.71</v>
          </cell>
          <cell r="J401">
            <v>7746.85</v>
          </cell>
          <cell r="K401">
            <v>15493.71</v>
          </cell>
        </row>
        <row r="402">
          <cell r="A402" t="str">
            <v>CDG6 </v>
          </cell>
          <cell r="B402">
            <v>207</v>
          </cell>
          <cell r="C402" t="str">
            <v>Servi. socio assistenz. - Q. S.Stefano                      </v>
          </cell>
          <cell r="D402">
            <v>5</v>
          </cell>
          <cell r="E402">
            <v>6974</v>
          </cell>
          <cell r="F402" t="str">
            <v>Q.RI AIUTO ALL'AUTONOMIA                                    </v>
          </cell>
          <cell r="G402">
            <v>0</v>
          </cell>
          <cell r="H402">
            <v>834.94</v>
          </cell>
          <cell r="I402">
            <v>18592.45</v>
          </cell>
          <cell r="J402">
            <v>19108.91</v>
          </cell>
          <cell r="K402">
            <v>19108.91</v>
          </cell>
        </row>
        <row r="403">
          <cell r="A403" t="str">
            <v>CDG6 </v>
          </cell>
          <cell r="B403">
            <v>217</v>
          </cell>
          <cell r="C403" t="str">
            <v>Servi. socio assistenz. - Q. San Vitale                     </v>
          </cell>
          <cell r="D403">
            <v>5</v>
          </cell>
          <cell r="E403">
            <v>6974</v>
          </cell>
          <cell r="F403" t="str">
            <v>Q.RI AIUTO ALL'AUTONOMIA                                    </v>
          </cell>
          <cell r="G403">
            <v>0</v>
          </cell>
          <cell r="H403">
            <v>3012.67</v>
          </cell>
          <cell r="I403">
            <v>77468.53</v>
          </cell>
          <cell r="J403">
            <v>36733.51</v>
          </cell>
          <cell r="K403">
            <v>36668.44</v>
          </cell>
        </row>
        <row r="404">
          <cell r="A404" t="str">
            <v>CDG6 </v>
          </cell>
          <cell r="B404">
            <v>227</v>
          </cell>
          <cell r="C404" t="str">
            <v>Servi. socio assistenz. - Q. Saragozza                      </v>
          </cell>
          <cell r="D404">
            <v>5</v>
          </cell>
          <cell r="E404">
            <v>6974</v>
          </cell>
          <cell r="F404" t="str">
            <v>Q.RI AIUTO ALL'AUTONOMIA                                    </v>
          </cell>
          <cell r="G404">
            <v>0</v>
          </cell>
          <cell r="H404">
            <v>1291.14</v>
          </cell>
          <cell r="I404">
            <v>41316.55</v>
          </cell>
          <cell r="J404">
            <v>41317</v>
          </cell>
          <cell r="K404">
            <v>41316.55</v>
          </cell>
        </row>
        <row r="405">
          <cell r="A405" t="str">
            <v>CDG6 </v>
          </cell>
          <cell r="B405">
            <v>237</v>
          </cell>
          <cell r="C405" t="str">
            <v>Servi. socio assistenziali - Q. Savena                      </v>
          </cell>
          <cell r="D405">
            <v>5</v>
          </cell>
          <cell r="E405">
            <v>6974</v>
          </cell>
          <cell r="F405" t="str">
            <v>Q.RI AIUTO ALL'AUTONOMIA                                    </v>
          </cell>
          <cell r="G405">
            <v>0</v>
          </cell>
          <cell r="H405">
            <v>430.38</v>
          </cell>
          <cell r="I405">
            <v>20658.28</v>
          </cell>
          <cell r="J405">
            <v>20658</v>
          </cell>
          <cell r="K405">
            <v>20658.28</v>
          </cell>
        </row>
        <row r="406">
          <cell r="A406" t="str">
            <v>CDG6 </v>
          </cell>
          <cell r="B406">
            <v>167</v>
          </cell>
          <cell r="C406" t="str">
            <v>Servizi socio assistenziali - Q. Navile                     </v>
          </cell>
          <cell r="D406">
            <v>5</v>
          </cell>
          <cell r="E406">
            <v>6978</v>
          </cell>
          <cell r="F406" t="str">
            <v>Q.RI SERVIZI MINORI                                         </v>
          </cell>
          <cell r="G406">
            <v>0</v>
          </cell>
          <cell r="H406">
            <v>0</v>
          </cell>
          <cell r="I406">
            <v>42865.92</v>
          </cell>
          <cell r="J406">
            <v>0</v>
          </cell>
          <cell r="K406">
            <v>0</v>
          </cell>
        </row>
        <row r="407">
          <cell r="A407" t="str">
            <v>CDG6 </v>
          </cell>
          <cell r="B407">
            <v>197</v>
          </cell>
          <cell r="C407" t="str">
            <v>Servi. socio assistenz. - Q. San Donato                     </v>
          </cell>
          <cell r="D407">
            <v>5</v>
          </cell>
          <cell r="E407">
            <v>6978</v>
          </cell>
          <cell r="F407" t="str">
            <v>Q.RI SERVIZI MINORI                                         </v>
          </cell>
          <cell r="G407">
            <v>0</v>
          </cell>
          <cell r="H407">
            <v>0</v>
          </cell>
          <cell r="I407">
            <v>44931.75</v>
          </cell>
          <cell r="J407">
            <v>0</v>
          </cell>
          <cell r="K407">
            <v>0</v>
          </cell>
        </row>
        <row r="408">
          <cell r="A408" t="str">
            <v>CDG6 </v>
          </cell>
          <cell r="B408">
            <v>217</v>
          </cell>
          <cell r="C408" t="str">
            <v>Servi. socio assistenz. - Q. San Vitale                     </v>
          </cell>
          <cell r="D408">
            <v>5</v>
          </cell>
          <cell r="E408">
            <v>6978</v>
          </cell>
          <cell r="F408" t="str">
            <v>Q.RI SERVIZI MINORI                                         </v>
          </cell>
          <cell r="G408">
            <v>0</v>
          </cell>
          <cell r="H408">
            <v>0</v>
          </cell>
          <cell r="I408">
            <v>42142.88</v>
          </cell>
          <cell r="J408">
            <v>0</v>
          </cell>
          <cell r="K40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58"/>
  <sheetViews>
    <sheetView tabSelected="1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7109375" style="4" customWidth="1"/>
    <col min="2" max="2" width="5.00390625" style="4" customWidth="1"/>
    <col min="3" max="3" width="4.57421875" style="4" customWidth="1"/>
    <col min="4" max="4" width="46.7109375" style="5" customWidth="1"/>
    <col min="5" max="5" width="0.5625" style="0" customWidth="1"/>
    <col min="6" max="6" width="11.00390625" style="177" customWidth="1"/>
    <col min="7" max="7" width="10.8515625" style="177" customWidth="1"/>
    <col min="8" max="8" width="11.00390625" style="177" customWidth="1"/>
    <col min="9" max="9" width="10.8515625" style="177" customWidth="1"/>
    <col min="10" max="10" width="11.00390625" style="177" customWidth="1"/>
    <col min="11" max="11" width="10.8515625" style="177" customWidth="1"/>
    <col min="12" max="12" width="11.00390625" style="177" customWidth="1"/>
    <col min="13" max="13" width="10.8515625" style="177" customWidth="1"/>
    <col min="14" max="14" width="11.00390625" style="203" customWidth="1"/>
    <col min="15" max="15" width="10.8515625" style="71" customWidth="1"/>
    <col min="16" max="16" width="11.00390625" style="177" bestFit="1" customWidth="1"/>
    <col min="17" max="17" width="10.8515625" style="203" bestFit="1" customWidth="1"/>
    <col min="18" max="18" width="11.00390625" style="177" bestFit="1" customWidth="1"/>
    <col min="19" max="19" width="10.8515625" style="203" bestFit="1" customWidth="1"/>
    <col min="20" max="20" width="11.00390625" style="177" customWidth="1"/>
    <col min="21" max="21" width="10.8515625" style="203" customWidth="1"/>
    <col min="22" max="44" width="9.140625" style="71" customWidth="1"/>
  </cols>
  <sheetData>
    <row r="1" spans="1:44" s="3" customFormat="1" ht="20.25">
      <c r="A1" s="147" t="s">
        <v>190</v>
      </c>
      <c r="B1" s="4"/>
      <c r="C1" s="4"/>
      <c r="D1" s="5"/>
      <c r="E1"/>
      <c r="F1" s="177"/>
      <c r="G1" s="177"/>
      <c r="H1" s="177"/>
      <c r="I1" s="177"/>
      <c r="J1" s="177"/>
      <c r="K1" s="177"/>
      <c r="L1" s="177"/>
      <c r="M1" s="177"/>
      <c r="N1" s="203"/>
      <c r="O1" s="71"/>
      <c r="P1" s="177"/>
      <c r="Q1" s="203"/>
      <c r="R1" s="177"/>
      <c r="S1" s="203"/>
      <c r="T1" s="177"/>
      <c r="U1" s="203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</row>
    <row r="2" spans="1:44" s="3" customFormat="1" ht="15">
      <c r="A2" s="4"/>
      <c r="B2" s="4"/>
      <c r="C2" s="4"/>
      <c r="D2" s="5"/>
      <c r="E2"/>
      <c r="F2" s="177"/>
      <c r="G2" s="177"/>
      <c r="H2" s="210"/>
      <c r="I2" s="211"/>
      <c r="J2" s="210"/>
      <c r="K2" s="210"/>
      <c r="L2" s="210"/>
      <c r="M2" s="177"/>
      <c r="N2" s="203"/>
      <c r="O2" s="71"/>
      <c r="P2" s="177"/>
      <c r="Q2" s="203"/>
      <c r="R2" s="177"/>
      <c r="S2" s="203"/>
      <c r="T2" s="177"/>
      <c r="U2" s="203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</row>
    <row r="3" spans="1:44" s="3" customFormat="1" ht="21.75">
      <c r="A3" s="8"/>
      <c r="B3" s="8"/>
      <c r="C3" s="8"/>
      <c r="D3" s="9" t="s">
        <v>56</v>
      </c>
      <c r="E3"/>
      <c r="F3" s="177"/>
      <c r="G3" s="177"/>
      <c r="H3" s="210"/>
      <c r="I3" s="211"/>
      <c r="J3" s="212"/>
      <c r="K3" s="212"/>
      <c r="L3" s="212"/>
      <c r="M3" s="213"/>
      <c r="N3" s="214"/>
      <c r="O3" s="71"/>
      <c r="P3" s="178"/>
      <c r="Q3" s="203"/>
      <c r="R3" s="178"/>
      <c r="S3" s="203"/>
      <c r="T3" s="178"/>
      <c r="U3" s="203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</row>
    <row r="4" spans="1:44" s="3" customFormat="1" ht="12.75">
      <c r="A4" s="8"/>
      <c r="B4" s="8"/>
      <c r="C4" s="8"/>
      <c r="D4" s="11"/>
      <c r="E4"/>
      <c r="F4" s="177"/>
      <c r="G4" s="177"/>
      <c r="H4" s="177"/>
      <c r="I4" s="177"/>
      <c r="J4" s="177"/>
      <c r="K4" s="177"/>
      <c r="L4" s="177"/>
      <c r="M4" s="177"/>
      <c r="N4" s="203"/>
      <c r="O4" s="71"/>
      <c r="P4" s="177"/>
      <c r="Q4" s="203"/>
      <c r="R4" s="177"/>
      <c r="S4" s="203"/>
      <c r="T4" s="177"/>
      <c r="U4" s="203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</row>
    <row r="5" spans="1:44" s="3" customFormat="1" ht="12.75">
      <c r="A5" s="150" t="s">
        <v>161</v>
      </c>
      <c r="B5" s="12"/>
      <c r="C5" s="12"/>
      <c r="D5" s="13"/>
      <c r="E5"/>
      <c r="F5" s="177"/>
      <c r="G5" s="177"/>
      <c r="H5" s="177"/>
      <c r="I5" s="177"/>
      <c r="J5" s="177"/>
      <c r="K5" s="177"/>
      <c r="L5" s="177"/>
      <c r="M5" s="177"/>
      <c r="N5" s="203"/>
      <c r="O5" s="71"/>
      <c r="P5" s="177"/>
      <c r="Q5" s="203"/>
      <c r="R5" s="177"/>
      <c r="S5" s="203"/>
      <c r="T5" s="177"/>
      <c r="U5" s="203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</row>
    <row r="6" spans="1:44" s="3" customFormat="1" ht="12.75">
      <c r="A6" s="14"/>
      <c r="B6" s="21"/>
      <c r="C6" s="14"/>
      <c r="D6" s="14"/>
      <c r="E6"/>
      <c r="F6" s="247">
        <v>1997</v>
      </c>
      <c r="G6" s="248"/>
      <c r="H6" s="247">
        <v>1998</v>
      </c>
      <c r="I6" s="248"/>
      <c r="J6" s="247">
        <v>1999</v>
      </c>
      <c r="K6" s="248"/>
      <c r="L6" s="247">
        <v>2000</v>
      </c>
      <c r="M6" s="248"/>
      <c r="N6" s="247">
        <v>2001</v>
      </c>
      <c r="O6" s="249"/>
      <c r="P6" s="247">
        <v>2002</v>
      </c>
      <c r="Q6" s="249"/>
      <c r="R6" s="247">
        <v>2003</v>
      </c>
      <c r="S6" s="249"/>
      <c r="T6" s="247">
        <v>2004</v>
      </c>
      <c r="U6" s="249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</row>
    <row r="7" spans="1:44" s="3" customFormat="1" ht="12.75">
      <c r="A7" s="14"/>
      <c r="B7" s="14"/>
      <c r="C7" s="14"/>
      <c r="D7" s="14"/>
      <c r="E7"/>
      <c r="F7" s="215" t="s">
        <v>75</v>
      </c>
      <c r="G7" s="216"/>
      <c r="H7" s="215" t="s">
        <v>75</v>
      </c>
      <c r="I7" s="216"/>
      <c r="J7" s="215" t="s">
        <v>75</v>
      </c>
      <c r="K7" s="216"/>
      <c r="L7" s="215" t="s">
        <v>75</v>
      </c>
      <c r="M7" s="216"/>
      <c r="N7" s="313" t="s">
        <v>75</v>
      </c>
      <c r="O7" s="314"/>
      <c r="P7" s="313" t="s">
        <v>75</v>
      </c>
      <c r="Q7" s="314"/>
      <c r="R7" s="313" t="s">
        <v>75</v>
      </c>
      <c r="S7" s="314"/>
      <c r="T7" s="313" t="s">
        <v>75</v>
      </c>
      <c r="U7" s="314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</row>
    <row r="8" spans="1:44" s="3" customFormat="1" ht="12.75">
      <c r="A8" s="14"/>
      <c r="B8" s="14"/>
      <c r="C8" s="14"/>
      <c r="D8" s="14"/>
      <c r="E8"/>
      <c r="F8" s="179" t="s">
        <v>60</v>
      </c>
      <c r="G8" s="179" t="s">
        <v>160</v>
      </c>
      <c r="H8" s="179" t="s">
        <v>60</v>
      </c>
      <c r="I8" s="179" t="s">
        <v>160</v>
      </c>
      <c r="J8" s="179" t="s">
        <v>60</v>
      </c>
      <c r="K8" s="179" t="s">
        <v>160</v>
      </c>
      <c r="L8" s="179" t="s">
        <v>60</v>
      </c>
      <c r="M8" s="179" t="s">
        <v>160</v>
      </c>
      <c r="N8" s="179" t="s">
        <v>60</v>
      </c>
      <c r="O8" s="179" t="s">
        <v>160</v>
      </c>
      <c r="P8" s="179" t="s">
        <v>60</v>
      </c>
      <c r="Q8" s="179" t="s">
        <v>160</v>
      </c>
      <c r="R8" s="179" t="s">
        <v>60</v>
      </c>
      <c r="S8" s="179" t="s">
        <v>160</v>
      </c>
      <c r="T8" s="179" t="s">
        <v>60</v>
      </c>
      <c r="U8" s="179" t="s">
        <v>160</v>
      </c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</row>
    <row r="9" spans="1:44" s="3" customFormat="1" ht="12.75">
      <c r="A9" s="267" t="s">
        <v>0</v>
      </c>
      <c r="B9" s="268"/>
      <c r="C9" s="268"/>
      <c r="D9" s="269"/>
      <c r="E9" s="48"/>
      <c r="F9" s="180">
        <f aca="true" t="shared" si="0" ref="F9:S9">SUM(F10:F11)</f>
        <v>3</v>
      </c>
      <c r="G9" s="180">
        <f t="shared" si="0"/>
        <v>0</v>
      </c>
      <c r="H9" s="180">
        <f t="shared" si="0"/>
        <v>5</v>
      </c>
      <c r="I9" s="180">
        <f t="shared" si="0"/>
        <v>0</v>
      </c>
      <c r="J9" s="180">
        <f t="shared" si="0"/>
        <v>2</v>
      </c>
      <c r="K9" s="180">
        <f t="shared" si="0"/>
        <v>0</v>
      </c>
      <c r="L9" s="180">
        <f t="shared" si="0"/>
        <v>5</v>
      </c>
      <c r="M9" s="180">
        <f t="shared" si="0"/>
        <v>0</v>
      </c>
      <c r="N9" s="180">
        <f t="shared" si="0"/>
        <v>56</v>
      </c>
      <c r="O9" s="180">
        <f t="shared" si="0"/>
        <v>0</v>
      </c>
      <c r="P9" s="180">
        <f t="shared" si="0"/>
        <v>168</v>
      </c>
      <c r="Q9" s="180">
        <f t="shared" si="0"/>
        <v>0</v>
      </c>
      <c r="R9" s="180">
        <f t="shared" si="0"/>
        <v>199</v>
      </c>
      <c r="S9" s="180">
        <f t="shared" si="0"/>
        <v>0</v>
      </c>
      <c r="T9" s="180">
        <f>SUM(T10:T11)</f>
        <v>86</v>
      </c>
      <c r="U9" s="180">
        <f>SUM(U10:U11)</f>
        <v>0</v>
      </c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</row>
    <row r="10" spans="1:44" s="3" customFormat="1" ht="12.75">
      <c r="A10" s="17"/>
      <c r="B10" s="10" t="s">
        <v>0</v>
      </c>
      <c r="C10" s="38"/>
      <c r="D10" s="39"/>
      <c r="E10" s="38"/>
      <c r="F10" s="154">
        <v>3</v>
      </c>
      <c r="G10" s="152"/>
      <c r="H10" s="154">
        <v>5</v>
      </c>
      <c r="I10" s="152"/>
      <c r="J10" s="154">
        <v>2</v>
      </c>
      <c r="K10" s="152"/>
      <c r="L10" s="154">
        <f>ROUND((10/1936.27)*1000,0)</f>
        <v>5</v>
      </c>
      <c r="M10" s="152"/>
      <c r="N10" s="154">
        <v>56</v>
      </c>
      <c r="O10" s="152"/>
      <c r="P10" s="154">
        <v>80</v>
      </c>
      <c r="Q10" s="152"/>
      <c r="R10" s="154">
        <v>44</v>
      </c>
      <c r="S10" s="152"/>
      <c r="T10" s="154">
        <v>31</v>
      </c>
      <c r="U10" s="152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</row>
    <row r="11" spans="1:44" s="3" customFormat="1" ht="12.75">
      <c r="A11" s="68"/>
      <c r="B11" s="56" t="s">
        <v>87</v>
      </c>
      <c r="C11" s="56"/>
      <c r="D11" s="69"/>
      <c r="F11" s="151"/>
      <c r="G11" s="145"/>
      <c r="H11" s="151"/>
      <c r="I11" s="145"/>
      <c r="J11" s="151"/>
      <c r="K11" s="145"/>
      <c r="L11" s="154"/>
      <c r="M11" s="145"/>
      <c r="N11" s="151"/>
      <c r="O11" s="145"/>
      <c r="P11" s="151">
        <v>88</v>
      </c>
      <c r="Q11" s="145"/>
      <c r="R11" s="151">
        <v>155</v>
      </c>
      <c r="S11" s="145"/>
      <c r="T11" s="151">
        <v>55</v>
      </c>
      <c r="U11" s="145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</row>
    <row r="12" spans="1:44" s="3" customFormat="1" ht="12.75">
      <c r="A12" s="267" t="s">
        <v>1</v>
      </c>
      <c r="B12" s="268"/>
      <c r="C12" s="268"/>
      <c r="D12" s="269"/>
      <c r="E12" s="49"/>
      <c r="F12" s="180">
        <f aca="true" t="shared" si="1" ref="F12:S12">SUM(F13:F17)</f>
        <v>1741</v>
      </c>
      <c r="G12" s="180">
        <f t="shared" si="1"/>
        <v>584</v>
      </c>
      <c r="H12" s="180">
        <f t="shared" si="1"/>
        <v>2000</v>
      </c>
      <c r="I12" s="180">
        <f t="shared" si="1"/>
        <v>622</v>
      </c>
      <c r="J12" s="180">
        <f t="shared" si="1"/>
        <v>2659</v>
      </c>
      <c r="K12" s="180">
        <f t="shared" si="1"/>
        <v>1408</v>
      </c>
      <c r="L12" s="180">
        <f t="shared" si="1"/>
        <v>2867</v>
      </c>
      <c r="M12" s="180">
        <f t="shared" si="1"/>
        <v>1697</v>
      </c>
      <c r="N12" s="180">
        <f t="shared" si="1"/>
        <v>3158</v>
      </c>
      <c r="O12" s="180">
        <f t="shared" si="1"/>
        <v>1411</v>
      </c>
      <c r="P12" s="180">
        <f t="shared" si="1"/>
        <v>2821</v>
      </c>
      <c r="Q12" s="180">
        <f t="shared" si="1"/>
        <v>1287</v>
      </c>
      <c r="R12" s="180">
        <f t="shared" si="1"/>
        <v>2643</v>
      </c>
      <c r="S12" s="180">
        <f t="shared" si="1"/>
        <v>1143</v>
      </c>
      <c r="T12" s="180">
        <f>SUM(T13:T17)</f>
        <v>3146</v>
      </c>
      <c r="U12" s="180">
        <f>SUM(U13:U17)</f>
        <v>1819</v>
      </c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</row>
    <row r="13" spans="1:44" s="3" customFormat="1" ht="12.75">
      <c r="A13" s="70"/>
      <c r="B13" s="56" t="s">
        <v>105</v>
      </c>
      <c r="C13" s="56"/>
      <c r="D13" s="69"/>
      <c r="F13" s="143">
        <v>716</v>
      </c>
      <c r="G13" s="144"/>
      <c r="H13" s="151">
        <v>692</v>
      </c>
      <c r="I13" s="145"/>
      <c r="J13" s="143">
        <v>568</v>
      </c>
      <c r="K13" s="144"/>
      <c r="L13" s="154">
        <f>ROUND((976/1936.27)*1000,0)</f>
        <v>504</v>
      </c>
      <c r="M13" s="145"/>
      <c r="N13" s="151">
        <v>817</v>
      </c>
      <c r="O13" s="145"/>
      <c r="P13" s="151">
        <v>537</v>
      </c>
      <c r="Q13" s="145"/>
      <c r="R13" s="151">
        <v>321</v>
      </c>
      <c r="S13" s="145"/>
      <c r="T13" s="151">
        <v>186</v>
      </c>
      <c r="U13" s="145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</row>
    <row r="14" spans="1:44" s="3" customFormat="1" ht="12.75">
      <c r="A14" s="70"/>
      <c r="B14" s="55" t="s">
        <v>117</v>
      </c>
      <c r="C14" s="58"/>
      <c r="D14" s="81"/>
      <c r="E14" s="82"/>
      <c r="F14" s="143">
        <f>309+507</f>
        <v>816</v>
      </c>
      <c r="G14" s="144">
        <f>114+470</f>
        <v>584</v>
      </c>
      <c r="H14" s="143">
        <f>213+656</f>
        <v>869</v>
      </c>
      <c r="I14" s="144">
        <f>2+620</f>
        <v>622</v>
      </c>
      <c r="J14" s="143">
        <f>334+1332</f>
        <v>1666</v>
      </c>
      <c r="K14" s="144">
        <f>109+1299</f>
        <v>1408</v>
      </c>
      <c r="L14" s="154">
        <v>1975</v>
      </c>
      <c r="M14" s="145">
        <v>1697</v>
      </c>
      <c r="N14" s="151">
        <v>1644</v>
      </c>
      <c r="O14" s="145">
        <v>1411</v>
      </c>
      <c r="P14" s="151">
        <v>1518</v>
      </c>
      <c r="Q14" s="145">
        <v>1287</v>
      </c>
      <c r="R14" s="151">
        <v>1414</v>
      </c>
      <c r="S14" s="145">
        <v>1143</v>
      </c>
      <c r="T14" s="151">
        <v>2053</v>
      </c>
      <c r="U14" s="145">
        <v>1819</v>
      </c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</row>
    <row r="15" spans="1:44" s="3" customFormat="1" ht="12.75">
      <c r="A15" s="70"/>
      <c r="B15" s="56" t="s">
        <v>2</v>
      </c>
      <c r="C15" s="56"/>
      <c r="D15" s="69"/>
      <c r="F15" s="143">
        <v>209</v>
      </c>
      <c r="G15" s="144"/>
      <c r="H15" s="143">
        <v>439</v>
      </c>
      <c r="I15" s="144"/>
      <c r="J15" s="143">
        <v>290</v>
      </c>
      <c r="K15" s="144"/>
      <c r="L15" s="154">
        <f>ROUND((342/1936.27)*1000,0)</f>
        <v>177</v>
      </c>
      <c r="M15" s="145"/>
      <c r="N15" s="151">
        <v>315</v>
      </c>
      <c r="O15" s="145"/>
      <c r="P15" s="151">
        <v>318</v>
      </c>
      <c r="Q15" s="145"/>
      <c r="R15" s="151">
        <v>271</v>
      </c>
      <c r="S15" s="145"/>
      <c r="T15" s="151">
        <v>249</v>
      </c>
      <c r="U15" s="145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</row>
    <row r="16" spans="1:44" s="59" customFormat="1" ht="12.75">
      <c r="A16" s="24"/>
      <c r="B16" s="18" t="s">
        <v>3</v>
      </c>
      <c r="C16" s="18"/>
      <c r="D16" s="25"/>
      <c r="E16"/>
      <c r="F16" s="185"/>
      <c r="G16" s="207"/>
      <c r="H16" s="185"/>
      <c r="I16" s="207"/>
      <c r="J16" s="185">
        <v>135</v>
      </c>
      <c r="K16" s="207"/>
      <c r="L16" s="154">
        <f>ROUND((409/1936.27)*1000,0)</f>
        <v>211</v>
      </c>
      <c r="M16" s="152"/>
      <c r="N16" s="154">
        <v>382</v>
      </c>
      <c r="O16" s="152"/>
      <c r="P16" s="154">
        <v>234</v>
      </c>
      <c r="Q16" s="152"/>
      <c r="R16" s="154">
        <v>442</v>
      </c>
      <c r="S16" s="152"/>
      <c r="T16" s="154">
        <v>481</v>
      </c>
      <c r="U16" s="152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19"/>
      <c r="AO16" s="219"/>
      <c r="AP16" s="219"/>
      <c r="AQ16" s="219"/>
      <c r="AR16" s="219"/>
    </row>
    <row r="17" spans="1:44" s="59" customFormat="1" ht="12.75">
      <c r="A17" s="24"/>
      <c r="B17" s="18" t="s">
        <v>88</v>
      </c>
      <c r="C17" s="18"/>
      <c r="D17" s="25"/>
      <c r="E17"/>
      <c r="F17" s="185"/>
      <c r="G17" s="207"/>
      <c r="H17" s="185"/>
      <c r="I17" s="207"/>
      <c r="J17" s="185"/>
      <c r="K17" s="207"/>
      <c r="L17" s="154"/>
      <c r="M17" s="152"/>
      <c r="N17" s="154"/>
      <c r="O17" s="152"/>
      <c r="P17" s="154">
        <v>214</v>
      </c>
      <c r="Q17" s="152"/>
      <c r="R17" s="154">
        <v>195</v>
      </c>
      <c r="S17" s="152"/>
      <c r="T17" s="154">
        <v>177</v>
      </c>
      <c r="U17" s="152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219"/>
      <c r="AL17" s="219"/>
      <c r="AM17" s="219"/>
      <c r="AN17" s="219"/>
      <c r="AO17" s="219"/>
      <c r="AP17" s="219"/>
      <c r="AQ17" s="219"/>
      <c r="AR17" s="219"/>
    </row>
    <row r="18" spans="1:44" s="3" customFormat="1" ht="12.75">
      <c r="A18" s="267" t="s">
        <v>166</v>
      </c>
      <c r="B18" s="268"/>
      <c r="C18" s="268"/>
      <c r="D18" s="269"/>
      <c r="E18" s="49"/>
      <c r="F18" s="180">
        <v>688</v>
      </c>
      <c r="G18" s="180">
        <f>SUM(G19:G23)</f>
        <v>0</v>
      </c>
      <c r="H18" s="180">
        <v>737</v>
      </c>
      <c r="I18" s="180">
        <v>227</v>
      </c>
      <c r="J18" s="180">
        <v>1074</v>
      </c>
      <c r="K18" s="180">
        <v>300</v>
      </c>
      <c r="L18" s="180">
        <v>874</v>
      </c>
      <c r="M18" s="180">
        <v>350</v>
      </c>
      <c r="N18" s="180">
        <v>1068</v>
      </c>
      <c r="O18" s="180">
        <v>150</v>
      </c>
      <c r="P18" s="180">
        <f aca="true" t="shared" si="2" ref="P18:U18">SUM(P19:P23)</f>
        <v>1720</v>
      </c>
      <c r="Q18" s="180">
        <f t="shared" si="2"/>
        <v>294</v>
      </c>
      <c r="R18" s="180">
        <f t="shared" si="2"/>
        <v>1728</v>
      </c>
      <c r="S18" s="180">
        <f t="shared" si="2"/>
        <v>345</v>
      </c>
      <c r="T18" s="180">
        <f t="shared" si="2"/>
        <v>1391</v>
      </c>
      <c r="U18" s="180">
        <f t="shared" si="2"/>
        <v>157</v>
      </c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</row>
    <row r="19" spans="1:44" s="59" customFormat="1" ht="12.75">
      <c r="A19" s="24"/>
      <c r="B19" s="56" t="s">
        <v>9</v>
      </c>
      <c r="D19" s="34"/>
      <c r="E19"/>
      <c r="F19" s="151"/>
      <c r="G19" s="145"/>
      <c r="H19" s="151"/>
      <c r="I19" s="145"/>
      <c r="J19" s="143"/>
      <c r="K19" s="144"/>
      <c r="L19" s="154"/>
      <c r="M19" s="145"/>
      <c r="N19" s="151"/>
      <c r="O19" s="145"/>
      <c r="P19" s="151">
        <v>222</v>
      </c>
      <c r="Q19" s="145"/>
      <c r="R19" s="151">
        <v>45</v>
      </c>
      <c r="S19" s="145"/>
      <c r="T19" s="151">
        <v>123</v>
      </c>
      <c r="U19" s="145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19"/>
      <c r="AR19" s="219"/>
    </row>
    <row r="20" spans="1:44" s="59" customFormat="1" ht="12.75">
      <c r="A20" s="24"/>
      <c r="B20" s="56" t="s">
        <v>153</v>
      </c>
      <c r="D20" s="34"/>
      <c r="E20"/>
      <c r="F20" s="151"/>
      <c r="G20" s="145"/>
      <c r="H20" s="151"/>
      <c r="I20" s="145"/>
      <c r="J20" s="143"/>
      <c r="K20" s="144"/>
      <c r="L20" s="154"/>
      <c r="M20" s="145"/>
      <c r="N20" s="151"/>
      <c r="O20" s="145"/>
      <c r="P20" s="151">
        <v>238</v>
      </c>
      <c r="Q20" s="145">
        <v>48</v>
      </c>
      <c r="R20" s="151">
        <v>437</v>
      </c>
      <c r="S20" s="145">
        <v>6</v>
      </c>
      <c r="T20" s="151">
        <v>374</v>
      </c>
      <c r="U20" s="145">
        <v>10</v>
      </c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</row>
    <row r="21" spans="1:44" s="59" customFormat="1" ht="12.75">
      <c r="A21" s="24"/>
      <c r="B21" s="56" t="s">
        <v>154</v>
      </c>
      <c r="D21" s="34"/>
      <c r="E21"/>
      <c r="F21" s="151"/>
      <c r="G21" s="145"/>
      <c r="H21" s="151"/>
      <c r="I21" s="145"/>
      <c r="J21" s="143"/>
      <c r="K21" s="144"/>
      <c r="L21" s="154"/>
      <c r="M21" s="145"/>
      <c r="N21" s="151"/>
      <c r="O21" s="145"/>
      <c r="P21" s="151">
        <v>479</v>
      </c>
      <c r="Q21" s="145"/>
      <c r="R21" s="151">
        <v>393</v>
      </c>
      <c r="S21" s="145"/>
      <c r="T21" s="151">
        <v>256</v>
      </c>
      <c r="U21" s="145"/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</row>
    <row r="22" spans="1:44" s="59" customFormat="1" ht="12.75">
      <c r="A22" s="24"/>
      <c r="B22" s="56" t="s">
        <v>155</v>
      </c>
      <c r="D22" s="34"/>
      <c r="E22"/>
      <c r="F22" s="151"/>
      <c r="G22" s="145"/>
      <c r="H22" s="151"/>
      <c r="I22" s="145"/>
      <c r="J22" s="143"/>
      <c r="K22" s="144"/>
      <c r="L22" s="154"/>
      <c r="M22" s="145"/>
      <c r="N22" s="151"/>
      <c r="O22" s="145"/>
      <c r="P22" s="151">
        <v>85</v>
      </c>
      <c r="Q22" s="145">
        <v>33</v>
      </c>
      <c r="R22" s="151">
        <v>69</v>
      </c>
      <c r="S22" s="145"/>
      <c r="T22" s="151"/>
      <c r="U22" s="145"/>
      <c r="V22" s="219"/>
      <c r="W22" s="219"/>
      <c r="X22" s="219"/>
      <c r="Y22" s="219"/>
      <c r="Z22" s="219"/>
      <c r="AA22" s="219"/>
      <c r="AB22" s="219"/>
      <c r="AC22" s="219"/>
      <c r="AD22" s="219"/>
      <c r="AE22" s="219"/>
      <c r="AF22" s="219"/>
      <c r="AG22" s="219"/>
      <c r="AH22" s="219"/>
      <c r="AI22" s="219"/>
      <c r="AJ22" s="219"/>
      <c r="AK22" s="219"/>
      <c r="AL22" s="219"/>
      <c r="AM22" s="219"/>
      <c r="AN22" s="219"/>
      <c r="AO22" s="219"/>
      <c r="AP22" s="219"/>
      <c r="AQ22" s="219"/>
      <c r="AR22" s="219"/>
    </row>
    <row r="23" spans="1:44" s="59" customFormat="1" ht="12.75">
      <c r="A23" s="24"/>
      <c r="B23" s="56" t="s">
        <v>156</v>
      </c>
      <c r="D23" s="34"/>
      <c r="E23"/>
      <c r="F23" s="151"/>
      <c r="G23" s="145"/>
      <c r="H23" s="151"/>
      <c r="I23" s="145"/>
      <c r="J23" s="143"/>
      <c r="K23" s="144"/>
      <c r="L23" s="154"/>
      <c r="M23" s="145"/>
      <c r="N23" s="151"/>
      <c r="O23" s="145"/>
      <c r="P23" s="151">
        <v>696</v>
      </c>
      <c r="Q23" s="145">
        <v>213</v>
      </c>
      <c r="R23" s="151">
        <v>784</v>
      </c>
      <c r="S23" s="145">
        <v>339</v>
      </c>
      <c r="T23" s="151">
        <v>638</v>
      </c>
      <c r="U23" s="145">
        <v>147</v>
      </c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O23" s="219"/>
      <c r="AP23" s="219"/>
      <c r="AQ23" s="219"/>
      <c r="AR23" s="219"/>
    </row>
    <row r="24" spans="1:44" s="3" customFormat="1" ht="12.75">
      <c r="A24" s="267" t="s">
        <v>4</v>
      </c>
      <c r="B24" s="268"/>
      <c r="C24" s="268"/>
      <c r="D24" s="269"/>
      <c r="E24" s="49"/>
      <c r="F24" s="183">
        <v>303</v>
      </c>
      <c r="G24" s="221">
        <v>0</v>
      </c>
      <c r="H24" s="183">
        <v>334</v>
      </c>
      <c r="I24" s="221">
        <v>0</v>
      </c>
      <c r="J24" s="206">
        <v>315</v>
      </c>
      <c r="K24" s="205">
        <v>0</v>
      </c>
      <c r="L24" s="206">
        <f>ROUND((699/1936.27)*1000,0)</f>
        <v>361</v>
      </c>
      <c r="M24" s="205">
        <v>0</v>
      </c>
      <c r="N24" s="183">
        <v>339</v>
      </c>
      <c r="O24" s="205">
        <v>0</v>
      </c>
      <c r="P24" s="183">
        <v>265</v>
      </c>
      <c r="Q24" s="205">
        <v>0</v>
      </c>
      <c r="R24" s="183">
        <v>250</v>
      </c>
      <c r="S24" s="205">
        <v>0</v>
      </c>
      <c r="T24" s="183">
        <v>359</v>
      </c>
      <c r="U24" s="205">
        <v>0</v>
      </c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</row>
    <row r="25" spans="1:44" s="3" customFormat="1" ht="12.75">
      <c r="A25" s="267" t="s">
        <v>165</v>
      </c>
      <c r="B25" s="268"/>
      <c r="C25" s="268"/>
      <c r="D25" s="269"/>
      <c r="E25" s="49"/>
      <c r="F25" s="183">
        <v>468</v>
      </c>
      <c r="G25" s="221"/>
      <c r="H25" s="183">
        <v>159</v>
      </c>
      <c r="I25" s="221"/>
      <c r="J25" s="206">
        <v>258</v>
      </c>
      <c r="K25" s="205"/>
      <c r="L25" s="206">
        <f>ROUND((291/1936.27)*1000,0)</f>
        <v>150</v>
      </c>
      <c r="M25" s="205"/>
      <c r="N25" s="183">
        <v>127</v>
      </c>
      <c r="O25" s="205"/>
      <c r="P25" s="183">
        <v>73</v>
      </c>
      <c r="Q25" s="205"/>
      <c r="R25" s="183">
        <v>71</v>
      </c>
      <c r="S25" s="205"/>
      <c r="T25" s="183">
        <v>124</v>
      </c>
      <c r="U25" s="205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</row>
    <row r="26" spans="1:44" s="3" customFormat="1" ht="12.75">
      <c r="A26" s="267" t="s">
        <v>106</v>
      </c>
      <c r="B26" s="268"/>
      <c r="C26" s="268"/>
      <c r="D26" s="269"/>
      <c r="E26" s="49"/>
      <c r="F26" s="183">
        <v>187</v>
      </c>
      <c r="G26" s="183">
        <v>0</v>
      </c>
      <c r="H26" s="183">
        <v>278</v>
      </c>
      <c r="I26" s="183">
        <v>0</v>
      </c>
      <c r="J26" s="206">
        <v>315</v>
      </c>
      <c r="K26" s="206">
        <v>0</v>
      </c>
      <c r="L26" s="206">
        <f>ROUND((440/1936.27)*1000,0)</f>
        <v>227</v>
      </c>
      <c r="M26" s="206">
        <v>0</v>
      </c>
      <c r="N26" s="183">
        <v>239</v>
      </c>
      <c r="O26" s="206">
        <v>0</v>
      </c>
      <c r="P26" s="183">
        <v>280</v>
      </c>
      <c r="Q26" s="206">
        <v>0</v>
      </c>
      <c r="R26" s="183">
        <v>265</v>
      </c>
      <c r="S26" s="206">
        <v>0</v>
      </c>
      <c r="T26" s="183">
        <v>215</v>
      </c>
      <c r="U26" s="206">
        <v>0</v>
      </c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</row>
    <row r="27" spans="1:44" s="3" customFormat="1" ht="12.75">
      <c r="A27" s="267" t="s">
        <v>107</v>
      </c>
      <c r="B27" s="268"/>
      <c r="C27" s="268"/>
      <c r="D27" s="269"/>
      <c r="E27" s="49"/>
      <c r="F27" s="183"/>
      <c r="G27" s="183"/>
      <c r="H27" s="183"/>
      <c r="I27" s="183"/>
      <c r="J27" s="206"/>
      <c r="K27" s="206"/>
      <c r="L27" s="206">
        <f>ROUND((484/1936.27)*1000,0)</f>
        <v>250</v>
      </c>
      <c r="M27" s="206">
        <v>0</v>
      </c>
      <c r="N27" s="183">
        <f>851+23</f>
        <v>874</v>
      </c>
      <c r="O27" s="206">
        <v>0</v>
      </c>
      <c r="P27" s="183">
        <v>810</v>
      </c>
      <c r="Q27" s="206">
        <v>0</v>
      </c>
      <c r="R27" s="183">
        <v>916</v>
      </c>
      <c r="S27" s="206">
        <v>0</v>
      </c>
      <c r="T27" s="183">
        <v>844</v>
      </c>
      <c r="U27" s="206">
        <v>0</v>
      </c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</row>
    <row r="28" spans="1:44" s="3" customFormat="1" ht="12.75">
      <c r="A28" s="267" t="s">
        <v>167</v>
      </c>
      <c r="B28" s="268"/>
      <c r="C28" s="268"/>
      <c r="D28" s="269"/>
      <c r="E28" s="49"/>
      <c r="F28" s="183"/>
      <c r="G28" s="183"/>
      <c r="H28" s="183"/>
      <c r="I28" s="183"/>
      <c r="J28" s="206"/>
      <c r="K28" s="206"/>
      <c r="L28" s="206"/>
      <c r="M28" s="206"/>
      <c r="N28" s="183"/>
      <c r="O28" s="206"/>
      <c r="P28" s="183"/>
      <c r="Q28" s="206"/>
      <c r="R28" s="183"/>
      <c r="S28" s="206"/>
      <c r="T28" s="183">
        <v>35</v>
      </c>
      <c r="U28" s="20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</row>
    <row r="29" spans="1:44" s="3" customFormat="1" ht="12.75">
      <c r="A29" s="267" t="s">
        <v>169</v>
      </c>
      <c r="B29" s="268"/>
      <c r="C29" s="268"/>
      <c r="D29" s="269"/>
      <c r="E29" s="49"/>
      <c r="F29" s="183"/>
      <c r="G29" s="183"/>
      <c r="H29" s="183"/>
      <c r="I29" s="183"/>
      <c r="J29" s="206"/>
      <c r="K29" s="206"/>
      <c r="L29" s="206"/>
      <c r="M29" s="206"/>
      <c r="N29" s="183"/>
      <c r="O29" s="206"/>
      <c r="P29" s="183"/>
      <c r="Q29" s="206"/>
      <c r="R29" s="183"/>
      <c r="S29" s="206"/>
      <c r="T29" s="183">
        <v>7</v>
      </c>
      <c r="U29" s="20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</row>
    <row r="30" spans="1:44" s="3" customFormat="1" ht="12.75">
      <c r="A30" s="286" t="s">
        <v>168</v>
      </c>
      <c r="B30" s="268"/>
      <c r="C30" s="268"/>
      <c r="D30" s="269"/>
      <c r="E30" s="49"/>
      <c r="F30" s="184">
        <f aca="true" t="shared" si="3" ref="F30:S30">SUM(F31:F35)</f>
        <v>784</v>
      </c>
      <c r="G30" s="184">
        <f t="shared" si="3"/>
        <v>0</v>
      </c>
      <c r="H30" s="184">
        <f t="shared" si="3"/>
        <v>722</v>
      </c>
      <c r="I30" s="184">
        <f t="shared" si="3"/>
        <v>0</v>
      </c>
      <c r="J30" s="184">
        <f t="shared" si="3"/>
        <v>1040</v>
      </c>
      <c r="K30" s="184">
        <f t="shared" si="3"/>
        <v>41</v>
      </c>
      <c r="L30" s="184">
        <f t="shared" si="3"/>
        <v>1202</v>
      </c>
      <c r="M30" s="184">
        <f t="shared" si="3"/>
        <v>8</v>
      </c>
      <c r="N30" s="184">
        <f t="shared" si="3"/>
        <v>1101</v>
      </c>
      <c r="O30" s="184">
        <f t="shared" si="3"/>
        <v>0</v>
      </c>
      <c r="P30" s="184">
        <f t="shared" si="3"/>
        <v>744</v>
      </c>
      <c r="Q30" s="184">
        <f t="shared" si="3"/>
        <v>7</v>
      </c>
      <c r="R30" s="184">
        <f t="shared" si="3"/>
        <v>227</v>
      </c>
      <c r="S30" s="184">
        <f t="shared" si="3"/>
        <v>7</v>
      </c>
      <c r="T30" s="184">
        <f>SUM(T31:T35)</f>
        <v>381</v>
      </c>
      <c r="U30" s="184">
        <f>SUM(U31:U35)</f>
        <v>9</v>
      </c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</row>
    <row r="31" spans="1:44" s="3" customFormat="1" ht="12.75">
      <c r="A31" s="68"/>
      <c r="B31" s="56" t="s">
        <v>6</v>
      </c>
      <c r="C31" s="56"/>
      <c r="D31" s="69"/>
      <c r="F31" s="151">
        <v>199</v>
      </c>
      <c r="G31" s="145"/>
      <c r="H31" s="151">
        <v>154</v>
      </c>
      <c r="I31" s="145"/>
      <c r="J31" s="151">
        <v>200</v>
      </c>
      <c r="K31" s="145"/>
      <c r="L31" s="154">
        <f>ROUND((153/1936.27)*1000,0)</f>
        <v>79</v>
      </c>
      <c r="M31" s="145"/>
      <c r="N31" s="151">
        <v>98</v>
      </c>
      <c r="O31" s="145"/>
      <c r="P31" s="151">
        <v>44</v>
      </c>
      <c r="Q31" s="145"/>
      <c r="R31" s="151">
        <v>36</v>
      </c>
      <c r="S31" s="145"/>
      <c r="T31" s="151">
        <v>39</v>
      </c>
      <c r="U31" s="145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</row>
    <row r="32" spans="1:44" s="3" customFormat="1" ht="12.75">
      <c r="A32" s="68"/>
      <c r="B32" s="58" t="s">
        <v>7</v>
      </c>
      <c r="C32" s="56"/>
      <c r="D32" s="69"/>
      <c r="F32" s="181">
        <v>4</v>
      </c>
      <c r="G32" s="222"/>
      <c r="H32" s="181">
        <v>10</v>
      </c>
      <c r="I32" s="222"/>
      <c r="J32" s="181">
        <v>65</v>
      </c>
      <c r="K32" s="222">
        <v>41</v>
      </c>
      <c r="L32" s="223">
        <f>ROUND((45/1936.27)*1000,0)</f>
        <v>23</v>
      </c>
      <c r="M32" s="145"/>
      <c r="N32" s="151"/>
      <c r="O32" s="145"/>
      <c r="P32" s="151"/>
      <c r="Q32" s="145"/>
      <c r="R32" s="151"/>
      <c r="S32" s="145"/>
      <c r="T32" s="151"/>
      <c r="U32" s="145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</row>
    <row r="33" spans="1:44" s="3" customFormat="1" ht="12.75">
      <c r="A33" s="68"/>
      <c r="B33" s="58" t="s">
        <v>108</v>
      </c>
      <c r="C33" s="58"/>
      <c r="D33" s="81"/>
      <c r="E33" s="82"/>
      <c r="F33" s="181">
        <v>144</v>
      </c>
      <c r="G33" s="222"/>
      <c r="H33" s="181">
        <v>103</v>
      </c>
      <c r="I33" s="222"/>
      <c r="J33" s="181">
        <v>96</v>
      </c>
      <c r="K33" s="222"/>
      <c r="L33" s="223"/>
      <c r="M33" s="145"/>
      <c r="N33" s="181"/>
      <c r="O33" s="145"/>
      <c r="P33" s="181"/>
      <c r="Q33" s="145"/>
      <c r="R33" s="181"/>
      <c r="S33" s="145"/>
      <c r="T33" s="181"/>
      <c r="U33" s="145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</row>
    <row r="34" spans="1:44" s="3" customFormat="1" ht="12.75">
      <c r="A34" s="68"/>
      <c r="B34" s="56" t="s">
        <v>122</v>
      </c>
      <c r="C34" s="56"/>
      <c r="D34" s="69"/>
      <c r="F34" s="151">
        <v>98</v>
      </c>
      <c r="G34" s="145"/>
      <c r="H34" s="151">
        <v>223</v>
      </c>
      <c r="I34" s="145"/>
      <c r="J34" s="151">
        <v>139</v>
      </c>
      <c r="K34" s="145"/>
      <c r="L34" s="154">
        <f>ROUND((258/1936.27)*1000,0)</f>
        <v>133</v>
      </c>
      <c r="M34" s="145"/>
      <c r="N34" s="151">
        <v>127</v>
      </c>
      <c r="O34" s="145"/>
      <c r="P34" s="151">
        <v>116</v>
      </c>
      <c r="Q34" s="145"/>
      <c r="R34" s="151">
        <v>131</v>
      </c>
      <c r="S34" s="145"/>
      <c r="T34" s="151">
        <v>83</v>
      </c>
      <c r="U34" s="145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</row>
    <row r="35" spans="1:44" s="3" customFormat="1" ht="12.75">
      <c r="A35" s="68"/>
      <c r="B35" s="56" t="s">
        <v>89</v>
      </c>
      <c r="C35" s="56"/>
      <c r="D35" s="69"/>
      <c r="F35" s="187">
        <v>339</v>
      </c>
      <c r="G35" s="220">
        <v>0</v>
      </c>
      <c r="H35" s="187">
        <v>232</v>
      </c>
      <c r="I35" s="220">
        <v>0</v>
      </c>
      <c r="J35" s="187">
        <v>540</v>
      </c>
      <c r="K35" s="220">
        <v>0</v>
      </c>
      <c r="L35" s="187">
        <f>ROUND((1872/1936.27)*1000,0)</f>
        <v>967</v>
      </c>
      <c r="M35" s="220">
        <f>ROUND(16000/1936.27,0)</f>
        <v>8</v>
      </c>
      <c r="N35" s="187">
        <v>876</v>
      </c>
      <c r="O35" s="220">
        <v>0</v>
      </c>
      <c r="P35" s="187">
        <v>584</v>
      </c>
      <c r="Q35" s="220">
        <v>7</v>
      </c>
      <c r="R35" s="187">
        <v>60</v>
      </c>
      <c r="S35" s="220">
        <v>7</v>
      </c>
      <c r="T35" s="187">
        <v>259</v>
      </c>
      <c r="U35" s="220">
        <v>9</v>
      </c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</row>
    <row r="36" spans="1:44" s="3" customFormat="1" ht="12.75">
      <c r="A36" s="299" t="s">
        <v>170</v>
      </c>
      <c r="B36" s="278"/>
      <c r="C36" s="278"/>
      <c r="D36" s="279"/>
      <c r="E36" s="161"/>
      <c r="F36" s="189">
        <f>SUM(F37:F39)</f>
        <v>903</v>
      </c>
      <c r="G36" s="189">
        <f aca="true" t="shared" si="4" ref="G36:R36">SUM(G37:G39)</f>
        <v>0</v>
      </c>
      <c r="H36" s="189">
        <f t="shared" si="4"/>
        <v>1076</v>
      </c>
      <c r="I36" s="189">
        <f t="shared" si="4"/>
        <v>0</v>
      </c>
      <c r="J36" s="189">
        <f t="shared" si="4"/>
        <v>1106</v>
      </c>
      <c r="K36" s="189">
        <f t="shared" si="4"/>
        <v>0</v>
      </c>
      <c r="L36" s="189">
        <f t="shared" si="4"/>
        <v>1288</v>
      </c>
      <c r="M36" s="189">
        <f t="shared" si="4"/>
        <v>0</v>
      </c>
      <c r="N36" s="189">
        <f t="shared" si="4"/>
        <v>1604</v>
      </c>
      <c r="O36" s="189">
        <f t="shared" si="4"/>
        <v>0</v>
      </c>
      <c r="P36" s="189">
        <f t="shared" si="4"/>
        <v>2285</v>
      </c>
      <c r="Q36" s="189">
        <f t="shared" si="4"/>
        <v>0</v>
      </c>
      <c r="R36" s="189">
        <f t="shared" si="4"/>
        <v>3590</v>
      </c>
      <c r="S36" s="189">
        <f>SUM(S37:S39)</f>
        <v>0</v>
      </c>
      <c r="T36" s="189">
        <f>SUM(T37:T39)</f>
        <v>5007</v>
      </c>
      <c r="U36" s="189">
        <f>SUM(U37:U39)</f>
        <v>0</v>
      </c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</row>
    <row r="37" spans="1:44" s="3" customFormat="1" ht="12.75">
      <c r="A37" s="68"/>
      <c r="B37" s="271" t="s">
        <v>91</v>
      </c>
      <c r="C37" s="264"/>
      <c r="D37" s="265"/>
      <c r="F37" s="190">
        <v>41</v>
      </c>
      <c r="G37" s="236"/>
      <c r="H37" s="234">
        <v>132</v>
      </c>
      <c r="I37" s="209"/>
      <c r="J37" s="234">
        <v>150</v>
      </c>
      <c r="K37" s="233"/>
      <c r="L37" s="234">
        <v>162</v>
      </c>
      <c r="M37" s="152"/>
      <c r="N37" s="193">
        <v>169</v>
      </c>
      <c r="O37" s="152"/>
      <c r="P37" s="193">
        <v>244</v>
      </c>
      <c r="Q37" s="152"/>
      <c r="R37" s="193">
        <v>304</v>
      </c>
      <c r="S37" s="152"/>
      <c r="T37" s="193">
        <v>227</v>
      </c>
      <c r="U37" s="152"/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</row>
    <row r="38" spans="1:44" s="3" customFormat="1" ht="12.75">
      <c r="A38" s="68"/>
      <c r="B38" s="271" t="s">
        <v>92</v>
      </c>
      <c r="C38" s="264"/>
      <c r="D38" s="265"/>
      <c r="F38" s="190">
        <v>719</v>
      </c>
      <c r="G38" s="236"/>
      <c r="H38" s="234">
        <v>771</v>
      </c>
      <c r="I38" s="209"/>
      <c r="J38" s="234">
        <v>784</v>
      </c>
      <c r="K38" s="233"/>
      <c r="L38" s="234">
        <f>ROUND((1847/1936.27)*1000,0)</f>
        <v>954</v>
      </c>
      <c r="M38" s="152"/>
      <c r="N38" s="193">
        <v>1304</v>
      </c>
      <c r="O38" s="152"/>
      <c r="P38" s="193">
        <v>1852</v>
      </c>
      <c r="Q38" s="152"/>
      <c r="R38" s="193">
        <v>3046</v>
      </c>
      <c r="S38" s="152"/>
      <c r="T38" s="193">
        <v>4516</v>
      </c>
      <c r="U38" s="152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</row>
    <row r="39" spans="1:44" s="3" customFormat="1" ht="12.75">
      <c r="A39" s="95"/>
      <c r="B39" s="297" t="s">
        <v>171</v>
      </c>
      <c r="C39" s="273"/>
      <c r="D39" s="274"/>
      <c r="F39" s="192">
        <v>143</v>
      </c>
      <c r="G39" s="227"/>
      <c r="H39" s="192">
        <v>173</v>
      </c>
      <c r="I39" s="227"/>
      <c r="J39" s="192">
        <v>172</v>
      </c>
      <c r="K39" s="227"/>
      <c r="L39" s="198">
        <f>ROUND((334/1936.27)*1000,0)</f>
        <v>172</v>
      </c>
      <c r="M39" s="208"/>
      <c r="N39" s="192">
        <v>131</v>
      </c>
      <c r="O39" s="208"/>
      <c r="P39" s="192">
        <v>189</v>
      </c>
      <c r="Q39" s="208"/>
      <c r="R39" s="192">
        <v>240</v>
      </c>
      <c r="S39" s="208"/>
      <c r="T39" s="192">
        <v>264</v>
      </c>
      <c r="U39" s="208"/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6"/>
      <c r="AR39" s="176"/>
    </row>
    <row r="40" spans="1:44" s="3" customFormat="1" ht="12.75">
      <c r="A40" s="275" t="s">
        <v>8</v>
      </c>
      <c r="B40" s="276"/>
      <c r="C40" s="276"/>
      <c r="D40" s="277"/>
      <c r="E40" s="49"/>
      <c r="F40" s="186">
        <f aca="true" t="shared" si="5" ref="F40:S40">SUM(F41:F42)</f>
        <v>28</v>
      </c>
      <c r="G40" s="186">
        <f t="shared" si="5"/>
        <v>0</v>
      </c>
      <c r="H40" s="186">
        <f t="shared" si="5"/>
        <v>44</v>
      </c>
      <c r="I40" s="186">
        <f t="shared" si="5"/>
        <v>0</v>
      </c>
      <c r="J40" s="186">
        <f t="shared" si="5"/>
        <v>46</v>
      </c>
      <c r="K40" s="186">
        <f t="shared" si="5"/>
        <v>0</v>
      </c>
      <c r="L40" s="186">
        <f t="shared" si="5"/>
        <v>46</v>
      </c>
      <c r="M40" s="186">
        <f t="shared" si="5"/>
        <v>0</v>
      </c>
      <c r="N40" s="186">
        <f t="shared" si="5"/>
        <v>30</v>
      </c>
      <c r="O40" s="186">
        <f t="shared" si="5"/>
        <v>0</v>
      </c>
      <c r="P40" s="186">
        <f t="shared" si="5"/>
        <v>4</v>
      </c>
      <c r="Q40" s="186">
        <f t="shared" si="5"/>
        <v>0</v>
      </c>
      <c r="R40" s="186">
        <f t="shared" si="5"/>
        <v>26</v>
      </c>
      <c r="S40" s="186">
        <f t="shared" si="5"/>
        <v>0</v>
      </c>
      <c r="T40" s="186">
        <f>SUM(T41:T42)</f>
        <v>39</v>
      </c>
      <c r="U40" s="186">
        <f>SUM(U41:U42)</f>
        <v>0</v>
      </c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  <c r="AQ40" s="176"/>
      <c r="AR40" s="176"/>
    </row>
    <row r="41" spans="1:44" s="3" customFormat="1" ht="12.75">
      <c r="A41" s="65"/>
      <c r="B41" s="56" t="s">
        <v>9</v>
      </c>
      <c r="C41" s="66"/>
      <c r="D41" s="67"/>
      <c r="F41" s="143">
        <v>28</v>
      </c>
      <c r="G41" s="144"/>
      <c r="H41" s="151">
        <v>44</v>
      </c>
      <c r="I41" s="145"/>
      <c r="J41" s="143">
        <v>46</v>
      </c>
      <c r="K41" s="144"/>
      <c r="L41" s="154">
        <f>ROUND((90/1936.27)*1000,0)</f>
        <v>46</v>
      </c>
      <c r="M41" s="145"/>
      <c r="N41" s="151">
        <v>30</v>
      </c>
      <c r="O41" s="145"/>
      <c r="P41" s="151">
        <v>4</v>
      </c>
      <c r="Q41" s="145"/>
      <c r="R41" s="151">
        <v>20</v>
      </c>
      <c r="S41" s="145"/>
      <c r="T41" s="151"/>
      <c r="U41" s="145"/>
      <c r="V41" s="176"/>
      <c r="W41" s="176"/>
      <c r="X41" s="176"/>
      <c r="Y41" s="176"/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  <c r="AJ41" s="176"/>
      <c r="AK41" s="176"/>
      <c r="AL41" s="176"/>
      <c r="AM41" s="176"/>
      <c r="AN41" s="176"/>
      <c r="AO41" s="176"/>
      <c r="AP41" s="176"/>
      <c r="AQ41" s="176"/>
      <c r="AR41" s="176"/>
    </row>
    <row r="42" spans="1:44" s="3" customFormat="1" ht="12.75">
      <c r="A42" s="27"/>
      <c r="B42" s="18" t="s">
        <v>10</v>
      </c>
      <c r="C42" s="19"/>
      <c r="D42" s="20"/>
      <c r="E42"/>
      <c r="F42" s="187"/>
      <c r="G42" s="220"/>
      <c r="H42" s="187"/>
      <c r="I42" s="220"/>
      <c r="J42" s="187"/>
      <c r="K42" s="220"/>
      <c r="L42" s="182"/>
      <c r="M42" s="204"/>
      <c r="N42" s="182">
        <v>0</v>
      </c>
      <c r="O42" s="204"/>
      <c r="P42" s="182"/>
      <c r="Q42" s="204"/>
      <c r="R42" s="182">
        <v>6</v>
      </c>
      <c r="S42" s="204"/>
      <c r="T42" s="182">
        <v>39</v>
      </c>
      <c r="U42" s="204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</row>
    <row r="43" spans="1:44" s="3" customFormat="1" ht="12.75">
      <c r="A43" s="267" t="s">
        <v>21</v>
      </c>
      <c r="B43" s="268"/>
      <c r="C43" s="268"/>
      <c r="D43" s="269"/>
      <c r="E43" s="49"/>
      <c r="F43" s="184">
        <f>SUM(F44:F49)</f>
        <v>781</v>
      </c>
      <c r="G43" s="184">
        <f>SUM(G44:G49)</f>
        <v>0</v>
      </c>
      <c r="H43" s="184">
        <f>SUM(H44:H49)</f>
        <v>1120</v>
      </c>
      <c r="I43" s="184">
        <f>SUM(I44:I49)</f>
        <v>0</v>
      </c>
      <c r="J43" s="184">
        <f>SUM(J44:J49)-1</f>
        <v>1239</v>
      </c>
      <c r="K43" s="184">
        <f aca="true" t="shared" si="6" ref="K43:Q43">SUM(K44:K49)</f>
        <v>0</v>
      </c>
      <c r="L43" s="184">
        <f t="shared" si="6"/>
        <v>1008</v>
      </c>
      <c r="M43" s="184">
        <f t="shared" si="6"/>
        <v>0</v>
      </c>
      <c r="N43" s="184">
        <f t="shared" si="6"/>
        <v>1045</v>
      </c>
      <c r="O43" s="184">
        <f t="shared" si="6"/>
        <v>0</v>
      </c>
      <c r="P43" s="184">
        <f t="shared" si="6"/>
        <v>1063</v>
      </c>
      <c r="Q43" s="184">
        <f t="shared" si="6"/>
        <v>0</v>
      </c>
      <c r="R43" s="184">
        <f>SUM(R44:R49)</f>
        <v>983</v>
      </c>
      <c r="S43" s="184">
        <f>SUM(S44:S49)</f>
        <v>0</v>
      </c>
      <c r="T43" s="184">
        <f>SUM(T44:T49)</f>
        <v>900</v>
      </c>
      <c r="U43" s="184">
        <f>SUM(U44:U49)</f>
        <v>0</v>
      </c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  <c r="AP43" s="176"/>
      <c r="AQ43" s="176"/>
      <c r="AR43" s="176"/>
    </row>
    <row r="44" spans="1:44" s="3" customFormat="1" ht="12.75">
      <c r="A44" s="68"/>
      <c r="B44" s="56" t="s">
        <v>6</v>
      </c>
      <c r="C44" s="56"/>
      <c r="D44" s="69"/>
      <c r="F44" s="143">
        <v>306</v>
      </c>
      <c r="G44" s="144"/>
      <c r="H44" s="151">
        <v>382</v>
      </c>
      <c r="I44" s="145"/>
      <c r="J44" s="143">
        <f>445</f>
        <v>445</v>
      </c>
      <c r="K44" s="144"/>
      <c r="L44" s="154">
        <f>ROUND((515/1936.27)*1000,0)</f>
        <v>266</v>
      </c>
      <c r="M44" s="145"/>
      <c r="N44" s="143">
        <v>224</v>
      </c>
      <c r="O44" s="145"/>
      <c r="P44" s="143">
        <v>248</v>
      </c>
      <c r="Q44" s="145"/>
      <c r="R44" s="143">
        <v>343</v>
      </c>
      <c r="S44" s="145"/>
      <c r="T44" s="143">
        <v>99</v>
      </c>
      <c r="U44" s="145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</row>
    <row r="45" spans="1:44" s="3" customFormat="1" ht="12.75">
      <c r="A45" s="68"/>
      <c r="B45" s="56" t="s">
        <v>22</v>
      </c>
      <c r="C45" s="56"/>
      <c r="D45" s="69"/>
      <c r="F45" s="143">
        <v>25</v>
      </c>
      <c r="G45" s="144"/>
      <c r="H45" s="143">
        <v>28</v>
      </c>
      <c r="I45" s="144"/>
      <c r="J45" s="143">
        <v>5</v>
      </c>
      <c r="K45" s="144"/>
      <c r="L45" s="154">
        <f>ROUND((20/1936.27)*1000,0)</f>
        <v>10</v>
      </c>
      <c r="M45" s="145"/>
      <c r="N45" s="143">
        <v>23</v>
      </c>
      <c r="O45" s="145"/>
      <c r="P45" s="143">
        <v>22</v>
      </c>
      <c r="Q45" s="145"/>
      <c r="R45" s="143">
        <v>21</v>
      </c>
      <c r="S45" s="145"/>
      <c r="T45" s="143">
        <v>186</v>
      </c>
      <c r="U45" s="145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</row>
    <row r="46" spans="1:44" s="3" customFormat="1" ht="12.75">
      <c r="A46" s="68"/>
      <c r="B46" s="56" t="s">
        <v>61</v>
      </c>
      <c r="C46" s="56"/>
      <c r="D46" s="69"/>
      <c r="F46" s="143">
        <v>94</v>
      </c>
      <c r="G46" s="144"/>
      <c r="H46" s="143">
        <v>83</v>
      </c>
      <c r="I46" s="144"/>
      <c r="J46" s="143">
        <v>60</v>
      </c>
      <c r="K46" s="144"/>
      <c r="L46" s="154">
        <f>ROUND((80/1936.27)*1000,0)</f>
        <v>41</v>
      </c>
      <c r="M46" s="145"/>
      <c r="N46" s="143">
        <v>0</v>
      </c>
      <c r="O46" s="145"/>
      <c r="P46" s="143"/>
      <c r="Q46" s="145"/>
      <c r="R46" s="143"/>
      <c r="S46" s="145"/>
      <c r="T46" s="143"/>
      <c r="U46" s="145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  <c r="AO46" s="176"/>
      <c r="AP46" s="176"/>
      <c r="AQ46" s="176"/>
      <c r="AR46" s="176"/>
    </row>
    <row r="47" spans="1:44" s="3" customFormat="1" ht="12.75">
      <c r="A47" s="68"/>
      <c r="B47" s="56" t="s">
        <v>207</v>
      </c>
      <c r="C47" s="56"/>
      <c r="D47" s="69"/>
      <c r="F47" s="143">
        <v>218</v>
      </c>
      <c r="G47" s="144"/>
      <c r="H47" s="143">
        <v>305</v>
      </c>
      <c r="I47" s="144"/>
      <c r="J47" s="143">
        <v>336</v>
      </c>
      <c r="K47" s="144"/>
      <c r="L47" s="154">
        <f>ROUND((710/1936.27)*1000,0)</f>
        <v>367</v>
      </c>
      <c r="M47" s="145"/>
      <c r="N47" s="143">
        <v>506</v>
      </c>
      <c r="O47" s="145"/>
      <c r="P47" s="143">
        <v>478</v>
      </c>
      <c r="Q47" s="145"/>
      <c r="R47" s="143">
        <v>400</v>
      </c>
      <c r="S47" s="145"/>
      <c r="T47" s="143">
        <v>394</v>
      </c>
      <c r="U47" s="145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6"/>
      <c r="AP47" s="176"/>
      <c r="AQ47" s="176"/>
      <c r="AR47" s="176"/>
    </row>
    <row r="48" spans="1:44" s="3" customFormat="1" ht="12.75">
      <c r="A48" s="68"/>
      <c r="B48" s="56" t="s">
        <v>208</v>
      </c>
      <c r="C48" s="56"/>
      <c r="D48" s="69"/>
      <c r="F48" s="143">
        <v>88</v>
      </c>
      <c r="G48" s="144"/>
      <c r="H48" s="143">
        <v>202</v>
      </c>
      <c r="I48" s="144"/>
      <c r="J48" s="143">
        <v>270</v>
      </c>
      <c r="K48" s="144"/>
      <c r="L48" s="154">
        <f>ROUND((487/1936.27)*1000,0)</f>
        <v>252</v>
      </c>
      <c r="M48" s="145"/>
      <c r="N48" s="143">
        <v>241</v>
      </c>
      <c r="O48" s="145"/>
      <c r="P48" s="143">
        <v>254</v>
      </c>
      <c r="Q48" s="145"/>
      <c r="R48" s="143">
        <v>219</v>
      </c>
      <c r="S48" s="145"/>
      <c r="T48" s="143">
        <v>221</v>
      </c>
      <c r="U48" s="145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</row>
    <row r="49" spans="1:44" s="3" customFormat="1" ht="12.75">
      <c r="A49" s="251"/>
      <c r="B49" s="165" t="s">
        <v>93</v>
      </c>
      <c r="C49" s="165"/>
      <c r="D49" s="166"/>
      <c r="E49" s="82"/>
      <c r="F49" s="309">
        <v>50</v>
      </c>
      <c r="G49" s="310">
        <v>0</v>
      </c>
      <c r="H49" s="217">
        <v>120</v>
      </c>
      <c r="I49" s="218">
        <v>0</v>
      </c>
      <c r="J49" s="217">
        <v>124</v>
      </c>
      <c r="K49" s="218">
        <v>0</v>
      </c>
      <c r="L49" s="217">
        <f>ROUND((140/1936.27)*1000,0)</f>
        <v>72</v>
      </c>
      <c r="M49" s="218">
        <v>0</v>
      </c>
      <c r="N49" s="223">
        <v>51</v>
      </c>
      <c r="O49" s="222">
        <v>0</v>
      </c>
      <c r="P49" s="223">
        <v>61</v>
      </c>
      <c r="Q49" s="222"/>
      <c r="R49" s="223"/>
      <c r="S49" s="222"/>
      <c r="T49" s="223"/>
      <c r="U49" s="222"/>
      <c r="V49" s="176"/>
      <c r="W49" s="176"/>
      <c r="X49" s="176"/>
      <c r="Y49" s="176"/>
      <c r="Z49" s="176"/>
      <c r="AA49" s="176"/>
      <c r="AB49" s="176"/>
      <c r="AC49" s="176"/>
      <c r="AD49" s="176"/>
      <c r="AE49" s="176"/>
      <c r="AF49" s="176"/>
      <c r="AG49" s="176"/>
      <c r="AH49" s="176"/>
      <c r="AI49" s="176"/>
      <c r="AJ49" s="176"/>
      <c r="AK49" s="176"/>
      <c r="AL49" s="176"/>
      <c r="AM49" s="176"/>
      <c r="AN49" s="176"/>
      <c r="AO49" s="176"/>
      <c r="AP49" s="176"/>
      <c r="AQ49" s="176"/>
      <c r="AR49" s="176"/>
    </row>
    <row r="50" spans="1:44" s="3" customFormat="1" ht="12.75">
      <c r="A50" s="267" t="s">
        <v>94</v>
      </c>
      <c r="B50" s="268"/>
      <c r="C50" s="268"/>
      <c r="D50" s="269"/>
      <c r="E50" s="49"/>
      <c r="F50" s="180">
        <f aca="true" t="shared" si="7" ref="F50:S50">SUM(F51:F53)</f>
        <v>71</v>
      </c>
      <c r="G50" s="180">
        <f t="shared" si="7"/>
        <v>0</v>
      </c>
      <c r="H50" s="180">
        <f t="shared" si="7"/>
        <v>80</v>
      </c>
      <c r="I50" s="180">
        <f t="shared" si="7"/>
        <v>0</v>
      </c>
      <c r="J50" s="180">
        <f t="shared" si="7"/>
        <v>89</v>
      </c>
      <c r="K50" s="180">
        <f t="shared" si="7"/>
        <v>0</v>
      </c>
      <c r="L50" s="180">
        <f t="shared" si="7"/>
        <v>116</v>
      </c>
      <c r="M50" s="180">
        <f t="shared" si="7"/>
        <v>0</v>
      </c>
      <c r="N50" s="180">
        <f t="shared" si="7"/>
        <v>80</v>
      </c>
      <c r="O50" s="180">
        <f t="shared" si="7"/>
        <v>0</v>
      </c>
      <c r="P50" s="180">
        <f t="shared" si="7"/>
        <v>107</v>
      </c>
      <c r="Q50" s="180">
        <f t="shared" si="7"/>
        <v>0</v>
      </c>
      <c r="R50" s="180">
        <f t="shared" si="7"/>
        <v>58</v>
      </c>
      <c r="S50" s="180">
        <f t="shared" si="7"/>
        <v>0</v>
      </c>
      <c r="T50" s="180">
        <f>SUM(T51:T53)</f>
        <v>46</v>
      </c>
      <c r="U50" s="180">
        <f>SUM(U51:U53)</f>
        <v>0</v>
      </c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6"/>
      <c r="AK50" s="176"/>
      <c r="AL50" s="176"/>
      <c r="AM50" s="176"/>
      <c r="AN50" s="176"/>
      <c r="AO50" s="176"/>
      <c r="AP50" s="176"/>
      <c r="AQ50" s="176"/>
      <c r="AR50" s="176"/>
    </row>
    <row r="51" spans="1:44" s="3" customFormat="1" ht="12.75">
      <c r="A51" s="17"/>
      <c r="B51" s="18" t="s">
        <v>6</v>
      </c>
      <c r="C51" s="19"/>
      <c r="D51" s="20"/>
      <c r="E51"/>
      <c r="F51" s="185">
        <v>71</v>
      </c>
      <c r="G51" s="207"/>
      <c r="H51" s="154">
        <v>80</v>
      </c>
      <c r="I51" s="152"/>
      <c r="J51" s="185">
        <v>89</v>
      </c>
      <c r="K51" s="207"/>
      <c r="L51" s="154">
        <f>ROUND((225/1936.27)*1000,0)</f>
        <v>116</v>
      </c>
      <c r="M51" s="152"/>
      <c r="N51" s="154">
        <v>80</v>
      </c>
      <c r="O51" s="152"/>
      <c r="P51" s="154">
        <v>107</v>
      </c>
      <c r="Q51" s="152"/>
      <c r="R51" s="154">
        <v>58</v>
      </c>
      <c r="S51" s="152"/>
      <c r="T51" s="154">
        <v>37</v>
      </c>
      <c r="U51" s="152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176"/>
      <c r="AL51" s="176"/>
      <c r="AM51" s="176"/>
      <c r="AN51" s="176"/>
      <c r="AO51" s="176"/>
      <c r="AP51" s="176"/>
      <c r="AQ51" s="176"/>
      <c r="AR51" s="176"/>
    </row>
    <row r="52" spans="1:44" s="3" customFormat="1" ht="12.75">
      <c r="A52" s="17"/>
      <c r="B52" s="18" t="s">
        <v>127</v>
      </c>
      <c r="C52" s="19"/>
      <c r="D52" s="20"/>
      <c r="E52"/>
      <c r="F52" s="185">
        <v>0</v>
      </c>
      <c r="G52" s="207"/>
      <c r="H52" s="185">
        <v>0</v>
      </c>
      <c r="I52" s="207"/>
      <c r="J52" s="185">
        <v>0</v>
      </c>
      <c r="K52" s="207"/>
      <c r="L52" s="154">
        <v>0</v>
      </c>
      <c r="M52" s="152"/>
      <c r="N52" s="185">
        <v>0</v>
      </c>
      <c r="O52" s="152"/>
      <c r="P52" s="185"/>
      <c r="Q52" s="152"/>
      <c r="R52" s="185"/>
      <c r="S52" s="152"/>
      <c r="T52" s="185">
        <v>7</v>
      </c>
      <c r="U52" s="152"/>
      <c r="V52" s="176"/>
      <c r="W52" s="176"/>
      <c r="X52" s="176"/>
      <c r="Y52" s="176"/>
      <c r="Z52" s="176"/>
      <c r="AA52" s="176"/>
      <c r="AB52" s="176"/>
      <c r="AC52" s="176"/>
      <c r="AD52" s="176"/>
      <c r="AE52" s="176"/>
      <c r="AF52" s="176"/>
      <c r="AG52" s="176"/>
      <c r="AH52" s="176"/>
      <c r="AI52" s="176"/>
      <c r="AJ52" s="176"/>
      <c r="AK52" s="176"/>
      <c r="AL52" s="176"/>
      <c r="AM52" s="176"/>
      <c r="AN52" s="176"/>
      <c r="AO52" s="176"/>
      <c r="AP52" s="176"/>
      <c r="AQ52" s="176"/>
      <c r="AR52" s="176"/>
    </row>
    <row r="53" spans="1:44" s="3" customFormat="1" ht="12.75">
      <c r="A53" s="33"/>
      <c r="B53" s="32" t="s">
        <v>79</v>
      </c>
      <c r="C53" s="28"/>
      <c r="D53" s="29"/>
      <c r="E53"/>
      <c r="F53" s="187">
        <v>0</v>
      </c>
      <c r="G53" s="220"/>
      <c r="H53" s="187">
        <v>0</v>
      </c>
      <c r="I53" s="220"/>
      <c r="J53" s="187">
        <v>0</v>
      </c>
      <c r="K53" s="220"/>
      <c r="L53" s="154">
        <v>0</v>
      </c>
      <c r="M53" s="204"/>
      <c r="N53" s="187">
        <v>0</v>
      </c>
      <c r="O53" s="204"/>
      <c r="P53" s="187"/>
      <c r="Q53" s="204"/>
      <c r="R53" s="187"/>
      <c r="S53" s="204"/>
      <c r="T53" s="187">
        <v>2</v>
      </c>
      <c r="U53" s="204"/>
      <c r="V53" s="176"/>
      <c r="W53" s="176"/>
      <c r="X53" s="176"/>
      <c r="Y53" s="176"/>
      <c r="Z53" s="176"/>
      <c r="AA53" s="176"/>
      <c r="AB53" s="176"/>
      <c r="AC53" s="176"/>
      <c r="AD53" s="176"/>
      <c r="AE53" s="176"/>
      <c r="AF53" s="176"/>
      <c r="AG53" s="176"/>
      <c r="AH53" s="176"/>
      <c r="AI53" s="176"/>
      <c r="AJ53" s="176"/>
      <c r="AK53" s="176"/>
      <c r="AL53" s="176"/>
      <c r="AM53" s="176"/>
      <c r="AN53" s="176"/>
      <c r="AO53" s="176"/>
      <c r="AP53" s="176"/>
      <c r="AQ53" s="176"/>
      <c r="AR53" s="176"/>
    </row>
    <row r="54" spans="1:44" s="3" customFormat="1" ht="12.75">
      <c r="A54" s="267" t="s">
        <v>109</v>
      </c>
      <c r="B54" s="268"/>
      <c r="C54" s="268"/>
      <c r="D54" s="269"/>
      <c r="E54" s="49"/>
      <c r="F54" s="180">
        <f aca="true" t="shared" si="8" ref="F54:K54">SUM(F55:F57)</f>
        <v>7274</v>
      </c>
      <c r="G54" s="180">
        <f t="shared" si="8"/>
        <v>0</v>
      </c>
      <c r="H54" s="180">
        <f t="shared" si="8"/>
        <v>8829</v>
      </c>
      <c r="I54" s="180">
        <f t="shared" si="8"/>
        <v>0</v>
      </c>
      <c r="J54" s="180">
        <f t="shared" si="8"/>
        <v>7879</v>
      </c>
      <c r="K54" s="180">
        <f t="shared" si="8"/>
        <v>0</v>
      </c>
      <c r="L54" s="180">
        <f aca="true" t="shared" si="9" ref="L54:Q54">SUM(L55:L57)</f>
        <v>9104</v>
      </c>
      <c r="M54" s="180">
        <f t="shared" si="9"/>
        <v>0</v>
      </c>
      <c r="N54" s="180">
        <f t="shared" si="9"/>
        <v>8016</v>
      </c>
      <c r="O54" s="180">
        <f t="shared" si="9"/>
        <v>112.58760400150805</v>
      </c>
      <c r="P54" s="180">
        <f t="shared" si="9"/>
        <v>8513</v>
      </c>
      <c r="Q54" s="180">
        <f t="shared" si="9"/>
        <v>620</v>
      </c>
      <c r="R54" s="180">
        <f>SUM(R55:R57)</f>
        <v>8435</v>
      </c>
      <c r="S54" s="180">
        <f>SUM(S55:S57)</f>
        <v>404</v>
      </c>
      <c r="T54" s="180">
        <f>SUM(T55:T57)</f>
        <v>8296</v>
      </c>
      <c r="U54" s="180">
        <f>SUM(U55:U57)</f>
        <v>78</v>
      </c>
      <c r="V54" s="176"/>
      <c r="W54" s="176"/>
      <c r="X54" s="176"/>
      <c r="Y54" s="176"/>
      <c r="Z54" s="176"/>
      <c r="AA54" s="176"/>
      <c r="AB54" s="176"/>
      <c r="AC54" s="176"/>
      <c r="AD54" s="176"/>
      <c r="AE54" s="176"/>
      <c r="AF54" s="176"/>
      <c r="AG54" s="176"/>
      <c r="AH54" s="176"/>
      <c r="AI54" s="176"/>
      <c r="AJ54" s="176"/>
      <c r="AK54" s="176"/>
      <c r="AL54" s="176"/>
      <c r="AM54" s="176"/>
      <c r="AN54" s="176"/>
      <c r="AO54" s="176"/>
      <c r="AP54" s="176"/>
      <c r="AQ54" s="176"/>
      <c r="AR54" s="176"/>
    </row>
    <row r="55" spans="1:44" s="59" customFormat="1" ht="12.75">
      <c r="A55" s="68"/>
      <c r="B55" s="56" t="s">
        <v>9</v>
      </c>
      <c r="C55" s="56"/>
      <c r="D55" s="69"/>
      <c r="E55" s="3"/>
      <c r="F55" s="151">
        <v>52</v>
      </c>
      <c r="G55" s="145"/>
      <c r="H55" s="151">
        <v>52</v>
      </c>
      <c r="I55" s="145"/>
      <c r="J55" s="143">
        <v>50</v>
      </c>
      <c r="K55" s="144"/>
      <c r="L55" s="154">
        <f>ROUND((100/1936.27)*1000,0)</f>
        <v>52</v>
      </c>
      <c r="M55" s="145"/>
      <c r="N55" s="143">
        <v>40</v>
      </c>
      <c r="O55" s="145"/>
      <c r="P55" s="143">
        <v>174</v>
      </c>
      <c r="Q55" s="145"/>
      <c r="R55" s="143">
        <v>167</v>
      </c>
      <c r="S55" s="145"/>
      <c r="T55" s="143">
        <v>531</v>
      </c>
      <c r="U55" s="145"/>
      <c r="V55" s="219"/>
      <c r="W55" s="219"/>
      <c r="X55" s="219"/>
      <c r="Y55" s="219"/>
      <c r="Z55" s="219"/>
      <c r="AA55" s="219"/>
      <c r="AB55" s="219"/>
      <c r="AC55" s="219"/>
      <c r="AD55" s="219"/>
      <c r="AE55" s="219"/>
      <c r="AF55" s="219"/>
      <c r="AG55" s="219"/>
      <c r="AH55" s="219"/>
      <c r="AI55" s="219"/>
      <c r="AJ55" s="219"/>
      <c r="AK55" s="219"/>
      <c r="AL55" s="219"/>
      <c r="AM55" s="219"/>
      <c r="AN55" s="219"/>
      <c r="AO55" s="219"/>
      <c r="AP55" s="219"/>
      <c r="AQ55" s="219"/>
      <c r="AR55" s="219"/>
    </row>
    <row r="56" spans="1:44" s="3" customFormat="1" ht="12.75">
      <c r="A56" s="68"/>
      <c r="B56" s="56" t="s">
        <v>95</v>
      </c>
      <c r="C56" s="56"/>
      <c r="D56" s="69"/>
      <c r="F56" s="151">
        <v>2822</v>
      </c>
      <c r="G56" s="145"/>
      <c r="H56" s="151">
        <v>3040</v>
      </c>
      <c r="I56" s="145"/>
      <c r="J56" s="143">
        <v>2927</v>
      </c>
      <c r="K56" s="144"/>
      <c r="L56" s="154">
        <f>ROUND((6324/1936.27)*1000,0)</f>
        <v>3266</v>
      </c>
      <c r="M56" s="145"/>
      <c r="N56" s="143">
        <v>2383</v>
      </c>
      <c r="O56" s="145"/>
      <c r="P56" s="143">
        <v>2614</v>
      </c>
      <c r="Q56" s="145"/>
      <c r="R56" s="143">
        <v>2781</v>
      </c>
      <c r="S56" s="145"/>
      <c r="T56" s="143">
        <v>2552</v>
      </c>
      <c r="U56" s="145"/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76"/>
      <c r="AI56" s="176"/>
      <c r="AJ56" s="176"/>
      <c r="AK56" s="176"/>
      <c r="AL56" s="176"/>
      <c r="AM56" s="176"/>
      <c r="AN56" s="176"/>
      <c r="AO56" s="176"/>
      <c r="AP56" s="176"/>
      <c r="AQ56" s="176"/>
      <c r="AR56" s="176"/>
    </row>
    <row r="57" spans="1:44" s="3" customFormat="1" ht="12.75">
      <c r="A57" s="68"/>
      <c r="B57" s="56" t="s">
        <v>23</v>
      </c>
      <c r="C57" s="56"/>
      <c r="D57" s="69"/>
      <c r="F57" s="151">
        <v>4400</v>
      </c>
      <c r="G57" s="145"/>
      <c r="H57" s="151">
        <v>5737</v>
      </c>
      <c r="I57" s="145"/>
      <c r="J57" s="143">
        <v>4902</v>
      </c>
      <c r="K57" s="144"/>
      <c r="L57" s="154">
        <f>ROUND((11203/1936.27)*1000,0)</f>
        <v>5786</v>
      </c>
      <c r="M57" s="145"/>
      <c r="N57" s="143">
        <v>5593</v>
      </c>
      <c r="O57" s="145">
        <f>218/1.93627</f>
        <v>112.58760400150805</v>
      </c>
      <c r="P57" s="143">
        <v>5725</v>
      </c>
      <c r="Q57" s="145">
        <v>620</v>
      </c>
      <c r="R57" s="143">
        <v>5487</v>
      </c>
      <c r="S57" s="145">
        <v>404</v>
      </c>
      <c r="T57" s="143">
        <v>5213</v>
      </c>
      <c r="U57" s="145">
        <v>78</v>
      </c>
      <c r="V57" s="176"/>
      <c r="W57" s="176"/>
      <c r="X57" s="176"/>
      <c r="Y57" s="176"/>
      <c r="Z57" s="176"/>
      <c r="AA57" s="176"/>
      <c r="AB57" s="176"/>
      <c r="AC57" s="176"/>
      <c r="AD57" s="176"/>
      <c r="AE57" s="176"/>
      <c r="AF57" s="176"/>
      <c r="AG57" s="176"/>
      <c r="AH57" s="176"/>
      <c r="AI57" s="176"/>
      <c r="AJ57" s="176"/>
      <c r="AK57" s="176"/>
      <c r="AL57" s="176"/>
      <c r="AM57" s="176"/>
      <c r="AN57" s="176"/>
      <c r="AO57" s="176"/>
      <c r="AP57" s="176"/>
      <c r="AQ57" s="176"/>
      <c r="AR57" s="176"/>
    </row>
    <row r="58" spans="1:44" s="3" customFormat="1" ht="12.75">
      <c r="A58" s="312" t="s">
        <v>209</v>
      </c>
      <c r="B58" s="293"/>
      <c r="C58" s="293"/>
      <c r="D58" s="294"/>
      <c r="E58" s="295"/>
      <c r="F58" s="183">
        <v>831</v>
      </c>
      <c r="G58" s="183"/>
      <c r="H58" s="183">
        <v>330</v>
      </c>
      <c r="I58" s="183"/>
      <c r="J58" s="183">
        <v>77</v>
      </c>
      <c r="K58" s="183"/>
      <c r="L58" s="183">
        <f>ROUND((260/1936.27)*1000,0)</f>
        <v>134</v>
      </c>
      <c r="M58" s="183"/>
      <c r="N58" s="183">
        <v>38</v>
      </c>
      <c r="O58" s="183"/>
      <c r="P58" s="183">
        <v>29</v>
      </c>
      <c r="Q58" s="183"/>
      <c r="R58" s="183">
        <v>136</v>
      </c>
      <c r="S58" s="183"/>
      <c r="T58" s="183">
        <v>104</v>
      </c>
      <c r="U58" s="183"/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176"/>
      <c r="AG58" s="176"/>
      <c r="AH58" s="176"/>
      <c r="AI58" s="176"/>
      <c r="AJ58" s="176"/>
      <c r="AK58" s="176"/>
      <c r="AL58" s="176"/>
      <c r="AM58" s="176"/>
      <c r="AN58" s="176"/>
      <c r="AO58" s="176"/>
      <c r="AP58" s="176"/>
      <c r="AQ58" s="176"/>
      <c r="AR58" s="176"/>
    </row>
    <row r="59" spans="1:44" s="3" customFormat="1" ht="12.75">
      <c r="A59" s="275" t="s">
        <v>172</v>
      </c>
      <c r="B59" s="276"/>
      <c r="C59" s="276"/>
      <c r="D59" s="277"/>
      <c r="E59" s="49"/>
      <c r="F59" s="184">
        <f>SUM(F60:F75)</f>
        <v>15237</v>
      </c>
      <c r="G59" s="184">
        <f aca="true" t="shared" si="10" ref="G59:S59">SUM(G60:G75)</f>
        <v>35</v>
      </c>
      <c r="H59" s="184">
        <f t="shared" si="10"/>
        <v>21741</v>
      </c>
      <c r="I59" s="184">
        <f t="shared" si="10"/>
        <v>89</v>
      </c>
      <c r="J59" s="184">
        <f t="shared" si="10"/>
        <v>14473</v>
      </c>
      <c r="K59" s="184">
        <f t="shared" si="10"/>
        <v>235</v>
      </c>
      <c r="L59" s="184">
        <f t="shared" si="10"/>
        <v>15863</v>
      </c>
      <c r="M59" s="184">
        <f t="shared" si="10"/>
        <v>166</v>
      </c>
      <c r="N59" s="184">
        <f t="shared" si="10"/>
        <v>17814</v>
      </c>
      <c r="O59" s="184">
        <f t="shared" si="10"/>
        <v>2063.2453118624985</v>
      </c>
      <c r="P59" s="184">
        <f t="shared" si="10"/>
        <v>18564</v>
      </c>
      <c r="Q59" s="184">
        <f t="shared" si="10"/>
        <v>3635</v>
      </c>
      <c r="R59" s="184">
        <f t="shared" si="10"/>
        <v>17281</v>
      </c>
      <c r="S59" s="184">
        <f t="shared" si="10"/>
        <v>2263</v>
      </c>
      <c r="T59" s="184">
        <f>SUM(T60:T75)</f>
        <v>15530</v>
      </c>
      <c r="U59" s="184">
        <f>SUM(U60:U75)</f>
        <v>310</v>
      </c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6"/>
      <c r="AH59" s="176"/>
      <c r="AI59" s="176"/>
      <c r="AJ59" s="176"/>
      <c r="AK59" s="176"/>
      <c r="AL59" s="176"/>
      <c r="AM59" s="176"/>
      <c r="AN59" s="176"/>
      <c r="AO59" s="176"/>
      <c r="AP59" s="176"/>
      <c r="AQ59" s="176"/>
      <c r="AR59" s="176"/>
    </row>
    <row r="60" spans="1:44" s="3" customFormat="1" ht="12.75">
      <c r="A60" s="68"/>
      <c r="B60" s="56" t="s">
        <v>11</v>
      </c>
      <c r="D60" s="69"/>
      <c r="F60" s="151">
        <v>4324</v>
      </c>
      <c r="G60" s="145"/>
      <c r="H60" s="151">
        <v>6850</v>
      </c>
      <c r="I60" s="145">
        <v>22</v>
      </c>
      <c r="J60" s="151">
        <v>1620</v>
      </c>
      <c r="K60" s="145">
        <v>67</v>
      </c>
      <c r="L60" s="154">
        <f>ROUND((3354/1936.27)*1000,0)</f>
        <v>1732</v>
      </c>
      <c r="M60" s="145"/>
      <c r="N60" s="151">
        <v>2570</v>
      </c>
      <c r="O60" s="145">
        <f>262/1.93627</f>
        <v>135.31170756144547</v>
      </c>
      <c r="P60" s="151">
        <v>979</v>
      </c>
      <c r="Q60" s="145"/>
      <c r="R60" s="151">
        <v>685</v>
      </c>
      <c r="S60" s="145"/>
      <c r="T60" s="151">
        <v>532</v>
      </c>
      <c r="U60" s="145">
        <v>9</v>
      </c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6"/>
      <c r="AM60" s="176"/>
      <c r="AN60" s="176"/>
      <c r="AO60" s="176"/>
      <c r="AP60" s="176"/>
      <c r="AQ60" s="176"/>
      <c r="AR60" s="176"/>
    </row>
    <row r="61" spans="1:44" s="3" customFormat="1" ht="12.75">
      <c r="A61" s="68"/>
      <c r="B61" s="18" t="s">
        <v>12</v>
      </c>
      <c r="D61" s="69"/>
      <c r="F61" s="154">
        <v>2</v>
      </c>
      <c r="G61" s="152"/>
      <c r="H61" s="154">
        <v>2</v>
      </c>
      <c r="I61" s="152"/>
      <c r="J61" s="154">
        <v>2</v>
      </c>
      <c r="K61" s="152"/>
      <c r="L61" s="154">
        <f>ROUND((4/1936.27)*1000,0)</f>
        <v>2</v>
      </c>
      <c r="M61" s="152"/>
      <c r="N61" s="154">
        <v>30</v>
      </c>
      <c r="O61" s="152"/>
      <c r="P61" s="154">
        <v>93</v>
      </c>
      <c r="Q61" s="152"/>
      <c r="R61" s="154">
        <v>744</v>
      </c>
      <c r="S61" s="152">
        <v>440</v>
      </c>
      <c r="T61" s="154">
        <v>225</v>
      </c>
      <c r="U61" s="152"/>
      <c r="V61" s="176"/>
      <c r="W61" s="176"/>
      <c r="X61" s="176"/>
      <c r="Y61" s="176"/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  <c r="AJ61" s="176"/>
      <c r="AK61" s="176"/>
      <c r="AL61" s="176"/>
      <c r="AM61" s="176"/>
      <c r="AN61" s="176"/>
      <c r="AO61" s="176"/>
      <c r="AP61" s="176"/>
      <c r="AQ61" s="176"/>
      <c r="AR61" s="176"/>
    </row>
    <row r="62" spans="1:44" s="3" customFormat="1" ht="12.75">
      <c r="A62" s="68"/>
      <c r="B62" s="18" t="s">
        <v>13</v>
      </c>
      <c r="D62" s="69"/>
      <c r="F62" s="154">
        <v>268</v>
      </c>
      <c r="G62" s="152"/>
      <c r="H62" s="154">
        <v>408</v>
      </c>
      <c r="I62" s="152"/>
      <c r="J62" s="154">
        <v>362</v>
      </c>
      <c r="K62" s="152"/>
      <c r="L62" s="154">
        <f>ROUND((2401/1936.27)*1000,0)</f>
        <v>1240</v>
      </c>
      <c r="M62" s="152"/>
      <c r="N62" s="154">
        <v>516</v>
      </c>
      <c r="O62" s="152"/>
      <c r="P62" s="154">
        <v>3373</v>
      </c>
      <c r="Q62" s="152">
        <v>2360</v>
      </c>
      <c r="R62" s="154">
        <v>533</v>
      </c>
      <c r="S62" s="152"/>
      <c r="T62" s="154">
        <v>706</v>
      </c>
      <c r="U62" s="152">
        <v>22</v>
      </c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6"/>
      <c r="AN62" s="176"/>
      <c r="AO62" s="176"/>
      <c r="AP62" s="176"/>
      <c r="AQ62" s="176"/>
      <c r="AR62" s="176"/>
    </row>
    <row r="63" spans="1:44" s="3" customFormat="1" ht="12.75">
      <c r="A63" s="68"/>
      <c r="B63" s="18" t="s">
        <v>128</v>
      </c>
      <c r="D63" s="69"/>
      <c r="F63" s="154"/>
      <c r="G63" s="152"/>
      <c r="H63" s="154"/>
      <c r="I63" s="152"/>
      <c r="J63" s="154"/>
      <c r="K63" s="152"/>
      <c r="L63" s="154"/>
      <c r="M63" s="152"/>
      <c r="N63" s="154"/>
      <c r="O63" s="152"/>
      <c r="P63" s="154"/>
      <c r="Q63" s="152"/>
      <c r="R63" s="154"/>
      <c r="S63" s="152"/>
      <c r="T63" s="154">
        <v>59</v>
      </c>
      <c r="U63" s="152">
        <v>59</v>
      </c>
      <c r="V63" s="176"/>
      <c r="W63" s="176"/>
      <c r="X63" s="176"/>
      <c r="Y63" s="176"/>
      <c r="Z63" s="176"/>
      <c r="AA63" s="176"/>
      <c r="AB63" s="176"/>
      <c r="AC63" s="176"/>
      <c r="AD63" s="176"/>
      <c r="AE63" s="176"/>
      <c r="AF63" s="176"/>
      <c r="AG63" s="176"/>
      <c r="AH63" s="176"/>
      <c r="AI63" s="176"/>
      <c r="AJ63" s="176"/>
      <c r="AK63" s="176"/>
      <c r="AL63" s="176"/>
      <c r="AM63" s="176"/>
      <c r="AN63" s="176"/>
      <c r="AO63" s="176"/>
      <c r="AP63" s="176"/>
      <c r="AQ63" s="176"/>
      <c r="AR63" s="176"/>
    </row>
    <row r="64" spans="1:44" s="3" customFormat="1" ht="12.75">
      <c r="A64" s="68"/>
      <c r="B64" s="18" t="s">
        <v>130</v>
      </c>
      <c r="D64" s="69"/>
      <c r="F64" s="154">
        <v>129</v>
      </c>
      <c r="G64" s="152"/>
      <c r="H64" s="154">
        <v>212</v>
      </c>
      <c r="I64" s="152"/>
      <c r="J64" s="154">
        <v>206</v>
      </c>
      <c r="K64" s="152"/>
      <c r="L64" s="154">
        <v>145</v>
      </c>
      <c r="M64" s="152"/>
      <c r="N64" s="154">
        <f>284+1</f>
        <v>285</v>
      </c>
      <c r="O64" s="152">
        <f>550/1.93627</f>
        <v>284.0512944992176</v>
      </c>
      <c r="P64" s="154">
        <v>199</v>
      </c>
      <c r="Q64" s="152"/>
      <c r="R64" s="154">
        <v>258</v>
      </c>
      <c r="S64" s="152"/>
      <c r="T64" s="154">
        <v>64</v>
      </c>
      <c r="U64" s="152"/>
      <c r="V64" s="176"/>
      <c r="W64" s="176"/>
      <c r="X64" s="176"/>
      <c r="Y64" s="176"/>
      <c r="Z64" s="176"/>
      <c r="AA64" s="176"/>
      <c r="AB64" s="176"/>
      <c r="AC64" s="176"/>
      <c r="AD64" s="176"/>
      <c r="AE64" s="176"/>
      <c r="AF64" s="176"/>
      <c r="AG64" s="176"/>
      <c r="AH64" s="176"/>
      <c r="AI64" s="176"/>
      <c r="AJ64" s="176"/>
      <c r="AK64" s="176"/>
      <c r="AL64" s="176"/>
      <c r="AM64" s="176"/>
      <c r="AN64" s="176"/>
      <c r="AO64" s="176"/>
      <c r="AP64" s="176"/>
      <c r="AQ64" s="176"/>
      <c r="AR64" s="176"/>
    </row>
    <row r="65" spans="1:44" s="3" customFormat="1" ht="12.75">
      <c r="A65" s="68"/>
      <c r="B65" s="18" t="s">
        <v>14</v>
      </c>
      <c r="D65" s="69"/>
      <c r="F65" s="154">
        <v>88</v>
      </c>
      <c r="G65" s="152"/>
      <c r="H65" s="154">
        <v>356</v>
      </c>
      <c r="I65" s="152"/>
      <c r="J65" s="154">
        <v>491</v>
      </c>
      <c r="K65" s="152"/>
      <c r="L65" s="154">
        <f>ROUND((670/1936.27)*1000,0)</f>
        <v>346</v>
      </c>
      <c r="M65" s="152"/>
      <c r="N65" s="154">
        <v>369</v>
      </c>
      <c r="O65" s="152"/>
      <c r="P65" s="154">
        <v>420</v>
      </c>
      <c r="Q65" s="152">
        <v>37</v>
      </c>
      <c r="R65" s="154">
        <v>441</v>
      </c>
      <c r="S65" s="152"/>
      <c r="T65" s="154">
        <v>488</v>
      </c>
      <c r="U65" s="152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</row>
    <row r="66" spans="1:44" s="3" customFormat="1" ht="12.75">
      <c r="A66" s="68"/>
      <c r="B66" s="18" t="s">
        <v>210</v>
      </c>
      <c r="D66" s="69"/>
      <c r="F66" s="154"/>
      <c r="G66" s="152"/>
      <c r="H66" s="154"/>
      <c r="I66" s="152"/>
      <c r="J66" s="154">
        <v>1</v>
      </c>
      <c r="K66" s="152"/>
      <c r="L66" s="154">
        <f>ROUND((201/1936.27)*1000,0)</f>
        <v>104</v>
      </c>
      <c r="M66" s="152"/>
      <c r="N66" s="154"/>
      <c r="O66" s="152"/>
      <c r="P66" s="154">
        <v>1</v>
      </c>
      <c r="Q66" s="152"/>
      <c r="R66" s="154"/>
      <c r="S66" s="152"/>
      <c r="T66" s="154">
        <v>67</v>
      </c>
      <c r="U66" s="152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</row>
    <row r="67" spans="1:44" s="3" customFormat="1" ht="12.75">
      <c r="A67" s="68"/>
      <c r="B67" s="253" t="s">
        <v>15</v>
      </c>
      <c r="C67" s="253"/>
      <c r="D67" s="81"/>
      <c r="E67" s="82"/>
      <c r="F67" s="223"/>
      <c r="G67" s="254"/>
      <c r="H67" s="223"/>
      <c r="I67" s="254"/>
      <c r="J67" s="223"/>
      <c r="K67" s="254"/>
      <c r="L67" s="223"/>
      <c r="M67" s="254"/>
      <c r="N67" s="223"/>
      <c r="O67" s="254"/>
      <c r="P67" s="223"/>
      <c r="Q67" s="254"/>
      <c r="R67" s="223">
        <v>197</v>
      </c>
      <c r="S67" s="254"/>
      <c r="T67" s="223">
        <v>188</v>
      </c>
      <c r="U67" s="254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</row>
    <row r="68" spans="1:44" s="3" customFormat="1" ht="12.75">
      <c r="A68" s="68"/>
      <c r="B68" s="253" t="s">
        <v>16</v>
      </c>
      <c r="C68" s="253"/>
      <c r="D68" s="81"/>
      <c r="E68" s="82"/>
      <c r="F68" s="223">
        <v>2996</v>
      </c>
      <c r="G68" s="254"/>
      <c r="H68" s="223">
        <v>3782</v>
      </c>
      <c r="I68" s="254"/>
      <c r="J68" s="223">
        <v>3318</v>
      </c>
      <c r="K68" s="254"/>
      <c r="L68" s="223">
        <f>ROUND((4215/1936.27)*1000,0)</f>
        <v>2177</v>
      </c>
      <c r="M68" s="254"/>
      <c r="N68" s="223">
        <v>3733</v>
      </c>
      <c r="O68" s="254">
        <f>2502/1.93627</f>
        <v>1292.1751615218952</v>
      </c>
      <c r="P68" s="223"/>
      <c r="Q68" s="254"/>
      <c r="R68" s="223"/>
      <c r="S68" s="254"/>
      <c r="T68" s="223"/>
      <c r="U68" s="254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</row>
    <row r="69" spans="1:44" s="3" customFormat="1" ht="12.75">
      <c r="A69" s="68"/>
      <c r="B69" s="18" t="s">
        <v>147</v>
      </c>
      <c r="C69" s="18"/>
      <c r="D69" s="69"/>
      <c r="F69" s="154"/>
      <c r="G69" s="152"/>
      <c r="H69" s="154"/>
      <c r="I69" s="152"/>
      <c r="J69" s="154"/>
      <c r="K69" s="152"/>
      <c r="L69" s="154"/>
      <c r="M69" s="152"/>
      <c r="N69" s="154"/>
      <c r="O69" s="152"/>
      <c r="P69" s="154">
        <v>3923</v>
      </c>
      <c r="Q69" s="152">
        <v>948</v>
      </c>
      <c r="R69" s="154">
        <v>4188</v>
      </c>
      <c r="S69" s="152">
        <v>1559</v>
      </c>
      <c r="T69" s="154">
        <v>2647</v>
      </c>
      <c r="U69" s="152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176"/>
      <c r="AP69" s="176"/>
      <c r="AQ69" s="176"/>
      <c r="AR69" s="176"/>
    </row>
    <row r="70" spans="1:44" s="3" customFormat="1" ht="12.75">
      <c r="A70" s="68"/>
      <c r="B70" s="18" t="s">
        <v>148</v>
      </c>
      <c r="C70" s="18"/>
      <c r="D70" s="69"/>
      <c r="F70" s="154"/>
      <c r="G70" s="152"/>
      <c r="H70" s="154"/>
      <c r="I70" s="152"/>
      <c r="J70" s="154"/>
      <c r="K70" s="152"/>
      <c r="L70" s="154"/>
      <c r="M70" s="152"/>
      <c r="N70" s="154"/>
      <c r="O70" s="152"/>
      <c r="P70" s="154">
        <v>154</v>
      </c>
      <c r="Q70" s="152"/>
      <c r="R70" s="154">
        <v>1372</v>
      </c>
      <c r="S70" s="152"/>
      <c r="T70" s="154">
        <v>1443</v>
      </c>
      <c r="U70" s="152">
        <v>90</v>
      </c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  <c r="AQ70" s="176"/>
      <c r="AR70" s="176"/>
    </row>
    <row r="71" spans="1:44" s="3" customFormat="1" ht="12.75">
      <c r="A71" s="68"/>
      <c r="B71" s="18" t="s">
        <v>149</v>
      </c>
      <c r="C71" s="18"/>
      <c r="D71" s="69"/>
      <c r="F71" s="154"/>
      <c r="G71" s="152"/>
      <c r="H71" s="154"/>
      <c r="I71" s="152"/>
      <c r="J71" s="154"/>
      <c r="K71" s="152"/>
      <c r="L71" s="154"/>
      <c r="M71" s="152"/>
      <c r="N71" s="154"/>
      <c r="O71" s="152"/>
      <c r="P71" s="154">
        <v>4511</v>
      </c>
      <c r="Q71" s="152">
        <v>290</v>
      </c>
      <c r="R71" s="154">
        <v>3699</v>
      </c>
      <c r="S71" s="152">
        <v>264</v>
      </c>
      <c r="T71" s="154">
        <v>3606</v>
      </c>
      <c r="U71" s="152">
        <v>130</v>
      </c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76"/>
      <c r="AO71" s="176"/>
      <c r="AP71" s="176"/>
      <c r="AQ71" s="176"/>
      <c r="AR71" s="176"/>
    </row>
    <row r="72" spans="1:44" s="3" customFormat="1" ht="12.75">
      <c r="A72" s="68"/>
      <c r="B72" s="253" t="s">
        <v>18</v>
      </c>
      <c r="C72" s="253"/>
      <c r="D72" s="81"/>
      <c r="E72" s="82"/>
      <c r="F72" s="223">
        <v>4522</v>
      </c>
      <c r="G72" s="254"/>
      <c r="H72" s="223">
        <v>6464</v>
      </c>
      <c r="I72" s="254"/>
      <c r="J72" s="223">
        <v>5020</v>
      </c>
      <c r="K72" s="254"/>
      <c r="L72" s="223">
        <f>ROUND((12841/1936.27)*1000,0)-166</f>
        <v>6466</v>
      </c>
      <c r="M72" s="254"/>
      <c r="N72" s="223">
        <v>4823</v>
      </c>
      <c r="O72" s="223">
        <f>681/1.93627</f>
        <v>351.7071482799403</v>
      </c>
      <c r="P72" s="223"/>
      <c r="Q72" s="223"/>
      <c r="R72" s="223"/>
      <c r="S72" s="223"/>
      <c r="T72" s="223"/>
      <c r="U72" s="223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6"/>
      <c r="AR72" s="176"/>
    </row>
    <row r="73" spans="1:44" s="3" customFormat="1" ht="12.75">
      <c r="A73" s="68"/>
      <c r="B73" s="253" t="s">
        <v>19</v>
      </c>
      <c r="C73" s="253"/>
      <c r="D73" s="81"/>
      <c r="E73" s="82"/>
      <c r="F73" s="223">
        <v>1702</v>
      </c>
      <c r="G73" s="254">
        <v>35</v>
      </c>
      <c r="H73" s="223">
        <v>2046</v>
      </c>
      <c r="I73" s="254">
        <v>67</v>
      </c>
      <c r="J73" s="223">
        <v>1938</v>
      </c>
      <c r="K73" s="254">
        <v>168</v>
      </c>
      <c r="L73" s="223">
        <f>ROUND((3308/1936.27)*1000,0)+166</f>
        <v>1874</v>
      </c>
      <c r="M73" s="254">
        <f>ROUND(320701/1936.27,0)</f>
        <v>166</v>
      </c>
      <c r="N73" s="223">
        <v>190</v>
      </c>
      <c r="O73" s="254"/>
      <c r="P73" s="223"/>
      <c r="Q73" s="254"/>
      <c r="R73" s="223"/>
      <c r="S73" s="254"/>
      <c r="T73" s="223"/>
      <c r="U73" s="254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</row>
    <row r="74" spans="1:44" s="3" customFormat="1" ht="12.75">
      <c r="A74" s="68"/>
      <c r="B74" s="253" t="s">
        <v>20</v>
      </c>
      <c r="C74" s="253"/>
      <c r="D74" s="81"/>
      <c r="E74" s="82"/>
      <c r="F74" s="223">
        <v>1206</v>
      </c>
      <c r="G74" s="254"/>
      <c r="H74" s="223">
        <v>1621</v>
      </c>
      <c r="I74" s="254"/>
      <c r="J74" s="223">
        <v>1515</v>
      </c>
      <c r="K74" s="254"/>
      <c r="L74" s="223">
        <f>ROUND((3440/1936.27)*1000,0)</f>
        <v>1777</v>
      </c>
      <c r="M74" s="254"/>
      <c r="N74" s="223">
        <v>1394</v>
      </c>
      <c r="O74" s="254"/>
      <c r="P74" s="223"/>
      <c r="Q74" s="254"/>
      <c r="R74" s="223"/>
      <c r="S74" s="254"/>
      <c r="T74" s="223"/>
      <c r="U74" s="254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6"/>
      <c r="AM74" s="176"/>
      <c r="AN74" s="176"/>
      <c r="AO74" s="176"/>
      <c r="AP74" s="176"/>
      <c r="AQ74" s="176"/>
      <c r="AR74" s="176"/>
    </row>
    <row r="75" spans="1:44" s="3" customFormat="1" ht="12.75">
      <c r="A75" s="68"/>
      <c r="B75" s="96" t="s">
        <v>55</v>
      </c>
      <c r="C75" s="96"/>
      <c r="D75" s="97"/>
      <c r="F75" s="196"/>
      <c r="G75" s="196"/>
      <c r="H75" s="196"/>
      <c r="I75" s="242"/>
      <c r="J75" s="196"/>
      <c r="K75" s="242"/>
      <c r="L75" s="196"/>
      <c r="M75" s="182"/>
      <c r="N75" s="196">
        <v>3904</v>
      </c>
      <c r="O75" s="182"/>
      <c r="P75" s="196">
        <v>4911</v>
      </c>
      <c r="Q75" s="182"/>
      <c r="R75" s="196">
        <v>5164</v>
      </c>
      <c r="S75" s="182"/>
      <c r="T75" s="196">
        <v>5505</v>
      </c>
      <c r="U75" s="182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</row>
    <row r="76" spans="1:44" s="3" customFormat="1" ht="12.75">
      <c r="A76" s="299" t="s">
        <v>176</v>
      </c>
      <c r="B76" s="280"/>
      <c r="C76" s="280"/>
      <c r="D76" s="281"/>
      <c r="E76" s="161"/>
      <c r="F76" s="189">
        <f aca="true" t="shared" si="11" ref="F76:S76">+F77+F78+F82+F92</f>
        <v>18085</v>
      </c>
      <c r="G76" s="189">
        <f t="shared" si="11"/>
        <v>3780</v>
      </c>
      <c r="H76" s="189">
        <f t="shared" si="11"/>
        <v>20795</v>
      </c>
      <c r="I76" s="189">
        <f t="shared" si="11"/>
        <v>5685</v>
      </c>
      <c r="J76" s="189">
        <f t="shared" si="11"/>
        <v>20367</v>
      </c>
      <c r="K76" s="189">
        <f t="shared" si="11"/>
        <v>2318</v>
      </c>
      <c r="L76" s="189">
        <f t="shared" si="11"/>
        <v>23251</v>
      </c>
      <c r="M76" s="189">
        <f t="shared" si="11"/>
        <v>3355</v>
      </c>
      <c r="N76" s="189">
        <f t="shared" si="11"/>
        <v>25790</v>
      </c>
      <c r="O76" s="189">
        <f t="shared" si="11"/>
        <v>3085.7013536335326</v>
      </c>
      <c r="P76" s="189">
        <f t="shared" si="11"/>
        <v>29043</v>
      </c>
      <c r="Q76" s="189">
        <f t="shared" si="11"/>
        <v>5565</v>
      </c>
      <c r="R76" s="189">
        <f t="shared" si="11"/>
        <v>31296</v>
      </c>
      <c r="S76" s="189">
        <f t="shared" si="11"/>
        <v>6810</v>
      </c>
      <c r="T76" s="189">
        <f>+T77+T78+T82+T92</f>
        <v>38407</v>
      </c>
      <c r="U76" s="189">
        <f>+U77+U78+U82+U92</f>
        <v>10488</v>
      </c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176"/>
      <c r="AR76" s="176"/>
    </row>
    <row r="77" spans="1:44" s="105" customFormat="1" ht="12.75">
      <c r="A77" s="300"/>
      <c r="B77" s="301"/>
      <c r="C77" s="301" t="s">
        <v>205</v>
      </c>
      <c r="D77" s="302"/>
      <c r="F77" s="190"/>
      <c r="G77" s="236"/>
      <c r="H77" s="190"/>
      <c r="I77" s="236"/>
      <c r="J77" s="303"/>
      <c r="K77" s="303"/>
      <c r="L77" s="209"/>
      <c r="M77" s="236"/>
      <c r="N77" s="303"/>
      <c r="O77" s="236"/>
      <c r="P77" s="195"/>
      <c r="Q77" s="236"/>
      <c r="R77" s="303">
        <v>292</v>
      </c>
      <c r="S77" s="236">
        <v>243</v>
      </c>
      <c r="T77" s="303">
        <v>274</v>
      </c>
      <c r="U77" s="236">
        <v>224</v>
      </c>
      <c r="V77" s="304"/>
      <c r="W77" s="304"/>
      <c r="X77" s="304"/>
      <c r="Y77" s="304"/>
      <c r="Z77" s="304"/>
      <c r="AA77" s="304"/>
      <c r="AB77" s="304"/>
      <c r="AC77" s="304"/>
      <c r="AD77" s="304"/>
      <c r="AE77" s="304"/>
      <c r="AF77" s="304"/>
      <c r="AG77" s="304"/>
      <c r="AH77" s="304"/>
      <c r="AI77" s="304"/>
      <c r="AJ77" s="304"/>
      <c r="AK77" s="304"/>
      <c r="AL77" s="304"/>
      <c r="AM77" s="304"/>
      <c r="AN77" s="304"/>
      <c r="AO77" s="304"/>
      <c r="AP77" s="304"/>
      <c r="AQ77" s="304"/>
      <c r="AR77" s="304"/>
    </row>
    <row r="78" spans="1:44" s="3" customFormat="1" ht="12.75">
      <c r="A78" s="68"/>
      <c r="B78" s="289" t="s">
        <v>175</v>
      </c>
      <c r="C78" s="264"/>
      <c r="D78" s="265"/>
      <c r="F78" s="190">
        <f aca="true" t="shared" si="12" ref="F78:L78">SUM(F79:F81)</f>
        <v>2550</v>
      </c>
      <c r="G78" s="190">
        <f t="shared" si="12"/>
        <v>0</v>
      </c>
      <c r="H78" s="190">
        <f t="shared" si="12"/>
        <v>2378</v>
      </c>
      <c r="I78" s="190">
        <f t="shared" si="12"/>
        <v>0</v>
      </c>
      <c r="J78" s="190">
        <f t="shared" si="12"/>
        <v>2467</v>
      </c>
      <c r="K78" s="190">
        <f t="shared" si="12"/>
        <v>0</v>
      </c>
      <c r="L78" s="190">
        <f t="shared" si="12"/>
        <v>2865</v>
      </c>
      <c r="M78" s="190">
        <f aca="true" t="shared" si="13" ref="M78:S78">SUM(M79:M81)</f>
        <v>0</v>
      </c>
      <c r="N78" s="190">
        <f t="shared" si="13"/>
        <v>3748</v>
      </c>
      <c r="O78" s="190">
        <f t="shared" si="13"/>
        <v>37.70135363353251</v>
      </c>
      <c r="P78" s="190">
        <f t="shared" si="13"/>
        <v>3419</v>
      </c>
      <c r="Q78" s="190">
        <f t="shared" si="13"/>
        <v>34</v>
      </c>
      <c r="R78" s="190">
        <f t="shared" si="13"/>
        <v>3037</v>
      </c>
      <c r="S78" s="190">
        <f t="shared" si="13"/>
        <v>56</v>
      </c>
      <c r="T78" s="190">
        <f>SUM(T79:T81)</f>
        <v>2782</v>
      </c>
      <c r="U78" s="190">
        <f>SUM(U79:U81)</f>
        <v>23</v>
      </c>
      <c r="V78" s="176"/>
      <c r="W78" s="176"/>
      <c r="X78" s="176"/>
      <c r="Y78" s="176"/>
      <c r="Z78" s="176"/>
      <c r="AA78" s="176"/>
      <c r="AB78" s="176"/>
      <c r="AC78" s="176"/>
      <c r="AD78" s="176"/>
      <c r="AE78" s="176"/>
      <c r="AF78" s="176"/>
      <c r="AG78" s="176"/>
      <c r="AH78" s="176"/>
      <c r="AI78" s="176"/>
      <c r="AJ78" s="176"/>
      <c r="AK78" s="176"/>
      <c r="AL78" s="176"/>
      <c r="AM78" s="176"/>
      <c r="AN78" s="176"/>
      <c r="AO78" s="176"/>
      <c r="AP78" s="176"/>
      <c r="AQ78" s="176"/>
      <c r="AR78" s="176"/>
    </row>
    <row r="79" spans="1:44" s="3" customFormat="1" ht="12.75">
      <c r="A79" s="68"/>
      <c r="B79" s="56"/>
      <c r="C79" s="10" t="s">
        <v>6</v>
      </c>
      <c r="D79" s="69"/>
      <c r="F79" s="185"/>
      <c r="G79" s="207"/>
      <c r="H79" s="185"/>
      <c r="I79" s="207"/>
      <c r="J79" s="185"/>
      <c r="K79" s="207"/>
      <c r="L79" s="154">
        <f>ROUND((50/1936.27)*1000,0)</f>
        <v>26</v>
      </c>
      <c r="M79" s="145"/>
      <c r="N79" s="185">
        <v>77</v>
      </c>
      <c r="O79" s="145"/>
      <c r="P79" s="185">
        <v>70</v>
      </c>
      <c r="Q79" s="145"/>
      <c r="R79" s="185">
        <v>49</v>
      </c>
      <c r="S79" s="145"/>
      <c r="T79" s="185">
        <v>67</v>
      </c>
      <c r="U79" s="145"/>
      <c r="V79" s="228"/>
      <c r="W79" s="228"/>
      <c r="X79" s="228"/>
      <c r="Y79" s="228"/>
      <c r="Z79" s="228"/>
      <c r="AA79" s="228"/>
      <c r="AB79" s="228"/>
      <c r="AC79" s="228"/>
      <c r="AD79" s="228"/>
      <c r="AE79" s="228"/>
      <c r="AF79" s="228"/>
      <c r="AG79" s="228"/>
      <c r="AH79" s="228"/>
      <c r="AI79" s="228"/>
      <c r="AJ79" s="228"/>
      <c r="AK79" s="228"/>
      <c r="AL79" s="228"/>
      <c r="AM79" s="228"/>
      <c r="AN79" s="228"/>
      <c r="AO79" s="228"/>
      <c r="AP79" s="176"/>
      <c r="AQ79" s="176"/>
      <c r="AR79" s="176"/>
    </row>
    <row r="80" spans="1:44" s="3" customFormat="1" ht="12.75">
      <c r="A80" s="68"/>
      <c r="B80" s="56"/>
      <c r="C80" s="55" t="s">
        <v>211</v>
      </c>
      <c r="D80" s="69"/>
      <c r="F80" s="143">
        <v>2166</v>
      </c>
      <c r="G80" s="144"/>
      <c r="H80" s="143">
        <v>2183</v>
      </c>
      <c r="I80" s="144"/>
      <c r="J80" s="143">
        <v>2169</v>
      </c>
      <c r="K80" s="144"/>
      <c r="L80" s="154">
        <f>ROUND((4988/1936.27)*1000,0)</f>
        <v>2576</v>
      </c>
      <c r="M80" s="145"/>
      <c r="N80" s="143">
        <v>2654</v>
      </c>
      <c r="O80" s="145"/>
      <c r="P80" s="143">
        <v>2485</v>
      </c>
      <c r="Q80" s="145"/>
      <c r="R80" s="143">
        <v>973</v>
      </c>
      <c r="S80" s="145"/>
      <c r="T80" s="143">
        <v>799</v>
      </c>
      <c r="U80" s="145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</row>
    <row r="81" spans="1:44" s="3" customFormat="1" ht="12.75">
      <c r="A81" s="68"/>
      <c r="B81" s="56"/>
      <c r="C81" s="55" t="s">
        <v>35</v>
      </c>
      <c r="D81" s="69"/>
      <c r="F81" s="154">
        <v>384</v>
      </c>
      <c r="G81" s="152"/>
      <c r="H81" s="154">
        <v>195</v>
      </c>
      <c r="I81" s="152"/>
      <c r="J81" s="154">
        <v>298</v>
      </c>
      <c r="K81" s="152"/>
      <c r="L81" s="154">
        <f>ROUND((509/1936.27)*1000,0)</f>
        <v>263</v>
      </c>
      <c r="M81" s="152"/>
      <c r="N81" s="154">
        <v>1017</v>
      </c>
      <c r="O81" s="152">
        <f>73/1.93627</f>
        <v>37.70135363353251</v>
      </c>
      <c r="P81" s="154">
        <v>864</v>
      </c>
      <c r="Q81" s="152">
        <v>34</v>
      </c>
      <c r="R81" s="154">
        <v>2015</v>
      </c>
      <c r="S81" s="152">
        <v>56</v>
      </c>
      <c r="T81" s="154">
        <v>1916</v>
      </c>
      <c r="U81" s="152">
        <v>23</v>
      </c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</row>
    <row r="82" spans="1:44" s="3" customFormat="1" ht="12.75">
      <c r="A82" s="68"/>
      <c r="B82" s="289" t="s">
        <v>174</v>
      </c>
      <c r="C82" s="264"/>
      <c r="D82" s="265"/>
      <c r="F82" s="190">
        <f aca="true" t="shared" si="14" ref="F82:S82">SUM(F83:F91)</f>
        <v>12794</v>
      </c>
      <c r="G82" s="190">
        <f t="shared" si="14"/>
        <v>2085</v>
      </c>
      <c r="H82" s="190">
        <f t="shared" si="14"/>
        <v>15595</v>
      </c>
      <c r="I82" s="190">
        <f t="shared" si="14"/>
        <v>4093</v>
      </c>
      <c r="J82" s="190">
        <f t="shared" si="14"/>
        <v>15168</v>
      </c>
      <c r="K82" s="190">
        <f t="shared" si="14"/>
        <v>1523</v>
      </c>
      <c r="L82" s="190">
        <f t="shared" si="14"/>
        <v>17030</v>
      </c>
      <c r="M82" s="190">
        <f t="shared" si="14"/>
        <v>2163</v>
      </c>
      <c r="N82" s="190">
        <f t="shared" si="14"/>
        <v>17832</v>
      </c>
      <c r="O82" s="190">
        <f t="shared" si="14"/>
        <v>1813</v>
      </c>
      <c r="P82" s="190">
        <f t="shared" si="14"/>
        <v>19937</v>
      </c>
      <c r="Q82" s="190">
        <f t="shared" si="14"/>
        <v>3960</v>
      </c>
      <c r="R82" s="190">
        <f t="shared" si="14"/>
        <v>22397</v>
      </c>
      <c r="S82" s="190">
        <f t="shared" si="14"/>
        <v>5246</v>
      </c>
      <c r="T82" s="190">
        <f>SUM(T83:T91)</f>
        <v>30419</v>
      </c>
      <c r="U82" s="190">
        <f>SUM(U83:U91)</f>
        <v>8663</v>
      </c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</row>
    <row r="83" spans="1:44" s="3" customFormat="1" ht="12.75">
      <c r="A83" s="68"/>
      <c r="B83" s="56"/>
      <c r="C83" s="55" t="s">
        <v>33</v>
      </c>
      <c r="D83" s="69"/>
      <c r="F83" s="143">
        <v>256</v>
      </c>
      <c r="G83" s="144"/>
      <c r="H83" s="143">
        <v>168</v>
      </c>
      <c r="I83" s="144"/>
      <c r="J83" s="143">
        <v>323</v>
      </c>
      <c r="K83" s="144">
        <v>31</v>
      </c>
      <c r="L83" s="154">
        <f>ROUND((1086/1936.27)*1000,0)</f>
        <v>561</v>
      </c>
      <c r="M83" s="145"/>
      <c r="N83" s="143">
        <v>834</v>
      </c>
      <c r="O83" s="151">
        <f>ROUND((2000/1936.27),0)</f>
        <v>1</v>
      </c>
      <c r="P83" s="143">
        <v>484</v>
      </c>
      <c r="Q83" s="151">
        <v>12</v>
      </c>
      <c r="R83" s="143">
        <v>356</v>
      </c>
      <c r="S83" s="151">
        <v>26</v>
      </c>
      <c r="T83" s="143">
        <v>309</v>
      </c>
      <c r="U83" s="151">
        <v>7</v>
      </c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176"/>
      <c r="AN83" s="176"/>
      <c r="AO83" s="176"/>
      <c r="AP83" s="176"/>
      <c r="AQ83" s="176"/>
      <c r="AR83" s="176"/>
    </row>
    <row r="84" spans="1:44" s="3" customFormat="1" ht="12.75">
      <c r="A84" s="68"/>
      <c r="B84" s="56"/>
      <c r="C84" s="55" t="s">
        <v>36</v>
      </c>
      <c r="D84" s="69"/>
      <c r="F84" s="143">
        <v>1096</v>
      </c>
      <c r="G84" s="144">
        <v>967</v>
      </c>
      <c r="H84" s="143">
        <v>156</v>
      </c>
      <c r="I84" s="144"/>
      <c r="J84" s="143">
        <v>103</v>
      </c>
      <c r="K84" s="144"/>
      <c r="L84" s="154"/>
      <c r="M84" s="145"/>
      <c r="N84" s="143">
        <v>0</v>
      </c>
      <c r="O84" s="145"/>
      <c r="P84" s="143"/>
      <c r="Q84" s="145"/>
      <c r="R84" s="143"/>
      <c r="S84" s="145"/>
      <c r="T84" s="143">
        <v>33</v>
      </c>
      <c r="U84" s="145">
        <v>33</v>
      </c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6"/>
      <c r="AM84" s="176"/>
      <c r="AN84" s="176"/>
      <c r="AO84" s="176"/>
      <c r="AP84" s="176"/>
      <c r="AQ84" s="176"/>
      <c r="AR84" s="176"/>
    </row>
    <row r="85" spans="1:44" s="3" customFormat="1" ht="12.75">
      <c r="A85" s="68"/>
      <c r="B85" s="56"/>
      <c r="C85" s="55" t="s">
        <v>37</v>
      </c>
      <c r="D85" s="69"/>
      <c r="F85" s="143">
        <v>4309</v>
      </c>
      <c r="G85" s="144">
        <v>70</v>
      </c>
      <c r="H85" s="143">
        <v>5489</v>
      </c>
      <c r="I85" s="144">
        <v>788</v>
      </c>
      <c r="J85" s="143">
        <v>6312</v>
      </c>
      <c r="K85" s="144">
        <v>900</v>
      </c>
      <c r="L85" s="154">
        <f>ROUND((12765/1936.27)*1000,0)</f>
        <v>6593</v>
      </c>
      <c r="M85" s="145">
        <f>+ROUND(1834790/1936.27,0)</f>
        <v>948</v>
      </c>
      <c r="N85" s="143">
        <v>6410</v>
      </c>
      <c r="O85" s="151">
        <f>ROUND((1847271/1936.27),0)</f>
        <v>954</v>
      </c>
      <c r="P85" s="143">
        <v>6194</v>
      </c>
      <c r="Q85" s="151">
        <v>901</v>
      </c>
      <c r="R85" s="143">
        <v>5951</v>
      </c>
      <c r="S85" s="151">
        <v>689</v>
      </c>
      <c r="T85" s="143">
        <v>8115</v>
      </c>
      <c r="U85" s="151">
        <v>1231</v>
      </c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P85" s="176"/>
      <c r="AQ85" s="176"/>
      <c r="AR85" s="176"/>
    </row>
    <row r="86" spans="1:44" s="3" customFormat="1" ht="12.75">
      <c r="A86" s="68"/>
      <c r="B86" s="56"/>
      <c r="C86" s="55" t="s">
        <v>132</v>
      </c>
      <c r="D86" s="69"/>
      <c r="F86" s="143"/>
      <c r="G86" s="144"/>
      <c r="H86" s="143"/>
      <c r="I86" s="144"/>
      <c r="J86" s="143"/>
      <c r="K86" s="144"/>
      <c r="L86" s="154"/>
      <c r="M86" s="145"/>
      <c r="N86" s="143"/>
      <c r="O86" s="151"/>
      <c r="P86" s="143">
        <v>1535</v>
      </c>
      <c r="Q86" s="151">
        <v>687</v>
      </c>
      <c r="R86" s="143">
        <v>2541</v>
      </c>
      <c r="S86" s="151">
        <v>1135</v>
      </c>
      <c r="T86" s="143">
        <v>1841</v>
      </c>
      <c r="U86" s="151">
        <v>542</v>
      </c>
      <c r="V86" s="176"/>
      <c r="W86" s="176"/>
      <c r="X86" s="176"/>
      <c r="Y86" s="176"/>
      <c r="Z86" s="176"/>
      <c r="AA86" s="176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  <c r="AL86" s="176"/>
      <c r="AM86" s="176"/>
      <c r="AN86" s="176"/>
      <c r="AO86" s="176"/>
      <c r="AP86" s="176"/>
      <c r="AQ86" s="176"/>
      <c r="AR86" s="176"/>
    </row>
    <row r="87" spans="1:44" s="3" customFormat="1" ht="12.75">
      <c r="A87" s="68"/>
      <c r="B87" s="56"/>
      <c r="C87" s="55" t="s">
        <v>131</v>
      </c>
      <c r="D87" s="69"/>
      <c r="F87" s="143"/>
      <c r="G87" s="144"/>
      <c r="H87" s="143"/>
      <c r="I87" s="144"/>
      <c r="J87" s="143"/>
      <c r="K87" s="144"/>
      <c r="L87" s="154"/>
      <c r="M87" s="145"/>
      <c r="N87" s="143"/>
      <c r="O87" s="151"/>
      <c r="P87" s="143">
        <v>600</v>
      </c>
      <c r="Q87" s="151"/>
      <c r="R87" s="143">
        <v>1198</v>
      </c>
      <c r="S87" s="151">
        <v>366</v>
      </c>
      <c r="T87" s="143">
        <v>5080</v>
      </c>
      <c r="U87" s="151">
        <v>4424</v>
      </c>
      <c r="V87" s="176"/>
      <c r="W87" s="176"/>
      <c r="X87" s="176"/>
      <c r="Y87" s="176"/>
      <c r="Z87" s="176"/>
      <c r="AA87" s="176"/>
      <c r="AB87" s="176"/>
      <c r="AC87" s="176"/>
      <c r="AD87" s="176"/>
      <c r="AE87" s="176"/>
      <c r="AF87" s="176"/>
      <c r="AG87" s="176"/>
      <c r="AH87" s="176"/>
      <c r="AI87" s="176"/>
      <c r="AJ87" s="176"/>
      <c r="AK87" s="176"/>
      <c r="AL87" s="176"/>
      <c r="AM87" s="176"/>
      <c r="AN87" s="176"/>
      <c r="AO87" s="176"/>
      <c r="AP87" s="176"/>
      <c r="AQ87" s="176"/>
      <c r="AR87" s="176"/>
    </row>
    <row r="88" spans="1:44" s="82" customFormat="1" ht="12.75">
      <c r="A88" s="250"/>
      <c r="B88" s="58"/>
      <c r="C88" s="58" t="s">
        <v>124</v>
      </c>
      <c r="D88" s="81"/>
      <c r="F88" s="217">
        <v>1392</v>
      </c>
      <c r="G88" s="218">
        <v>371</v>
      </c>
      <c r="H88" s="217">
        <v>1421</v>
      </c>
      <c r="I88" s="218">
        <v>422</v>
      </c>
      <c r="J88" s="217">
        <v>1197</v>
      </c>
      <c r="K88" s="218">
        <v>247</v>
      </c>
      <c r="L88" s="223">
        <f>ROUND((2752/1936.27)*1000,0)</f>
        <v>1421</v>
      </c>
      <c r="M88" s="222">
        <f>ROUND(570922/1936.27,0)</f>
        <v>295</v>
      </c>
      <c r="N88" s="217">
        <v>2015</v>
      </c>
      <c r="O88" s="181">
        <f>ROUND((850534/1936.27),0)</f>
        <v>439</v>
      </c>
      <c r="P88" s="217"/>
      <c r="Q88" s="181"/>
      <c r="R88" s="217"/>
      <c r="S88" s="181"/>
      <c r="T88" s="217"/>
      <c r="U88" s="181"/>
      <c r="V88" s="232"/>
      <c r="W88" s="232"/>
      <c r="X88" s="232"/>
      <c r="Y88" s="232"/>
      <c r="Z88" s="232"/>
      <c r="AA88" s="232"/>
      <c r="AB88" s="232"/>
      <c r="AC88" s="232"/>
      <c r="AD88" s="232"/>
      <c r="AE88" s="232"/>
      <c r="AF88" s="232"/>
      <c r="AG88" s="232"/>
      <c r="AH88" s="232"/>
      <c r="AI88" s="232"/>
      <c r="AJ88" s="232"/>
      <c r="AK88" s="232"/>
      <c r="AL88" s="232"/>
      <c r="AM88" s="232"/>
      <c r="AN88" s="232"/>
      <c r="AO88" s="232"/>
      <c r="AP88" s="232"/>
      <c r="AQ88" s="232"/>
      <c r="AR88" s="232"/>
    </row>
    <row r="89" spans="1:44" s="3" customFormat="1" ht="12.75">
      <c r="A89" s="68"/>
      <c r="B89" s="56"/>
      <c r="C89" s="55" t="s">
        <v>38</v>
      </c>
      <c r="D89" s="69"/>
      <c r="F89" s="143">
        <f>2012+688-574</f>
        <v>2126</v>
      </c>
      <c r="G89" s="144">
        <f>651+26</f>
        <v>677</v>
      </c>
      <c r="H89" s="143">
        <f>3176+1432-398</f>
        <v>4210</v>
      </c>
      <c r="I89" s="144">
        <f>101+1224+1303-101</f>
        <v>2527</v>
      </c>
      <c r="J89" s="143">
        <v>2576</v>
      </c>
      <c r="K89" s="144">
        <f>177+140+28</f>
        <v>345</v>
      </c>
      <c r="L89" s="154">
        <f>ROUND((6537/1936.27)*1000,0)</f>
        <v>3376</v>
      </c>
      <c r="M89" s="145">
        <f>ROUND(1533955/1936.27,0)</f>
        <v>792</v>
      </c>
      <c r="N89" s="143">
        <v>2520</v>
      </c>
      <c r="O89" s="151">
        <f>ROUND((244356/1936.27),0)</f>
        <v>126</v>
      </c>
      <c r="P89" s="143">
        <v>3846</v>
      </c>
      <c r="Q89" s="151">
        <v>1242</v>
      </c>
      <c r="R89" s="143">
        <v>4521</v>
      </c>
      <c r="S89" s="151">
        <v>1477</v>
      </c>
      <c r="T89" s="143">
        <v>5009</v>
      </c>
      <c r="U89" s="151">
        <v>1722</v>
      </c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  <c r="AL89" s="176"/>
      <c r="AM89" s="176"/>
      <c r="AN89" s="176"/>
      <c r="AO89" s="176"/>
      <c r="AP89" s="176"/>
      <c r="AQ89" s="176"/>
      <c r="AR89" s="176"/>
    </row>
    <row r="90" spans="1:44" s="3" customFormat="1" ht="12.75">
      <c r="A90" s="68"/>
      <c r="B90" s="56"/>
      <c r="C90" s="55" t="s">
        <v>110</v>
      </c>
      <c r="D90" s="69"/>
      <c r="F90" s="143">
        <v>2582</v>
      </c>
      <c r="G90" s="144"/>
      <c r="H90" s="143">
        <v>2659</v>
      </c>
      <c r="I90" s="144"/>
      <c r="J90" s="143">
        <f>3496-1</f>
        <v>3495</v>
      </c>
      <c r="K90" s="144"/>
      <c r="L90" s="154">
        <f>ROUND((7815/1936.27)*1000,0)</f>
        <v>4036</v>
      </c>
      <c r="M90" s="145"/>
      <c r="N90" s="143">
        <v>4063</v>
      </c>
      <c r="O90" s="145"/>
      <c r="P90" s="143">
        <v>4757</v>
      </c>
      <c r="Q90" s="145">
        <v>575</v>
      </c>
      <c r="R90" s="143">
        <v>5353</v>
      </c>
      <c r="S90" s="145">
        <v>1000</v>
      </c>
      <c r="T90" s="143">
        <v>7420</v>
      </c>
      <c r="U90" s="145">
        <v>187</v>
      </c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76"/>
      <c r="AG90" s="176"/>
      <c r="AH90" s="176"/>
      <c r="AI90" s="176"/>
      <c r="AJ90" s="176"/>
      <c r="AK90" s="176"/>
      <c r="AL90" s="176"/>
      <c r="AM90" s="176"/>
      <c r="AN90" s="176"/>
      <c r="AO90" s="176"/>
      <c r="AP90" s="176"/>
      <c r="AQ90" s="176"/>
      <c r="AR90" s="176"/>
    </row>
    <row r="91" spans="1:44" s="3" customFormat="1" ht="12.75">
      <c r="A91" s="68"/>
      <c r="B91" s="56"/>
      <c r="C91" s="55" t="s">
        <v>133</v>
      </c>
      <c r="D91" s="69"/>
      <c r="F91" s="143">
        <v>1033</v>
      </c>
      <c r="G91" s="144"/>
      <c r="H91" s="143">
        <v>1492</v>
      </c>
      <c r="I91" s="144">
        <v>356</v>
      </c>
      <c r="J91" s="143">
        <v>1162</v>
      </c>
      <c r="K91" s="144"/>
      <c r="L91" s="154">
        <f>ROUND((2019/1936.27)*1000,0)</f>
        <v>1043</v>
      </c>
      <c r="M91" s="145">
        <f>ROUND(247831/1936.27,0)</f>
        <v>128</v>
      </c>
      <c r="N91" s="143">
        <v>1990</v>
      </c>
      <c r="O91" s="145">
        <f>ROUND((568177/1936.27),0)</f>
        <v>293</v>
      </c>
      <c r="P91" s="143">
        <v>2521</v>
      </c>
      <c r="Q91" s="145">
        <v>543</v>
      </c>
      <c r="R91" s="143">
        <v>2477</v>
      </c>
      <c r="S91" s="145">
        <v>553</v>
      </c>
      <c r="T91" s="143">
        <v>2612</v>
      </c>
      <c r="U91" s="145">
        <v>517</v>
      </c>
      <c r="V91" s="176"/>
      <c r="W91" s="176"/>
      <c r="X91" s="176"/>
      <c r="Y91" s="176"/>
      <c r="Z91" s="176"/>
      <c r="AA91" s="176"/>
      <c r="AB91" s="176"/>
      <c r="AC91" s="176"/>
      <c r="AD91" s="176"/>
      <c r="AE91" s="176"/>
      <c r="AF91" s="176"/>
      <c r="AG91" s="176"/>
      <c r="AH91" s="176"/>
      <c r="AI91" s="176"/>
      <c r="AJ91" s="176"/>
      <c r="AK91" s="176"/>
      <c r="AL91" s="176"/>
      <c r="AM91" s="176"/>
      <c r="AN91" s="176"/>
      <c r="AO91" s="176"/>
      <c r="AP91" s="176"/>
      <c r="AQ91" s="176"/>
      <c r="AR91" s="176"/>
    </row>
    <row r="92" spans="1:44" s="3" customFormat="1" ht="12.75">
      <c r="A92" s="68"/>
      <c r="B92" s="264" t="s">
        <v>96</v>
      </c>
      <c r="C92" s="264"/>
      <c r="D92" s="265"/>
      <c r="F92" s="190">
        <f aca="true" t="shared" si="15" ref="F92:U92">SUM(F93:F98)</f>
        <v>2741</v>
      </c>
      <c r="G92" s="190">
        <f t="shared" si="15"/>
        <v>1695</v>
      </c>
      <c r="H92" s="190">
        <f t="shared" si="15"/>
        <v>2822</v>
      </c>
      <c r="I92" s="190">
        <f t="shared" si="15"/>
        <v>1592</v>
      </c>
      <c r="J92" s="190">
        <f t="shared" si="15"/>
        <v>2732</v>
      </c>
      <c r="K92" s="190">
        <f t="shared" si="15"/>
        <v>795</v>
      </c>
      <c r="L92" s="190">
        <f t="shared" si="15"/>
        <v>3356</v>
      </c>
      <c r="M92" s="190">
        <f t="shared" si="15"/>
        <v>1192</v>
      </c>
      <c r="N92" s="190">
        <f t="shared" si="15"/>
        <v>4210</v>
      </c>
      <c r="O92" s="190">
        <f t="shared" si="15"/>
        <v>1235</v>
      </c>
      <c r="P92" s="190">
        <f t="shared" si="15"/>
        <v>5687</v>
      </c>
      <c r="Q92" s="190">
        <f t="shared" si="15"/>
        <v>1571</v>
      </c>
      <c r="R92" s="190">
        <f t="shared" si="15"/>
        <v>5570</v>
      </c>
      <c r="S92" s="190">
        <f t="shared" si="15"/>
        <v>1265</v>
      </c>
      <c r="T92" s="190">
        <f t="shared" si="15"/>
        <v>4932</v>
      </c>
      <c r="U92" s="190">
        <f t="shared" si="15"/>
        <v>1578</v>
      </c>
      <c r="V92" s="176"/>
      <c r="W92" s="176"/>
      <c r="X92" s="176"/>
      <c r="Y92" s="176"/>
      <c r="Z92" s="176"/>
      <c r="AA92" s="176"/>
      <c r="AB92" s="176"/>
      <c r="AC92" s="176"/>
      <c r="AD92" s="176"/>
      <c r="AE92" s="176"/>
      <c r="AF92" s="176"/>
      <c r="AG92" s="176"/>
      <c r="AH92" s="176"/>
      <c r="AI92" s="176"/>
      <c r="AJ92" s="176"/>
      <c r="AK92" s="176"/>
      <c r="AL92" s="176"/>
      <c r="AM92" s="176"/>
      <c r="AN92" s="176"/>
      <c r="AO92" s="176"/>
      <c r="AP92" s="176"/>
      <c r="AQ92" s="176"/>
      <c r="AR92" s="176"/>
    </row>
    <row r="93" spans="1:44" s="3" customFormat="1" ht="12.75">
      <c r="A93" s="68"/>
      <c r="B93" s="56"/>
      <c r="C93" s="55" t="s">
        <v>33</v>
      </c>
      <c r="D93" s="69"/>
      <c r="F93" s="143">
        <v>139</v>
      </c>
      <c r="G93" s="144">
        <v>37</v>
      </c>
      <c r="H93" s="151">
        <v>227</v>
      </c>
      <c r="I93" s="145">
        <v>85</v>
      </c>
      <c r="J93" s="143">
        <v>221</v>
      </c>
      <c r="K93" s="144">
        <v>38</v>
      </c>
      <c r="L93" s="154">
        <f>ROUND((1367/1936.27)*1000,0)</f>
        <v>706</v>
      </c>
      <c r="M93" s="151">
        <f>ROUND(361500/1936.27,0)</f>
        <v>187</v>
      </c>
      <c r="N93" s="151">
        <v>399</v>
      </c>
      <c r="O93" s="151">
        <f>ROUND((107600/1936.27),0)</f>
        <v>56</v>
      </c>
      <c r="P93" s="151">
        <v>257</v>
      </c>
      <c r="Q93" s="151">
        <v>23</v>
      </c>
      <c r="R93" s="151">
        <v>137</v>
      </c>
      <c r="S93" s="151">
        <v>38</v>
      </c>
      <c r="T93" s="151">
        <v>138</v>
      </c>
      <c r="U93" s="151">
        <v>28</v>
      </c>
      <c r="V93" s="176"/>
      <c r="W93" s="176"/>
      <c r="X93" s="176"/>
      <c r="Y93" s="176"/>
      <c r="Z93" s="176"/>
      <c r="AA93" s="176"/>
      <c r="AB93" s="176"/>
      <c r="AC93" s="176"/>
      <c r="AD93" s="176"/>
      <c r="AE93" s="176"/>
      <c r="AF93" s="176"/>
      <c r="AG93" s="176"/>
      <c r="AH93" s="176"/>
      <c r="AI93" s="176"/>
      <c r="AJ93" s="176"/>
      <c r="AK93" s="176"/>
      <c r="AL93" s="176"/>
      <c r="AM93" s="176"/>
      <c r="AN93" s="176"/>
      <c r="AO93" s="176"/>
      <c r="AP93" s="176"/>
      <c r="AQ93" s="176"/>
      <c r="AR93" s="176"/>
    </row>
    <row r="94" spans="1:44" s="3" customFormat="1" ht="12.75">
      <c r="A94" s="68"/>
      <c r="B94" s="56"/>
      <c r="C94" s="56" t="s">
        <v>97</v>
      </c>
      <c r="D94" s="69"/>
      <c r="F94" s="143">
        <f>540-ROUND(20000/1936.27,0)</f>
        <v>530</v>
      </c>
      <c r="G94" s="144">
        <v>150</v>
      </c>
      <c r="H94" s="143">
        <f>320-ROUND(12000/1936.27,0)</f>
        <v>314</v>
      </c>
      <c r="I94" s="144">
        <v>182</v>
      </c>
      <c r="J94" s="143">
        <f>875-ROUND(17973/1936.27,0)</f>
        <v>866</v>
      </c>
      <c r="K94" s="144">
        <v>117</v>
      </c>
      <c r="L94" s="154">
        <f>ROUND((1634/1936.27)*1000,0)</f>
        <v>844</v>
      </c>
      <c r="M94" s="151">
        <f>ROUND(292090/1936.27,0)</f>
        <v>151</v>
      </c>
      <c r="N94" s="151">
        <v>888</v>
      </c>
      <c r="O94" s="151">
        <f>ROUND((300000/1936.27),0)</f>
        <v>155</v>
      </c>
      <c r="P94" s="151">
        <v>2475</v>
      </c>
      <c r="Q94" s="151">
        <v>804</v>
      </c>
      <c r="R94" s="151">
        <v>2234</v>
      </c>
      <c r="S94" s="151">
        <v>570</v>
      </c>
      <c r="T94" s="151">
        <v>2766</v>
      </c>
      <c r="U94" s="151">
        <v>843</v>
      </c>
      <c r="V94" s="176"/>
      <c r="W94" s="176"/>
      <c r="X94" s="176"/>
      <c r="Y94" s="176"/>
      <c r="Z94" s="176"/>
      <c r="AA94" s="176"/>
      <c r="AB94" s="176"/>
      <c r="AC94" s="176"/>
      <c r="AD94" s="176"/>
      <c r="AE94" s="176"/>
      <c r="AF94" s="176"/>
      <c r="AG94" s="176"/>
      <c r="AH94" s="176"/>
      <c r="AI94" s="176"/>
      <c r="AJ94" s="176"/>
      <c r="AK94" s="176"/>
      <c r="AL94" s="176"/>
      <c r="AM94" s="176"/>
      <c r="AN94" s="176"/>
      <c r="AO94" s="176"/>
      <c r="AP94" s="176"/>
      <c r="AQ94" s="176"/>
      <c r="AR94" s="176"/>
    </row>
    <row r="95" spans="1:44" s="3" customFormat="1" ht="12.75">
      <c r="A95" s="68"/>
      <c r="B95" s="56"/>
      <c r="C95" s="55" t="s">
        <v>111</v>
      </c>
      <c r="D95" s="69"/>
      <c r="F95" s="143">
        <v>70</v>
      </c>
      <c r="G95" s="144">
        <v>0</v>
      </c>
      <c r="H95" s="143">
        <f>480-ROUND((580000+128796)/1936.27,0)</f>
        <v>114</v>
      </c>
      <c r="I95" s="144">
        <v>0</v>
      </c>
      <c r="J95" s="143">
        <f>596-ROUND((87000+650000)/1936.27,0)</f>
        <v>215</v>
      </c>
      <c r="K95" s="144">
        <f>59-45</f>
        <v>14</v>
      </c>
      <c r="L95" s="154">
        <f>ROUND((368/1936.27)*1000,0)</f>
        <v>190</v>
      </c>
      <c r="M95" s="151">
        <f>ROUND(23000/1936.27,0)</f>
        <v>12</v>
      </c>
      <c r="N95" s="151">
        <v>203</v>
      </c>
      <c r="O95" s="151"/>
      <c r="P95" s="151">
        <v>116</v>
      </c>
      <c r="Q95" s="151"/>
      <c r="R95" s="151">
        <v>147</v>
      </c>
      <c r="S95" s="151"/>
      <c r="T95" s="151">
        <v>97</v>
      </c>
      <c r="U95" s="151">
        <v>5</v>
      </c>
      <c r="V95" s="176"/>
      <c r="W95" s="176"/>
      <c r="X95" s="176"/>
      <c r="Y95" s="176"/>
      <c r="Z95" s="176"/>
      <c r="AA95" s="176"/>
      <c r="AB95" s="176"/>
      <c r="AC95" s="176"/>
      <c r="AD95" s="176"/>
      <c r="AE95" s="176"/>
      <c r="AF95" s="176"/>
      <c r="AG95" s="176"/>
      <c r="AH95" s="176"/>
      <c r="AI95" s="176"/>
      <c r="AJ95" s="176"/>
      <c r="AK95" s="176"/>
      <c r="AL95" s="176"/>
      <c r="AM95" s="176"/>
      <c r="AN95" s="176"/>
      <c r="AO95" s="176"/>
      <c r="AP95" s="176"/>
      <c r="AQ95" s="176"/>
      <c r="AR95" s="176"/>
    </row>
    <row r="96" spans="1:44" s="3" customFormat="1" ht="12.75">
      <c r="A96" s="68"/>
      <c r="B96" s="56"/>
      <c r="C96" s="55" t="s">
        <v>112</v>
      </c>
      <c r="D96" s="69"/>
      <c r="F96" s="143">
        <f>+ROUND((307100+65000+20000+6451)/1936.27,0)</f>
        <v>206</v>
      </c>
      <c r="G96" s="144">
        <v>206</v>
      </c>
      <c r="H96" s="143">
        <f>0+ROUND((65000+12000+580000+128796)/1936.27,0)</f>
        <v>406</v>
      </c>
      <c r="I96" s="144">
        <v>67</v>
      </c>
      <c r="J96" s="143">
        <f>+ROUND((18000+87000+650000)/1936.27,0)</f>
        <v>390</v>
      </c>
      <c r="K96" s="144">
        <v>45</v>
      </c>
      <c r="L96" s="154">
        <f>ROUND((2213/1936.27)*1000,0)</f>
        <v>1143</v>
      </c>
      <c r="M96" s="151">
        <f>ROUND(1536207/1936.27,0)</f>
        <v>793</v>
      </c>
      <c r="N96" s="151">
        <v>2275</v>
      </c>
      <c r="O96" s="151">
        <f>ROUND((1948733/1936.27),0)</f>
        <v>1006</v>
      </c>
      <c r="P96" s="151">
        <f>2366+30</f>
        <v>2396</v>
      </c>
      <c r="Q96" s="151">
        <v>736</v>
      </c>
      <c r="R96" s="151">
        <f>2498+92</f>
        <v>2590</v>
      </c>
      <c r="S96" s="151">
        <v>649</v>
      </c>
      <c r="T96" s="151">
        <v>1509</v>
      </c>
      <c r="U96" s="151">
        <v>694</v>
      </c>
      <c r="V96" s="176"/>
      <c r="W96" s="176"/>
      <c r="X96" s="176"/>
      <c r="Y96" s="176"/>
      <c r="Z96" s="176"/>
      <c r="AA96" s="176"/>
      <c r="AB96" s="176"/>
      <c r="AC96" s="176"/>
      <c r="AD96" s="176"/>
      <c r="AE96" s="176"/>
      <c r="AF96" s="176"/>
      <c r="AG96" s="176"/>
      <c r="AH96" s="176"/>
      <c r="AI96" s="176"/>
      <c r="AJ96" s="176"/>
      <c r="AK96" s="176"/>
      <c r="AL96" s="176"/>
      <c r="AM96" s="176"/>
      <c r="AN96" s="176"/>
      <c r="AO96" s="176"/>
      <c r="AP96" s="176"/>
      <c r="AQ96" s="176"/>
      <c r="AR96" s="176"/>
    </row>
    <row r="97" spans="1:44" s="3" customFormat="1" ht="12.75">
      <c r="A97" s="68"/>
      <c r="B97" s="56"/>
      <c r="C97" s="55" t="s">
        <v>118</v>
      </c>
      <c r="D97" s="69"/>
      <c r="F97" s="143">
        <v>427</v>
      </c>
      <c r="G97" s="144">
        <v>34</v>
      </c>
      <c r="H97" s="143">
        <v>444</v>
      </c>
      <c r="I97" s="144">
        <v>41</v>
      </c>
      <c r="J97" s="143">
        <v>467</v>
      </c>
      <c r="K97" s="144">
        <v>65</v>
      </c>
      <c r="L97" s="154">
        <f>ROUND((916/1936.27)*1000,0)</f>
        <v>473</v>
      </c>
      <c r="M97" s="151">
        <f>ROUND(94889/1936.27,0)</f>
        <v>49</v>
      </c>
      <c r="N97" s="151">
        <v>445</v>
      </c>
      <c r="O97" s="151">
        <f>ROUND((34765/1936.27),0)</f>
        <v>18</v>
      </c>
      <c r="P97" s="151">
        <v>443</v>
      </c>
      <c r="Q97" s="151">
        <v>8</v>
      </c>
      <c r="R97" s="151">
        <v>462</v>
      </c>
      <c r="S97" s="151">
        <v>8</v>
      </c>
      <c r="T97" s="151">
        <v>422</v>
      </c>
      <c r="U97" s="151">
        <v>8</v>
      </c>
      <c r="V97" s="176"/>
      <c r="W97" s="176"/>
      <c r="X97" s="176"/>
      <c r="Y97" s="176"/>
      <c r="Z97" s="176"/>
      <c r="AA97" s="176"/>
      <c r="AB97" s="176"/>
      <c r="AC97" s="176"/>
      <c r="AD97" s="176"/>
      <c r="AE97" s="176"/>
      <c r="AF97" s="176"/>
      <c r="AG97" s="176"/>
      <c r="AH97" s="176"/>
      <c r="AI97" s="176"/>
      <c r="AJ97" s="176"/>
      <c r="AK97" s="176"/>
      <c r="AL97" s="176"/>
      <c r="AM97" s="176"/>
      <c r="AN97" s="176"/>
      <c r="AO97" s="176"/>
      <c r="AP97" s="176"/>
      <c r="AQ97" s="176"/>
      <c r="AR97" s="176"/>
    </row>
    <row r="98" spans="1:44" s="3" customFormat="1" ht="12.75">
      <c r="A98" s="95"/>
      <c r="B98" s="96"/>
      <c r="C98" s="165" t="s">
        <v>98</v>
      </c>
      <c r="D98" s="166"/>
      <c r="E98" s="167"/>
      <c r="F98" s="229">
        <f>1561-ROUND((307100+65000)/1936.27,0)</f>
        <v>1369</v>
      </c>
      <c r="G98" s="230">
        <f>1427-159</f>
        <v>1268</v>
      </c>
      <c r="H98" s="229">
        <f>1351-ROUND(65000/1936.27,0)</f>
        <v>1317</v>
      </c>
      <c r="I98" s="230">
        <v>1217</v>
      </c>
      <c r="J98" s="229">
        <f>573</f>
        <v>573</v>
      </c>
      <c r="K98" s="230">
        <v>516</v>
      </c>
      <c r="L98" s="231">
        <v>0</v>
      </c>
      <c r="M98" s="168"/>
      <c r="N98" s="168">
        <v>0</v>
      </c>
      <c r="O98" s="168"/>
      <c r="P98" s="168"/>
      <c r="Q98" s="168"/>
      <c r="R98" s="168"/>
      <c r="S98" s="168"/>
      <c r="T98" s="168"/>
      <c r="U98" s="168"/>
      <c r="V98" s="232"/>
      <c r="W98" s="232"/>
      <c r="X98" s="232"/>
      <c r="Y98" s="232"/>
      <c r="Z98" s="232"/>
      <c r="AA98" s="232"/>
      <c r="AB98" s="232"/>
      <c r="AC98" s="232"/>
      <c r="AD98" s="232"/>
      <c r="AE98" s="232"/>
      <c r="AF98" s="232"/>
      <c r="AG98" s="232"/>
      <c r="AH98" s="232"/>
      <c r="AI98" s="232"/>
      <c r="AJ98" s="232"/>
      <c r="AK98" s="232"/>
      <c r="AL98" s="232"/>
      <c r="AM98" s="232"/>
      <c r="AN98" s="232"/>
      <c r="AO98" s="232"/>
      <c r="AP98" s="232"/>
      <c r="AQ98" s="176"/>
      <c r="AR98" s="176"/>
    </row>
    <row r="99" spans="1:44" s="3" customFormat="1" ht="12.75">
      <c r="A99" s="282" t="s">
        <v>177</v>
      </c>
      <c r="B99" s="280"/>
      <c r="C99" s="280"/>
      <c r="D99" s="281"/>
      <c r="E99" s="161"/>
      <c r="F99" s="189">
        <f aca="true" t="shared" si="16" ref="F99:S99">+F100+F101+F102+F118+F123</f>
        <v>13424</v>
      </c>
      <c r="G99" s="189">
        <f t="shared" si="16"/>
        <v>1177</v>
      </c>
      <c r="H99" s="189">
        <f t="shared" si="16"/>
        <v>18897</v>
      </c>
      <c r="I99" s="189">
        <f t="shared" si="16"/>
        <v>1373</v>
      </c>
      <c r="J99" s="189">
        <f t="shared" si="16"/>
        <v>23805</v>
      </c>
      <c r="K99" s="189">
        <f t="shared" si="16"/>
        <v>9883</v>
      </c>
      <c r="L99" s="189">
        <f t="shared" si="16"/>
        <v>21424</v>
      </c>
      <c r="M99" s="189">
        <f t="shared" si="16"/>
        <v>5318</v>
      </c>
      <c r="N99" s="189">
        <f t="shared" si="16"/>
        <v>19845</v>
      </c>
      <c r="O99" s="189">
        <f t="shared" si="16"/>
        <v>4538</v>
      </c>
      <c r="P99" s="189">
        <f t="shared" si="16"/>
        <v>19422</v>
      </c>
      <c r="Q99" s="189">
        <f t="shared" si="16"/>
        <v>3125</v>
      </c>
      <c r="R99" s="189">
        <f t="shared" si="16"/>
        <v>23590</v>
      </c>
      <c r="S99" s="189">
        <f t="shared" si="16"/>
        <v>5028</v>
      </c>
      <c r="T99" s="189">
        <f>+T100+T101+T102+T118+T123</f>
        <v>20617</v>
      </c>
      <c r="U99" s="189">
        <f>+U100+U101+U102+U118+U123</f>
        <v>2207</v>
      </c>
      <c r="V99" s="176"/>
      <c r="W99" s="176"/>
      <c r="X99" s="176"/>
      <c r="Y99" s="176"/>
      <c r="Z99" s="176"/>
      <c r="AA99" s="176"/>
      <c r="AB99" s="176"/>
      <c r="AC99" s="176"/>
      <c r="AD99" s="176"/>
      <c r="AE99" s="176"/>
      <c r="AF99" s="176"/>
      <c r="AG99" s="176"/>
      <c r="AH99" s="176"/>
      <c r="AI99" s="176"/>
      <c r="AJ99" s="176"/>
      <c r="AK99" s="176"/>
      <c r="AL99" s="176"/>
      <c r="AM99" s="176"/>
      <c r="AN99" s="176"/>
      <c r="AO99" s="176"/>
      <c r="AP99" s="176"/>
      <c r="AQ99" s="176"/>
      <c r="AR99" s="176"/>
    </row>
    <row r="100" spans="1:44" s="3" customFormat="1" ht="12.75">
      <c r="A100" s="68"/>
      <c r="B100" s="56"/>
      <c r="C100" s="56" t="s">
        <v>178</v>
      </c>
      <c r="D100" s="69"/>
      <c r="F100" s="151"/>
      <c r="G100" s="145"/>
      <c r="H100" s="151"/>
      <c r="I100" s="145"/>
      <c r="J100" s="144"/>
      <c r="K100" s="144"/>
      <c r="L100" s="152"/>
      <c r="M100" s="145"/>
      <c r="N100" s="144"/>
      <c r="O100" s="145"/>
      <c r="P100" s="143"/>
      <c r="Q100" s="145"/>
      <c r="R100" s="144"/>
      <c r="S100" s="145"/>
      <c r="T100" s="144"/>
      <c r="U100" s="145"/>
      <c r="V100" s="176"/>
      <c r="W100" s="176"/>
      <c r="X100" s="176"/>
      <c r="Y100" s="176"/>
      <c r="Z100" s="176"/>
      <c r="AA100" s="176"/>
      <c r="AB100" s="176"/>
      <c r="AC100" s="176"/>
      <c r="AD100" s="176"/>
      <c r="AE100" s="176"/>
      <c r="AF100" s="176"/>
      <c r="AG100" s="176"/>
      <c r="AH100" s="176"/>
      <c r="AI100" s="176"/>
      <c r="AJ100" s="176"/>
      <c r="AK100" s="176"/>
      <c r="AL100" s="176"/>
      <c r="AM100" s="176"/>
      <c r="AN100" s="176"/>
      <c r="AO100" s="176"/>
      <c r="AP100" s="176"/>
      <c r="AQ100" s="176"/>
      <c r="AR100" s="176"/>
    </row>
    <row r="101" spans="1:44" s="3" customFormat="1" ht="12.75">
      <c r="A101" s="68"/>
      <c r="B101" s="264" t="s">
        <v>198</v>
      </c>
      <c r="C101" s="271"/>
      <c r="D101" s="272"/>
      <c r="F101" s="193"/>
      <c r="G101" s="233"/>
      <c r="H101" s="193"/>
      <c r="I101" s="233"/>
      <c r="J101" s="193"/>
      <c r="K101" s="233"/>
      <c r="L101" s="234">
        <f>ROUND((40/1936.27)*1000,0)</f>
        <v>21</v>
      </c>
      <c r="M101" s="152"/>
      <c r="N101" s="193">
        <v>231</v>
      </c>
      <c r="O101" s="152"/>
      <c r="P101" s="193">
        <v>71</v>
      </c>
      <c r="Q101" s="152"/>
      <c r="R101" s="193">
        <v>472</v>
      </c>
      <c r="S101" s="209">
        <v>203</v>
      </c>
      <c r="T101" s="193">
        <v>436</v>
      </c>
      <c r="U101" s="209">
        <v>211</v>
      </c>
      <c r="V101" s="176"/>
      <c r="W101" s="176"/>
      <c r="X101" s="176"/>
      <c r="Y101" s="176"/>
      <c r="Z101" s="176"/>
      <c r="AA101" s="176"/>
      <c r="AB101" s="176"/>
      <c r="AC101" s="176"/>
      <c r="AD101" s="176"/>
      <c r="AE101" s="176"/>
      <c r="AF101" s="176"/>
      <c r="AG101" s="176"/>
      <c r="AH101" s="176"/>
      <c r="AI101" s="176"/>
      <c r="AJ101" s="176"/>
      <c r="AK101" s="176"/>
      <c r="AL101" s="176"/>
      <c r="AM101" s="176"/>
      <c r="AN101" s="176"/>
      <c r="AO101" s="176"/>
      <c r="AP101" s="176"/>
      <c r="AQ101" s="176"/>
      <c r="AR101" s="176"/>
    </row>
    <row r="102" spans="1:44" s="3" customFormat="1" ht="12.75">
      <c r="A102" s="68"/>
      <c r="B102" s="289" t="s">
        <v>199</v>
      </c>
      <c r="C102" s="271"/>
      <c r="D102" s="272"/>
      <c r="F102" s="193">
        <f aca="true" t="shared" si="17" ref="F102:O102">SUM(F103:F117)</f>
        <v>7682</v>
      </c>
      <c r="G102" s="193">
        <f t="shared" si="17"/>
        <v>93</v>
      </c>
      <c r="H102" s="193">
        <f t="shared" si="17"/>
        <v>13043</v>
      </c>
      <c r="I102" s="193">
        <f t="shared" si="17"/>
        <v>303</v>
      </c>
      <c r="J102" s="193">
        <f t="shared" si="17"/>
        <v>16143</v>
      </c>
      <c r="K102" s="193">
        <f t="shared" si="17"/>
        <v>7319</v>
      </c>
      <c r="L102" s="193">
        <f t="shared" si="17"/>
        <v>14651</v>
      </c>
      <c r="M102" s="193">
        <f t="shared" si="17"/>
        <v>3888</v>
      </c>
      <c r="N102" s="193">
        <f t="shared" si="17"/>
        <v>11327</v>
      </c>
      <c r="O102" s="193">
        <f t="shared" si="17"/>
        <v>1616</v>
      </c>
      <c r="P102" s="193">
        <f aca="true" t="shared" si="18" ref="P102:U102">SUM(P103:P117)</f>
        <v>10790</v>
      </c>
      <c r="Q102" s="193">
        <f t="shared" si="18"/>
        <v>542</v>
      </c>
      <c r="R102" s="193">
        <f t="shared" si="18"/>
        <v>14278</v>
      </c>
      <c r="S102" s="193">
        <f t="shared" si="18"/>
        <v>1856</v>
      </c>
      <c r="T102" s="193">
        <f t="shared" si="18"/>
        <v>13823</v>
      </c>
      <c r="U102" s="193">
        <f t="shared" si="18"/>
        <v>1419</v>
      </c>
      <c r="V102" s="176"/>
      <c r="W102" s="176"/>
      <c r="X102" s="176"/>
      <c r="Y102" s="176"/>
      <c r="Z102" s="176"/>
      <c r="AA102" s="176"/>
      <c r="AB102" s="176"/>
      <c r="AC102" s="176"/>
      <c r="AD102" s="176"/>
      <c r="AE102" s="176"/>
      <c r="AF102" s="176"/>
      <c r="AG102" s="176"/>
      <c r="AH102" s="176"/>
      <c r="AI102" s="176"/>
      <c r="AJ102" s="176"/>
      <c r="AK102" s="176"/>
      <c r="AL102" s="176"/>
      <c r="AM102" s="176"/>
      <c r="AN102" s="176"/>
      <c r="AO102" s="176"/>
      <c r="AP102" s="176"/>
      <c r="AQ102" s="176"/>
      <c r="AR102" s="176"/>
    </row>
    <row r="103" spans="1:44" s="3" customFormat="1" ht="12.75">
      <c r="A103" s="68"/>
      <c r="B103" s="78"/>
      <c r="C103" s="56" t="s">
        <v>9</v>
      </c>
      <c r="D103" s="23"/>
      <c r="F103" s="143">
        <v>193</v>
      </c>
      <c r="G103" s="144">
        <v>27</v>
      </c>
      <c r="H103" s="151">
        <f>ROUND(828000/1936.27,0)</f>
        <v>428</v>
      </c>
      <c r="I103" s="145">
        <v>238</v>
      </c>
      <c r="J103" s="143">
        <v>694</v>
      </c>
      <c r="K103" s="144">
        <v>525</v>
      </c>
      <c r="L103" s="154">
        <f>ROUND((843/1936.27)*1000,0)</f>
        <v>435</v>
      </c>
      <c r="M103" s="145">
        <f>ROUND(329000/1936.27,0)</f>
        <v>170</v>
      </c>
      <c r="N103" s="143">
        <v>1846</v>
      </c>
      <c r="O103" s="151">
        <f>ROUND((3015000/1936.27),0)</f>
        <v>1557</v>
      </c>
      <c r="P103" s="143">
        <v>113</v>
      </c>
      <c r="Q103" s="151"/>
      <c r="R103" s="143">
        <v>191</v>
      </c>
      <c r="S103" s="151"/>
      <c r="T103" s="143">
        <v>126</v>
      </c>
      <c r="U103" s="151"/>
      <c r="V103" s="176"/>
      <c r="W103" s="176"/>
      <c r="X103" s="176"/>
      <c r="Y103" s="176"/>
      <c r="Z103" s="176"/>
      <c r="AA103" s="176"/>
      <c r="AB103" s="176"/>
      <c r="AC103" s="176"/>
      <c r="AD103" s="176"/>
      <c r="AE103" s="176"/>
      <c r="AF103" s="176"/>
      <c r="AG103" s="176"/>
      <c r="AH103" s="176"/>
      <c r="AI103" s="176"/>
      <c r="AJ103" s="176"/>
      <c r="AK103" s="176"/>
      <c r="AL103" s="176"/>
      <c r="AM103" s="176"/>
      <c r="AN103" s="176"/>
      <c r="AO103" s="176"/>
      <c r="AP103" s="176"/>
      <c r="AQ103" s="176"/>
      <c r="AR103" s="176"/>
    </row>
    <row r="104" spans="1:44" s="3" customFormat="1" ht="12.75">
      <c r="A104" s="68"/>
      <c r="B104" s="78"/>
      <c r="C104" s="56" t="s">
        <v>134</v>
      </c>
      <c r="D104" s="23"/>
      <c r="F104" s="143">
        <v>1042</v>
      </c>
      <c r="G104" s="144"/>
      <c r="H104" s="151">
        <f>ROUND(8731000/1936.27,0)</f>
        <v>4509</v>
      </c>
      <c r="I104" s="144"/>
      <c r="J104" s="143">
        <v>805</v>
      </c>
      <c r="K104" s="144"/>
      <c r="L104" s="154">
        <f>ROUND((674/1936.27)*1000,0)</f>
        <v>348</v>
      </c>
      <c r="M104" s="145"/>
      <c r="N104" s="143">
        <v>1310</v>
      </c>
      <c r="O104" s="151"/>
      <c r="P104" s="143">
        <v>1943</v>
      </c>
      <c r="Q104" s="151">
        <v>87</v>
      </c>
      <c r="R104" s="143">
        <v>3609</v>
      </c>
      <c r="S104" s="151">
        <v>833</v>
      </c>
      <c r="T104" s="143">
        <v>3222</v>
      </c>
      <c r="U104" s="151">
        <v>648</v>
      </c>
      <c r="V104" s="176"/>
      <c r="W104" s="176"/>
      <c r="X104" s="176"/>
      <c r="Y104" s="176"/>
      <c r="Z104" s="176"/>
      <c r="AA104" s="176"/>
      <c r="AB104" s="176"/>
      <c r="AC104" s="176"/>
      <c r="AD104" s="176"/>
      <c r="AE104" s="176"/>
      <c r="AF104" s="176"/>
      <c r="AG104" s="176"/>
      <c r="AH104" s="176"/>
      <c r="AI104" s="176"/>
      <c r="AJ104" s="176"/>
      <c r="AK104" s="176"/>
      <c r="AL104" s="176"/>
      <c r="AM104" s="176"/>
      <c r="AN104" s="176"/>
      <c r="AO104" s="176"/>
      <c r="AP104" s="176"/>
      <c r="AQ104" s="176"/>
      <c r="AR104" s="176"/>
    </row>
    <row r="105" spans="1:44" s="3" customFormat="1" ht="12.75">
      <c r="A105" s="68"/>
      <c r="B105" s="78"/>
      <c r="C105" s="56" t="s">
        <v>113</v>
      </c>
      <c r="D105" s="23"/>
      <c r="F105" s="143"/>
      <c r="G105" s="144"/>
      <c r="H105" s="151">
        <f>ROUND(1973000/1936.27,0)</f>
        <v>1019</v>
      </c>
      <c r="I105" s="144"/>
      <c r="J105" s="143">
        <v>7165</v>
      </c>
      <c r="K105" s="144">
        <v>6714</v>
      </c>
      <c r="L105" s="154">
        <f>ROUND((11149/1936.27)*1000,0)</f>
        <v>5758</v>
      </c>
      <c r="M105" s="145">
        <v>3615</v>
      </c>
      <c r="N105" s="143">
        <v>0</v>
      </c>
      <c r="O105" s="151"/>
      <c r="P105" s="143">
        <v>270</v>
      </c>
      <c r="Q105" s="151">
        <v>270</v>
      </c>
      <c r="R105" s="143">
        <v>59</v>
      </c>
      <c r="S105" s="151">
        <v>59</v>
      </c>
      <c r="T105" s="143"/>
      <c r="U105" s="151"/>
      <c r="V105" s="176"/>
      <c r="W105" s="176"/>
      <c r="X105" s="176"/>
      <c r="Y105" s="176"/>
      <c r="Z105" s="176"/>
      <c r="AA105" s="176"/>
      <c r="AB105" s="176"/>
      <c r="AC105" s="176"/>
      <c r="AD105" s="176"/>
      <c r="AE105" s="176"/>
      <c r="AF105" s="176"/>
      <c r="AG105" s="176"/>
      <c r="AH105" s="176"/>
      <c r="AI105" s="176"/>
      <c r="AJ105" s="176"/>
      <c r="AK105" s="176"/>
      <c r="AL105" s="176"/>
      <c r="AM105" s="176"/>
      <c r="AN105" s="176"/>
      <c r="AO105" s="176"/>
      <c r="AP105" s="176"/>
      <c r="AQ105" s="176"/>
      <c r="AR105" s="176"/>
    </row>
    <row r="106" spans="1:44" s="3" customFormat="1" ht="12.75">
      <c r="A106" s="68"/>
      <c r="B106" s="78"/>
      <c r="C106" s="56" t="s">
        <v>62</v>
      </c>
      <c r="D106" s="23"/>
      <c r="F106" s="143">
        <v>2549</v>
      </c>
      <c r="G106" s="144"/>
      <c r="H106" s="151">
        <f>ROUND(5539000/1936.27,0)</f>
        <v>2861</v>
      </c>
      <c r="I106" s="144"/>
      <c r="J106" s="143">
        <v>3001</v>
      </c>
      <c r="K106" s="144"/>
      <c r="L106" s="154">
        <f>ROUND((6431/1936.27)*1000,0)</f>
        <v>3321</v>
      </c>
      <c r="M106" s="145"/>
      <c r="N106" s="143">
        <v>2893</v>
      </c>
      <c r="O106" s="151"/>
      <c r="P106" s="143">
        <v>2680</v>
      </c>
      <c r="Q106" s="151"/>
      <c r="R106" s="143">
        <v>2879</v>
      </c>
      <c r="S106" s="151">
        <v>8</v>
      </c>
      <c r="T106" s="143">
        <v>2890</v>
      </c>
      <c r="U106" s="151">
        <v>19</v>
      </c>
      <c r="V106" s="176"/>
      <c r="W106" s="176"/>
      <c r="X106" s="176"/>
      <c r="Y106" s="176"/>
      <c r="Z106" s="176"/>
      <c r="AA106" s="176"/>
      <c r="AB106" s="176"/>
      <c r="AC106" s="176"/>
      <c r="AD106" s="176"/>
      <c r="AE106" s="176"/>
      <c r="AF106" s="176"/>
      <c r="AG106" s="176"/>
      <c r="AH106" s="176"/>
      <c r="AI106" s="176"/>
      <c r="AJ106" s="176"/>
      <c r="AK106" s="176"/>
      <c r="AL106" s="176"/>
      <c r="AM106" s="176"/>
      <c r="AN106" s="176"/>
      <c r="AO106" s="176"/>
      <c r="AP106" s="176"/>
      <c r="AQ106" s="176"/>
      <c r="AR106" s="176"/>
    </row>
    <row r="107" spans="1:44" s="3" customFormat="1" ht="12.75">
      <c r="A107" s="68"/>
      <c r="B107" s="78"/>
      <c r="C107" s="56" t="s">
        <v>24</v>
      </c>
      <c r="D107" s="23"/>
      <c r="F107" s="143">
        <v>479</v>
      </c>
      <c r="G107" s="144">
        <v>3</v>
      </c>
      <c r="H107" s="151">
        <f>ROUND(1266000/1936.27,0)</f>
        <v>654</v>
      </c>
      <c r="I107" s="144">
        <v>6</v>
      </c>
      <c r="J107" s="143">
        <v>728</v>
      </c>
      <c r="K107" s="144">
        <v>3</v>
      </c>
      <c r="L107" s="154">
        <f>ROUND((1670/1936.27)*1000,0)</f>
        <v>862</v>
      </c>
      <c r="M107" s="145">
        <f>+ROUND(4319/1936.27,0)</f>
        <v>2</v>
      </c>
      <c r="N107" s="143">
        <v>757</v>
      </c>
      <c r="O107" s="151">
        <v>2</v>
      </c>
      <c r="P107" s="143">
        <v>819</v>
      </c>
      <c r="Q107" s="151">
        <v>53</v>
      </c>
      <c r="R107" s="143">
        <v>700</v>
      </c>
      <c r="S107" s="151">
        <v>94</v>
      </c>
      <c r="T107" s="143">
        <v>754</v>
      </c>
      <c r="U107" s="151">
        <v>112</v>
      </c>
      <c r="V107" s="176"/>
      <c r="W107" s="176"/>
      <c r="X107" s="176"/>
      <c r="Y107" s="176"/>
      <c r="Z107" s="176"/>
      <c r="AA107" s="176"/>
      <c r="AB107" s="176"/>
      <c r="AC107" s="176"/>
      <c r="AD107" s="176"/>
      <c r="AE107" s="176"/>
      <c r="AF107" s="176"/>
      <c r="AG107" s="176"/>
      <c r="AH107" s="176"/>
      <c r="AI107" s="176"/>
      <c r="AJ107" s="176"/>
      <c r="AK107" s="176"/>
      <c r="AL107" s="176"/>
      <c r="AM107" s="176"/>
      <c r="AN107" s="176"/>
      <c r="AO107" s="176"/>
      <c r="AP107" s="176"/>
      <c r="AQ107" s="176"/>
      <c r="AR107" s="176"/>
    </row>
    <row r="108" spans="1:44" s="3" customFormat="1" ht="12.75">
      <c r="A108" s="68"/>
      <c r="B108" s="78"/>
      <c r="C108" s="56" t="s">
        <v>179</v>
      </c>
      <c r="D108" s="23"/>
      <c r="F108" s="143"/>
      <c r="G108" s="144"/>
      <c r="H108" s="151"/>
      <c r="I108" s="144"/>
      <c r="J108" s="143"/>
      <c r="K108" s="144"/>
      <c r="L108" s="154"/>
      <c r="M108" s="145"/>
      <c r="N108" s="143"/>
      <c r="O108" s="151"/>
      <c r="P108" s="143">
        <v>76</v>
      </c>
      <c r="Q108" s="151"/>
      <c r="R108" s="143">
        <v>736</v>
      </c>
      <c r="S108" s="151">
        <v>607</v>
      </c>
      <c r="T108" s="143">
        <v>451</v>
      </c>
      <c r="U108" s="151">
        <v>31</v>
      </c>
      <c r="V108" s="176"/>
      <c r="W108" s="176"/>
      <c r="X108" s="176"/>
      <c r="Y108" s="176"/>
      <c r="Z108" s="176"/>
      <c r="AA108" s="176"/>
      <c r="AB108" s="176"/>
      <c r="AC108" s="176"/>
      <c r="AD108" s="176"/>
      <c r="AE108" s="176"/>
      <c r="AF108" s="176"/>
      <c r="AG108" s="176"/>
      <c r="AH108" s="176"/>
      <c r="AI108" s="176"/>
      <c r="AJ108" s="176"/>
      <c r="AK108" s="176"/>
      <c r="AL108" s="176"/>
      <c r="AM108" s="176"/>
      <c r="AN108" s="176"/>
      <c r="AO108" s="176"/>
      <c r="AP108" s="176"/>
      <c r="AQ108" s="176"/>
      <c r="AR108" s="176"/>
    </row>
    <row r="109" spans="1:44" s="3" customFormat="1" ht="12.75">
      <c r="A109" s="68"/>
      <c r="B109" s="78"/>
      <c r="C109" s="56" t="s">
        <v>114</v>
      </c>
      <c r="D109" s="23"/>
      <c r="F109" s="143">
        <v>363</v>
      </c>
      <c r="G109" s="144"/>
      <c r="H109" s="151">
        <f>ROUND(675000/1936.27,0)</f>
        <v>349</v>
      </c>
      <c r="I109" s="144"/>
      <c r="J109" s="143">
        <v>588</v>
      </c>
      <c r="K109" s="144"/>
      <c r="L109" s="154">
        <f>ROUND((1278/1936.27)*1000,0)</f>
        <v>660</v>
      </c>
      <c r="M109" s="145"/>
      <c r="N109" s="143">
        <v>1082</v>
      </c>
      <c r="O109" s="151"/>
      <c r="P109" s="143">
        <v>1509</v>
      </c>
      <c r="Q109" s="151"/>
      <c r="R109" s="143">
        <v>2501</v>
      </c>
      <c r="S109" s="151">
        <v>70</v>
      </c>
      <c r="T109" s="143">
        <v>2072</v>
      </c>
      <c r="U109" s="151">
        <v>9</v>
      </c>
      <c r="V109" s="176"/>
      <c r="W109" s="176"/>
      <c r="X109" s="176"/>
      <c r="Y109" s="176"/>
      <c r="Z109" s="176"/>
      <c r="AA109" s="176"/>
      <c r="AB109" s="176"/>
      <c r="AC109" s="176"/>
      <c r="AD109" s="176"/>
      <c r="AE109" s="176"/>
      <c r="AF109" s="176"/>
      <c r="AG109" s="176"/>
      <c r="AH109" s="176"/>
      <c r="AI109" s="176"/>
      <c r="AJ109" s="176"/>
      <c r="AK109" s="176"/>
      <c r="AL109" s="176"/>
      <c r="AM109" s="176"/>
      <c r="AN109" s="176"/>
      <c r="AO109" s="176"/>
      <c r="AP109" s="176"/>
      <c r="AQ109" s="176"/>
      <c r="AR109" s="176"/>
    </row>
    <row r="110" spans="1:44" s="3" customFormat="1" ht="12.75">
      <c r="A110" s="68"/>
      <c r="B110" s="78"/>
      <c r="C110" s="56" t="s">
        <v>25</v>
      </c>
      <c r="D110" s="23"/>
      <c r="F110" s="143">
        <v>434</v>
      </c>
      <c r="G110" s="144"/>
      <c r="H110" s="151">
        <f>ROUND(968000/1936.27,0)</f>
        <v>500</v>
      </c>
      <c r="I110" s="144"/>
      <c r="J110" s="143">
        <v>410</v>
      </c>
      <c r="K110" s="144"/>
      <c r="L110" s="154">
        <f>ROUND((748/1936.27)*1000,0)</f>
        <v>386</v>
      </c>
      <c r="M110" s="145"/>
      <c r="N110" s="143">
        <v>457</v>
      </c>
      <c r="O110" s="151"/>
      <c r="P110" s="143">
        <v>454</v>
      </c>
      <c r="Q110" s="151">
        <v>19</v>
      </c>
      <c r="R110" s="143">
        <v>451</v>
      </c>
      <c r="S110" s="151">
        <v>19</v>
      </c>
      <c r="T110" s="143">
        <v>454</v>
      </c>
      <c r="U110" s="151">
        <v>156</v>
      </c>
      <c r="V110" s="176"/>
      <c r="W110" s="176"/>
      <c r="X110" s="176"/>
      <c r="Y110" s="176"/>
      <c r="Z110" s="176"/>
      <c r="AA110" s="176"/>
      <c r="AB110" s="176"/>
      <c r="AC110" s="176"/>
      <c r="AD110" s="176"/>
      <c r="AE110" s="176"/>
      <c r="AF110" s="176"/>
      <c r="AG110" s="176"/>
      <c r="AH110" s="176"/>
      <c r="AI110" s="176"/>
      <c r="AJ110" s="176"/>
      <c r="AK110" s="176"/>
      <c r="AL110" s="176"/>
      <c r="AM110" s="176"/>
      <c r="AN110" s="176"/>
      <c r="AO110" s="176"/>
      <c r="AP110" s="176"/>
      <c r="AQ110" s="176"/>
      <c r="AR110" s="176"/>
    </row>
    <row r="111" spans="1:44" s="3" customFormat="1" ht="12.75">
      <c r="A111" s="68"/>
      <c r="B111" s="78"/>
      <c r="C111" s="56" t="s">
        <v>26</v>
      </c>
      <c r="D111" s="23"/>
      <c r="F111" s="143">
        <v>456</v>
      </c>
      <c r="G111" s="144"/>
      <c r="H111" s="151">
        <f>ROUND(1172000/1936.27,0)</f>
        <v>605</v>
      </c>
      <c r="I111" s="144"/>
      <c r="J111" s="143">
        <v>617</v>
      </c>
      <c r="K111" s="144"/>
      <c r="L111" s="154">
        <f>ROUND((1194/1936.27)*1000,0)</f>
        <v>617</v>
      </c>
      <c r="M111" s="145"/>
      <c r="N111" s="143">
        <v>746</v>
      </c>
      <c r="O111" s="151"/>
      <c r="P111" s="143">
        <v>650</v>
      </c>
      <c r="Q111" s="151"/>
      <c r="R111" s="143">
        <v>620</v>
      </c>
      <c r="S111" s="151"/>
      <c r="T111" s="143">
        <v>588</v>
      </c>
      <c r="U111" s="151">
        <v>80</v>
      </c>
      <c r="V111" s="176"/>
      <c r="W111" s="176"/>
      <c r="X111" s="176"/>
      <c r="Y111" s="176"/>
      <c r="Z111" s="176"/>
      <c r="AA111" s="176"/>
      <c r="AB111" s="176"/>
      <c r="AC111" s="176"/>
      <c r="AD111" s="176"/>
      <c r="AE111" s="176"/>
      <c r="AF111" s="176"/>
      <c r="AG111" s="176"/>
      <c r="AH111" s="176"/>
      <c r="AI111" s="176"/>
      <c r="AJ111" s="176"/>
      <c r="AK111" s="176"/>
      <c r="AL111" s="176"/>
      <c r="AM111" s="176"/>
      <c r="AN111" s="176"/>
      <c r="AO111" s="176"/>
      <c r="AP111" s="176"/>
      <c r="AQ111" s="176"/>
      <c r="AR111" s="176"/>
    </row>
    <row r="112" spans="1:44" s="3" customFormat="1" ht="12.75">
      <c r="A112" s="68"/>
      <c r="B112" s="78"/>
      <c r="C112" s="56" t="s">
        <v>27</v>
      </c>
      <c r="D112" s="23"/>
      <c r="F112" s="143">
        <v>465</v>
      </c>
      <c r="G112" s="144"/>
      <c r="H112" s="151">
        <f>ROUND(951000/1936.27,0)</f>
        <v>491</v>
      </c>
      <c r="I112" s="144"/>
      <c r="J112" s="143">
        <v>491</v>
      </c>
      <c r="K112" s="144"/>
      <c r="L112" s="154">
        <f>ROUND((961/1936.27)*1000,0)</f>
        <v>496</v>
      </c>
      <c r="M112" s="145"/>
      <c r="N112" s="143">
        <v>491</v>
      </c>
      <c r="O112" s="151"/>
      <c r="P112" s="143">
        <v>497</v>
      </c>
      <c r="Q112" s="151"/>
      <c r="R112" s="143">
        <v>647</v>
      </c>
      <c r="S112" s="151">
        <v>50</v>
      </c>
      <c r="T112" s="143">
        <v>861</v>
      </c>
      <c r="U112" s="151">
        <v>50</v>
      </c>
      <c r="V112" s="176"/>
      <c r="W112" s="176"/>
      <c r="X112" s="176"/>
      <c r="Y112" s="176"/>
      <c r="Z112" s="176"/>
      <c r="AA112" s="176"/>
      <c r="AB112" s="176"/>
      <c r="AC112" s="176"/>
      <c r="AD112" s="176"/>
      <c r="AE112" s="176"/>
      <c r="AF112" s="176"/>
      <c r="AG112" s="176"/>
      <c r="AH112" s="176"/>
      <c r="AI112" s="176"/>
      <c r="AJ112" s="176"/>
      <c r="AK112" s="176"/>
      <c r="AL112" s="176"/>
      <c r="AM112" s="176"/>
      <c r="AN112" s="176"/>
      <c r="AO112" s="176"/>
      <c r="AP112" s="176"/>
      <c r="AQ112" s="176"/>
      <c r="AR112" s="176"/>
    </row>
    <row r="113" spans="1:44" s="3" customFormat="1" ht="12.75">
      <c r="A113" s="68"/>
      <c r="B113" s="78"/>
      <c r="C113" s="56" t="s">
        <v>28</v>
      </c>
      <c r="D113" s="23"/>
      <c r="F113" s="143">
        <v>1211</v>
      </c>
      <c r="G113" s="144"/>
      <c r="H113" s="151">
        <f>ROUND(2225000/1936.27,0)</f>
        <v>1149</v>
      </c>
      <c r="I113" s="144"/>
      <c r="J113" s="143">
        <v>1136</v>
      </c>
      <c r="K113" s="144"/>
      <c r="L113" s="154">
        <f>ROUND((2195/1936.27)*1000,0)</f>
        <v>1134</v>
      </c>
      <c r="M113" s="145"/>
      <c r="N113" s="143">
        <v>1134</v>
      </c>
      <c r="O113" s="151"/>
      <c r="P113" s="143">
        <v>1053</v>
      </c>
      <c r="Q113" s="151"/>
      <c r="R113" s="143">
        <v>1144</v>
      </c>
      <c r="S113" s="151"/>
      <c r="T113" s="143">
        <v>1341</v>
      </c>
      <c r="U113" s="151"/>
      <c r="V113" s="176"/>
      <c r="W113" s="176"/>
      <c r="X113" s="176"/>
      <c r="Y113" s="176"/>
      <c r="Z113" s="176"/>
      <c r="AA113" s="176"/>
      <c r="AB113" s="176"/>
      <c r="AC113" s="176"/>
      <c r="AD113" s="176"/>
      <c r="AE113" s="176"/>
      <c r="AF113" s="176"/>
      <c r="AG113" s="176"/>
      <c r="AH113" s="176"/>
      <c r="AI113" s="176"/>
      <c r="AJ113" s="176"/>
      <c r="AK113" s="176"/>
      <c r="AL113" s="176"/>
      <c r="AM113" s="176"/>
      <c r="AN113" s="176"/>
      <c r="AO113" s="176"/>
      <c r="AP113" s="176"/>
      <c r="AQ113" s="176"/>
      <c r="AR113" s="176"/>
    </row>
    <row r="114" spans="1:44" s="3" customFormat="1" ht="12.75">
      <c r="A114" s="68"/>
      <c r="B114" s="78"/>
      <c r="C114" s="56" t="s">
        <v>29</v>
      </c>
      <c r="D114" s="23"/>
      <c r="F114" s="143">
        <v>139</v>
      </c>
      <c r="G114" s="144">
        <v>63</v>
      </c>
      <c r="H114" s="151">
        <f>ROUND(276000/1936.27,0)</f>
        <v>143</v>
      </c>
      <c r="I114" s="144">
        <v>59</v>
      </c>
      <c r="J114" s="143">
        <v>174</v>
      </c>
      <c r="K114" s="144">
        <v>77</v>
      </c>
      <c r="L114" s="154">
        <f>ROUND((412/1936.27)*1000,0)</f>
        <v>213</v>
      </c>
      <c r="M114" s="145">
        <f>ROUND(195300/1936.27,0)</f>
        <v>101</v>
      </c>
      <c r="N114" s="143">
        <v>191</v>
      </c>
      <c r="O114" s="151">
        <f>ROUND((110000/1936.27),0)</f>
        <v>57</v>
      </c>
      <c r="P114" s="143">
        <v>215</v>
      </c>
      <c r="Q114" s="151">
        <v>65</v>
      </c>
      <c r="R114" s="143">
        <v>209</v>
      </c>
      <c r="S114" s="151">
        <v>58</v>
      </c>
      <c r="T114" s="143">
        <v>217</v>
      </c>
      <c r="U114" s="151">
        <v>76</v>
      </c>
      <c r="V114" s="176"/>
      <c r="W114" s="176"/>
      <c r="X114" s="176"/>
      <c r="Y114" s="176"/>
      <c r="Z114" s="176"/>
      <c r="AA114" s="176"/>
      <c r="AB114" s="176"/>
      <c r="AC114" s="176"/>
      <c r="AD114" s="176"/>
      <c r="AE114" s="176"/>
      <c r="AF114" s="176"/>
      <c r="AG114" s="176"/>
      <c r="AH114" s="176"/>
      <c r="AI114" s="176"/>
      <c r="AJ114" s="176"/>
      <c r="AK114" s="176"/>
      <c r="AL114" s="176"/>
      <c r="AM114" s="176"/>
      <c r="AN114" s="176"/>
      <c r="AO114" s="176"/>
      <c r="AP114" s="176"/>
      <c r="AQ114" s="176"/>
      <c r="AR114" s="176"/>
    </row>
    <row r="115" spans="1:44" s="3" customFormat="1" ht="12.75">
      <c r="A115" s="68"/>
      <c r="B115" s="78"/>
      <c r="C115" s="56" t="s">
        <v>30</v>
      </c>
      <c r="D115" s="23"/>
      <c r="F115" s="143">
        <v>134</v>
      </c>
      <c r="G115" s="144"/>
      <c r="H115" s="151">
        <f>ROUND(309000/1936.27,0)</f>
        <v>160</v>
      </c>
      <c r="I115" s="144"/>
      <c r="J115" s="143">
        <v>142</v>
      </c>
      <c r="K115" s="144"/>
      <c r="L115" s="154">
        <f>ROUND((411/1936.27)*1000,0)</f>
        <v>212</v>
      </c>
      <c r="M115" s="145"/>
      <c r="N115" s="143">
        <v>167</v>
      </c>
      <c r="O115" s="151"/>
      <c r="P115" s="143">
        <v>177</v>
      </c>
      <c r="Q115" s="151"/>
      <c r="R115" s="143">
        <v>191</v>
      </c>
      <c r="S115" s="151"/>
      <c r="T115" s="143">
        <v>303</v>
      </c>
      <c r="U115" s="151"/>
      <c r="V115" s="176"/>
      <c r="W115" s="176"/>
      <c r="X115" s="176"/>
      <c r="Y115" s="176"/>
      <c r="Z115" s="176"/>
      <c r="AA115" s="176"/>
      <c r="AB115" s="176"/>
      <c r="AC115" s="176"/>
      <c r="AD115" s="176"/>
      <c r="AE115" s="176"/>
      <c r="AF115" s="176"/>
      <c r="AG115" s="176"/>
      <c r="AH115" s="176"/>
      <c r="AI115" s="176"/>
      <c r="AJ115" s="176"/>
      <c r="AK115" s="176"/>
      <c r="AL115" s="176"/>
      <c r="AM115" s="176"/>
      <c r="AN115" s="176"/>
      <c r="AO115" s="176"/>
      <c r="AP115" s="176"/>
      <c r="AQ115" s="176"/>
      <c r="AR115" s="176"/>
    </row>
    <row r="116" spans="1:44" s="3" customFormat="1" ht="12.75">
      <c r="A116" s="68"/>
      <c r="B116" s="78"/>
      <c r="C116" s="56" t="s">
        <v>115</v>
      </c>
      <c r="D116" s="23"/>
      <c r="F116" s="143"/>
      <c r="G116" s="144"/>
      <c r="H116" s="151"/>
      <c r="I116" s="144"/>
      <c r="J116" s="143"/>
      <c r="K116" s="144"/>
      <c r="L116" s="154"/>
      <c r="M116" s="145"/>
      <c r="N116" s="143">
        <v>79</v>
      </c>
      <c r="O116" s="151"/>
      <c r="P116" s="143">
        <v>212</v>
      </c>
      <c r="Q116" s="151">
        <v>48</v>
      </c>
      <c r="R116" s="143">
        <v>242</v>
      </c>
      <c r="S116" s="151">
        <v>58</v>
      </c>
      <c r="T116" s="143">
        <v>470</v>
      </c>
      <c r="U116" s="151">
        <v>218</v>
      </c>
      <c r="V116" s="176"/>
      <c r="W116" s="176"/>
      <c r="X116" s="176"/>
      <c r="Y116" s="176"/>
      <c r="Z116" s="176"/>
      <c r="AA116" s="176"/>
      <c r="AB116" s="176"/>
      <c r="AC116" s="176"/>
      <c r="AD116" s="176"/>
      <c r="AE116" s="176"/>
      <c r="AF116" s="176"/>
      <c r="AG116" s="176"/>
      <c r="AH116" s="176"/>
      <c r="AI116" s="176"/>
      <c r="AJ116" s="176"/>
      <c r="AK116" s="176"/>
      <c r="AL116" s="176"/>
      <c r="AM116" s="176"/>
      <c r="AN116" s="176"/>
      <c r="AO116" s="176"/>
      <c r="AP116" s="176"/>
      <c r="AQ116" s="176"/>
      <c r="AR116" s="176"/>
    </row>
    <row r="117" spans="1:44" s="3" customFormat="1" ht="12.75">
      <c r="A117" s="68"/>
      <c r="B117" s="78"/>
      <c r="C117" s="56" t="s">
        <v>116</v>
      </c>
      <c r="D117" s="23"/>
      <c r="F117" s="143">
        <v>217</v>
      </c>
      <c r="G117" s="144"/>
      <c r="H117" s="151">
        <f>ROUND(339000/1936.27,0)</f>
        <v>175</v>
      </c>
      <c r="I117" s="144"/>
      <c r="J117" s="143">
        <v>192</v>
      </c>
      <c r="K117" s="144"/>
      <c r="L117" s="154">
        <f>ROUND((405/1936.27)*1000,0)</f>
        <v>209</v>
      </c>
      <c r="M117" s="151"/>
      <c r="N117" s="145">
        <v>174</v>
      </c>
      <c r="O117" s="145"/>
      <c r="P117" s="151">
        <v>122</v>
      </c>
      <c r="Q117" s="145"/>
      <c r="R117" s="145">
        <v>99</v>
      </c>
      <c r="S117" s="145"/>
      <c r="T117" s="145">
        <v>74</v>
      </c>
      <c r="U117" s="145">
        <v>20</v>
      </c>
      <c r="V117" s="176"/>
      <c r="W117" s="176"/>
      <c r="X117" s="176"/>
      <c r="Y117" s="176"/>
      <c r="Z117" s="176"/>
      <c r="AA117" s="176"/>
      <c r="AB117" s="176"/>
      <c r="AC117" s="176"/>
      <c r="AD117" s="176"/>
      <c r="AE117" s="176"/>
      <c r="AF117" s="176"/>
      <c r="AG117" s="176"/>
      <c r="AH117" s="176"/>
      <c r="AI117" s="176"/>
      <c r="AJ117" s="176"/>
      <c r="AK117" s="176"/>
      <c r="AL117" s="176"/>
      <c r="AM117" s="176"/>
      <c r="AN117" s="176"/>
      <c r="AO117" s="176"/>
      <c r="AP117" s="176"/>
      <c r="AQ117" s="176"/>
      <c r="AR117" s="176"/>
    </row>
    <row r="118" spans="1:44" s="3" customFormat="1" ht="12.75">
      <c r="A118" s="68"/>
      <c r="B118" s="290" t="s">
        <v>180</v>
      </c>
      <c r="C118" s="271"/>
      <c r="D118" s="272"/>
      <c r="F118" s="193">
        <f aca="true" t="shared" si="19" ref="F118:S118">SUM(F119:F122)</f>
        <v>1621</v>
      </c>
      <c r="G118" s="193">
        <f t="shared" si="19"/>
        <v>1078</v>
      </c>
      <c r="H118" s="193">
        <f t="shared" si="19"/>
        <v>1695</v>
      </c>
      <c r="I118" s="193">
        <f t="shared" si="19"/>
        <v>1057</v>
      </c>
      <c r="J118" s="193">
        <f t="shared" si="19"/>
        <v>3335</v>
      </c>
      <c r="K118" s="193">
        <f t="shared" si="19"/>
        <v>2561</v>
      </c>
      <c r="L118" s="193">
        <f t="shared" si="19"/>
        <v>2664</v>
      </c>
      <c r="M118" s="193">
        <f t="shared" si="19"/>
        <v>1425</v>
      </c>
      <c r="N118" s="193">
        <f t="shared" si="19"/>
        <v>4160</v>
      </c>
      <c r="O118" s="193">
        <f t="shared" si="19"/>
        <v>2909</v>
      </c>
      <c r="P118" s="193">
        <f t="shared" si="19"/>
        <v>4114</v>
      </c>
      <c r="Q118" s="193">
        <f t="shared" si="19"/>
        <v>2482</v>
      </c>
      <c r="R118" s="193">
        <f t="shared" si="19"/>
        <v>4856</v>
      </c>
      <c r="S118" s="193">
        <f t="shared" si="19"/>
        <v>2883</v>
      </c>
      <c r="T118" s="193">
        <f>SUM(T119:T122)</f>
        <v>2469</v>
      </c>
      <c r="U118" s="193">
        <f>SUM(U119:U122)</f>
        <v>521</v>
      </c>
      <c r="V118" s="176"/>
      <c r="W118" s="176"/>
      <c r="X118" s="176"/>
      <c r="Y118" s="176"/>
      <c r="Z118" s="176"/>
      <c r="AA118" s="176"/>
      <c r="AB118" s="176"/>
      <c r="AC118" s="176"/>
      <c r="AD118" s="176"/>
      <c r="AE118" s="176"/>
      <c r="AF118" s="176"/>
      <c r="AG118" s="176"/>
      <c r="AH118" s="176"/>
      <c r="AI118" s="176"/>
      <c r="AJ118" s="176"/>
      <c r="AK118" s="176"/>
      <c r="AL118" s="176"/>
      <c r="AM118" s="176"/>
      <c r="AN118" s="176"/>
      <c r="AO118" s="176"/>
      <c r="AP118" s="176"/>
      <c r="AQ118" s="176"/>
      <c r="AR118" s="176"/>
    </row>
    <row r="119" spans="1:44" s="3" customFormat="1" ht="12.75">
      <c r="A119" s="68"/>
      <c r="B119" s="78"/>
      <c r="C119" s="18" t="s">
        <v>9</v>
      </c>
      <c r="D119" s="23"/>
      <c r="F119" s="154">
        <v>0</v>
      </c>
      <c r="G119" s="152"/>
      <c r="H119" s="154">
        <v>206</v>
      </c>
      <c r="I119" s="152"/>
      <c r="J119" s="185">
        <v>427</v>
      </c>
      <c r="K119" s="207">
        <v>15</v>
      </c>
      <c r="L119" s="154">
        <f>ROUND((1066/1936.27)*1000,0)</f>
        <v>551</v>
      </c>
      <c r="M119" s="152">
        <f>ROUND(94145/1936.27,0)</f>
        <v>49</v>
      </c>
      <c r="N119" s="154">
        <v>491</v>
      </c>
      <c r="O119" s="154">
        <f>ROUND((77157/1936.27),0)</f>
        <v>40</v>
      </c>
      <c r="P119" s="154">
        <v>391</v>
      </c>
      <c r="Q119" s="154"/>
      <c r="R119" s="154">
        <v>171</v>
      </c>
      <c r="S119" s="154"/>
      <c r="T119" s="154">
        <v>192</v>
      </c>
      <c r="U119" s="154"/>
      <c r="V119" s="176"/>
      <c r="W119" s="176"/>
      <c r="X119" s="176"/>
      <c r="Y119" s="176"/>
      <c r="Z119" s="176"/>
      <c r="AA119" s="176"/>
      <c r="AB119" s="176"/>
      <c r="AC119" s="176"/>
      <c r="AD119" s="176"/>
      <c r="AE119" s="176"/>
      <c r="AF119" s="176"/>
      <c r="AG119" s="176"/>
      <c r="AH119" s="176"/>
      <c r="AI119" s="176"/>
      <c r="AJ119" s="176"/>
      <c r="AK119" s="176"/>
      <c r="AL119" s="176"/>
      <c r="AM119" s="176"/>
      <c r="AN119" s="176"/>
      <c r="AO119" s="176"/>
      <c r="AP119" s="176"/>
      <c r="AQ119" s="176"/>
      <c r="AR119" s="176"/>
    </row>
    <row r="120" spans="1:44" s="3" customFormat="1" ht="12.75">
      <c r="A120" s="68"/>
      <c r="B120" s="78"/>
      <c r="C120" s="56" t="s">
        <v>125</v>
      </c>
      <c r="D120" s="23"/>
      <c r="F120" s="151">
        <v>1378</v>
      </c>
      <c r="G120" s="145">
        <v>1064</v>
      </c>
      <c r="H120" s="151">
        <v>1454</v>
      </c>
      <c r="I120" s="145">
        <v>1040</v>
      </c>
      <c r="J120" s="143">
        <v>2878</v>
      </c>
      <c r="K120" s="144">
        <v>2516</v>
      </c>
      <c r="L120" s="154">
        <f>ROUND((3709/1936.27)*1000,0)</f>
        <v>1916</v>
      </c>
      <c r="M120" s="145">
        <f>ROUND(2282348/1936.27,0)</f>
        <v>1179</v>
      </c>
      <c r="N120" s="151">
        <v>2896</v>
      </c>
      <c r="O120" s="151">
        <f>ROUND((5225459/1936.27),0)</f>
        <v>2699</v>
      </c>
      <c r="P120" s="151">
        <v>2431</v>
      </c>
      <c r="Q120" s="151">
        <v>2087</v>
      </c>
      <c r="R120" s="151">
        <v>2731</v>
      </c>
      <c r="S120" s="151">
        <v>2460</v>
      </c>
      <c r="T120" s="151">
        <v>440</v>
      </c>
      <c r="U120" s="151">
        <v>86</v>
      </c>
      <c r="V120" s="176"/>
      <c r="W120" s="176"/>
      <c r="X120" s="176"/>
      <c r="Y120" s="176"/>
      <c r="Z120" s="176"/>
      <c r="AA120" s="176"/>
      <c r="AB120" s="176"/>
      <c r="AC120" s="176"/>
      <c r="AD120" s="176"/>
      <c r="AE120" s="176"/>
      <c r="AF120" s="176"/>
      <c r="AG120" s="176"/>
      <c r="AH120" s="176"/>
      <c r="AI120" s="176"/>
      <c r="AJ120" s="176"/>
      <c r="AK120" s="176"/>
      <c r="AL120" s="176"/>
      <c r="AM120" s="176"/>
      <c r="AN120" s="176"/>
      <c r="AO120" s="176"/>
      <c r="AP120" s="176"/>
      <c r="AQ120" s="176"/>
      <c r="AR120" s="176"/>
    </row>
    <row r="121" spans="1:44" s="3" customFormat="1" ht="12.75">
      <c r="A121" s="68"/>
      <c r="B121" s="78"/>
      <c r="C121" s="56" t="s">
        <v>126</v>
      </c>
      <c r="D121" s="23"/>
      <c r="F121" s="151">
        <v>243</v>
      </c>
      <c r="G121" s="145">
        <v>14</v>
      </c>
      <c r="H121" s="151">
        <v>35</v>
      </c>
      <c r="I121" s="145">
        <v>17</v>
      </c>
      <c r="J121" s="143">
        <v>30</v>
      </c>
      <c r="K121" s="144">
        <v>30</v>
      </c>
      <c r="L121" s="154">
        <f>ROUND((382/1936.27)*1000,0)</f>
        <v>197</v>
      </c>
      <c r="M121" s="145">
        <f>ROUND(381584/1936.27,0)</f>
        <v>197</v>
      </c>
      <c r="N121" s="151">
        <v>15</v>
      </c>
      <c r="O121" s="151">
        <v>15</v>
      </c>
      <c r="P121" s="151">
        <v>260</v>
      </c>
      <c r="Q121" s="151"/>
      <c r="R121" s="151">
        <v>319</v>
      </c>
      <c r="S121" s="151"/>
      <c r="T121" s="151">
        <v>337</v>
      </c>
      <c r="U121" s="151"/>
      <c r="V121" s="176"/>
      <c r="W121" s="176"/>
      <c r="X121" s="176"/>
      <c r="Y121" s="176"/>
      <c r="Z121" s="176"/>
      <c r="AA121" s="176"/>
      <c r="AB121" s="176"/>
      <c r="AC121" s="176"/>
      <c r="AD121" s="176"/>
      <c r="AE121" s="176"/>
      <c r="AF121" s="176"/>
      <c r="AG121" s="176"/>
      <c r="AH121" s="176"/>
      <c r="AI121" s="176"/>
      <c r="AJ121" s="176"/>
      <c r="AK121" s="176"/>
      <c r="AL121" s="176"/>
      <c r="AM121" s="176"/>
      <c r="AN121" s="176"/>
      <c r="AO121" s="176"/>
      <c r="AP121" s="176"/>
      <c r="AQ121" s="176"/>
      <c r="AR121" s="176"/>
    </row>
    <row r="122" spans="1:44" s="3" customFormat="1" ht="12.75">
      <c r="A122" s="68"/>
      <c r="B122" s="78"/>
      <c r="C122" s="56" t="s">
        <v>85</v>
      </c>
      <c r="D122" s="23"/>
      <c r="F122" s="151"/>
      <c r="G122" s="145"/>
      <c r="H122" s="151"/>
      <c r="I122" s="145"/>
      <c r="J122" s="143"/>
      <c r="K122" s="144"/>
      <c r="L122" s="154"/>
      <c r="M122" s="145"/>
      <c r="N122" s="151">
        <v>758</v>
      </c>
      <c r="O122" s="151">
        <v>155</v>
      </c>
      <c r="P122" s="151">
        <v>1032</v>
      </c>
      <c r="Q122" s="151">
        <v>395</v>
      </c>
      <c r="R122" s="151">
        <v>1635</v>
      </c>
      <c r="S122" s="151">
        <v>423</v>
      </c>
      <c r="T122" s="151">
        <v>1500</v>
      </c>
      <c r="U122" s="151">
        <v>435</v>
      </c>
      <c r="V122" s="176"/>
      <c r="W122" s="176"/>
      <c r="X122" s="176"/>
      <c r="Y122" s="176"/>
      <c r="Z122" s="176"/>
      <c r="AA122" s="176"/>
      <c r="AB122" s="176"/>
      <c r="AC122" s="176"/>
      <c r="AD122" s="176"/>
      <c r="AE122" s="176"/>
      <c r="AF122" s="176"/>
      <c r="AG122" s="176"/>
      <c r="AH122" s="176"/>
      <c r="AI122" s="176"/>
      <c r="AJ122" s="176"/>
      <c r="AK122" s="176"/>
      <c r="AL122" s="176"/>
      <c r="AM122" s="176"/>
      <c r="AN122" s="176"/>
      <c r="AO122" s="176"/>
      <c r="AP122" s="176"/>
      <c r="AQ122" s="176"/>
      <c r="AR122" s="176"/>
    </row>
    <row r="123" spans="1:44" s="3" customFormat="1" ht="12.75">
      <c r="A123" s="68"/>
      <c r="B123" s="270" t="s">
        <v>99</v>
      </c>
      <c r="C123" s="264"/>
      <c r="D123" s="265"/>
      <c r="F123" s="190">
        <f aca="true" t="shared" si="20" ref="F123:O123">SUM(F124:F131)</f>
        <v>4121</v>
      </c>
      <c r="G123" s="190">
        <f t="shared" si="20"/>
        <v>6</v>
      </c>
      <c r="H123" s="190">
        <f t="shared" si="20"/>
        <v>4159</v>
      </c>
      <c r="I123" s="190">
        <f t="shared" si="20"/>
        <v>13</v>
      </c>
      <c r="J123" s="190">
        <f t="shared" si="20"/>
        <v>4327</v>
      </c>
      <c r="K123" s="190">
        <f t="shared" si="20"/>
        <v>3</v>
      </c>
      <c r="L123" s="190">
        <f t="shared" si="20"/>
        <v>4088</v>
      </c>
      <c r="M123" s="190">
        <f t="shared" si="20"/>
        <v>5</v>
      </c>
      <c r="N123" s="190">
        <f t="shared" si="20"/>
        <v>4127</v>
      </c>
      <c r="O123" s="190">
        <f t="shared" si="20"/>
        <v>13</v>
      </c>
      <c r="P123" s="190">
        <f aca="true" t="shared" si="21" ref="P123:U123">SUM(P124:P131)</f>
        <v>4447</v>
      </c>
      <c r="Q123" s="190">
        <f t="shared" si="21"/>
        <v>101</v>
      </c>
      <c r="R123" s="190">
        <f t="shared" si="21"/>
        <v>3984</v>
      </c>
      <c r="S123" s="190">
        <f t="shared" si="21"/>
        <v>86</v>
      </c>
      <c r="T123" s="190">
        <f t="shared" si="21"/>
        <v>3889</v>
      </c>
      <c r="U123" s="190">
        <f t="shared" si="21"/>
        <v>56</v>
      </c>
      <c r="V123" s="176"/>
      <c r="W123" s="176"/>
      <c r="X123" s="176"/>
      <c r="Y123" s="176"/>
      <c r="Z123" s="176"/>
      <c r="AA123" s="176"/>
      <c r="AB123" s="176"/>
      <c r="AC123" s="176"/>
      <c r="AD123" s="176"/>
      <c r="AE123" s="176"/>
      <c r="AF123" s="176"/>
      <c r="AG123" s="176"/>
      <c r="AH123" s="176"/>
      <c r="AI123" s="176"/>
      <c r="AJ123" s="176"/>
      <c r="AK123" s="176"/>
      <c r="AL123" s="176"/>
      <c r="AM123" s="176"/>
      <c r="AN123" s="176"/>
      <c r="AO123" s="176"/>
      <c r="AP123" s="176"/>
      <c r="AQ123" s="176"/>
      <c r="AR123" s="176"/>
    </row>
    <row r="124" spans="1:44" s="3" customFormat="1" ht="12.75">
      <c r="A124" s="68"/>
      <c r="B124" s="56"/>
      <c r="C124" s="18" t="s">
        <v>9</v>
      </c>
      <c r="D124" s="69"/>
      <c r="F124" s="151"/>
      <c r="G124" s="145"/>
      <c r="H124" s="151"/>
      <c r="I124" s="145"/>
      <c r="J124" s="144"/>
      <c r="K124" s="144"/>
      <c r="L124" s="152"/>
      <c r="M124" s="145"/>
      <c r="N124" s="144"/>
      <c r="O124" s="145"/>
      <c r="P124" s="143">
        <v>98</v>
      </c>
      <c r="Q124" s="145"/>
      <c r="R124" s="144">
        <v>112</v>
      </c>
      <c r="S124" s="145"/>
      <c r="T124" s="144">
        <v>67</v>
      </c>
      <c r="U124" s="145"/>
      <c r="V124" s="176"/>
      <c r="W124" s="176"/>
      <c r="X124" s="176"/>
      <c r="Y124" s="176"/>
      <c r="Z124" s="176"/>
      <c r="AA124" s="176"/>
      <c r="AB124" s="176"/>
      <c r="AC124" s="176"/>
      <c r="AD124" s="176"/>
      <c r="AE124" s="176"/>
      <c r="AF124" s="176"/>
      <c r="AG124" s="176"/>
      <c r="AH124" s="176"/>
      <c r="AI124" s="176"/>
      <c r="AJ124" s="176"/>
      <c r="AK124" s="176"/>
      <c r="AL124" s="176"/>
      <c r="AM124" s="176"/>
      <c r="AN124" s="176"/>
      <c r="AO124" s="176"/>
      <c r="AP124" s="176"/>
      <c r="AQ124" s="176"/>
      <c r="AR124" s="176"/>
    </row>
    <row r="125" spans="1:44" s="3" customFormat="1" ht="12.75">
      <c r="A125" s="68"/>
      <c r="B125" s="56"/>
      <c r="C125" s="18" t="s">
        <v>135</v>
      </c>
      <c r="D125" s="69"/>
      <c r="F125" s="151"/>
      <c r="G125" s="145"/>
      <c r="H125" s="151"/>
      <c r="I125" s="145"/>
      <c r="J125" s="144"/>
      <c r="K125" s="144"/>
      <c r="L125" s="152"/>
      <c r="M125" s="145"/>
      <c r="N125" s="144"/>
      <c r="O125" s="145"/>
      <c r="P125" s="143">
        <v>694</v>
      </c>
      <c r="Q125" s="145"/>
      <c r="R125" s="144">
        <v>576</v>
      </c>
      <c r="S125" s="145"/>
      <c r="T125" s="144">
        <v>495</v>
      </c>
      <c r="U125" s="145"/>
      <c r="V125" s="176"/>
      <c r="W125" s="176"/>
      <c r="X125" s="176"/>
      <c r="Y125" s="176"/>
      <c r="Z125" s="176"/>
      <c r="AA125" s="176"/>
      <c r="AB125" s="176"/>
      <c r="AC125" s="176"/>
      <c r="AD125" s="176"/>
      <c r="AE125" s="176"/>
      <c r="AF125" s="176"/>
      <c r="AG125" s="176"/>
      <c r="AH125" s="176"/>
      <c r="AI125" s="176"/>
      <c r="AJ125" s="176"/>
      <c r="AK125" s="176"/>
      <c r="AL125" s="176"/>
      <c r="AM125" s="176"/>
      <c r="AN125" s="176"/>
      <c r="AO125" s="176"/>
      <c r="AP125" s="176"/>
      <c r="AQ125" s="176"/>
      <c r="AR125" s="176"/>
    </row>
    <row r="126" spans="1:44" s="3" customFormat="1" ht="12.75">
      <c r="A126" s="68"/>
      <c r="B126" s="56"/>
      <c r="C126" s="18" t="s">
        <v>136</v>
      </c>
      <c r="D126" s="69"/>
      <c r="F126" s="151"/>
      <c r="G126" s="145"/>
      <c r="H126" s="151"/>
      <c r="I126" s="145"/>
      <c r="J126" s="144"/>
      <c r="K126" s="144"/>
      <c r="L126" s="152"/>
      <c r="M126" s="145"/>
      <c r="N126" s="144"/>
      <c r="O126" s="145"/>
      <c r="P126" s="143">
        <v>484</v>
      </c>
      <c r="Q126" s="145"/>
      <c r="R126" s="144">
        <v>337</v>
      </c>
      <c r="S126" s="145"/>
      <c r="T126" s="144">
        <v>500</v>
      </c>
      <c r="U126" s="145"/>
      <c r="V126" s="176"/>
      <c r="W126" s="176"/>
      <c r="X126" s="176"/>
      <c r="Y126" s="176"/>
      <c r="Z126" s="176"/>
      <c r="AA126" s="176"/>
      <c r="AB126" s="176"/>
      <c r="AC126" s="176"/>
      <c r="AD126" s="176"/>
      <c r="AE126" s="176"/>
      <c r="AF126" s="176"/>
      <c r="AG126" s="176"/>
      <c r="AH126" s="176"/>
      <c r="AI126" s="176"/>
      <c r="AJ126" s="176"/>
      <c r="AK126" s="176"/>
      <c r="AL126" s="176"/>
      <c r="AM126" s="176"/>
      <c r="AN126" s="176"/>
      <c r="AO126" s="176"/>
      <c r="AP126" s="176"/>
      <c r="AQ126" s="176"/>
      <c r="AR126" s="176"/>
    </row>
    <row r="127" spans="1:44" s="82" customFormat="1" ht="12.75">
      <c r="A127" s="250"/>
      <c r="B127" s="58"/>
      <c r="C127" s="58" t="s">
        <v>119</v>
      </c>
      <c r="D127" s="81"/>
      <c r="F127" s="217">
        <v>939</v>
      </c>
      <c r="G127" s="218"/>
      <c r="H127" s="217">
        <v>945</v>
      </c>
      <c r="I127" s="218"/>
      <c r="J127" s="217">
        <v>924</v>
      </c>
      <c r="K127" s="218"/>
      <c r="L127" s="223">
        <f>ROUND((1728/1936.27)*1000,0)</f>
        <v>892</v>
      </c>
      <c r="M127" s="181"/>
      <c r="N127" s="181">
        <v>988</v>
      </c>
      <c r="O127" s="181"/>
      <c r="P127" s="181"/>
      <c r="Q127" s="181"/>
      <c r="R127" s="181"/>
      <c r="S127" s="181"/>
      <c r="T127" s="181"/>
      <c r="U127" s="181"/>
      <c r="V127" s="232"/>
      <c r="W127" s="232"/>
      <c r="X127" s="232"/>
      <c r="Y127" s="232"/>
      <c r="Z127" s="232"/>
      <c r="AA127" s="232"/>
      <c r="AB127" s="232"/>
      <c r="AC127" s="232"/>
      <c r="AD127" s="232"/>
      <c r="AE127" s="232"/>
      <c r="AF127" s="232"/>
      <c r="AG127" s="232"/>
      <c r="AH127" s="232"/>
      <c r="AI127" s="232"/>
      <c r="AJ127" s="232"/>
      <c r="AK127" s="232"/>
      <c r="AL127" s="232"/>
      <c r="AM127" s="232"/>
      <c r="AN127" s="232"/>
      <c r="AO127" s="232"/>
      <c r="AP127" s="232"/>
      <c r="AQ127" s="232"/>
      <c r="AR127" s="232"/>
    </row>
    <row r="128" spans="1:44" s="3" customFormat="1" ht="12.75">
      <c r="A128" s="68"/>
      <c r="B128" s="56"/>
      <c r="C128" s="55" t="s">
        <v>31</v>
      </c>
      <c r="D128" s="69"/>
      <c r="F128" s="143">
        <v>3107</v>
      </c>
      <c r="G128" s="144">
        <v>6</v>
      </c>
      <c r="H128" s="143">
        <v>2984</v>
      </c>
      <c r="I128" s="144">
        <v>13</v>
      </c>
      <c r="J128" s="143">
        <v>3107</v>
      </c>
      <c r="K128" s="144">
        <v>3</v>
      </c>
      <c r="L128" s="154">
        <f>ROUND((5811/1936.27)*1000,0)</f>
        <v>3001</v>
      </c>
      <c r="M128" s="151">
        <f>ROUND(10000/1936.27,0)</f>
        <v>5</v>
      </c>
      <c r="N128" s="151">
        <v>2884</v>
      </c>
      <c r="O128" s="151">
        <f>ROUND((25000/1936.27),0)</f>
        <v>13</v>
      </c>
      <c r="P128" s="151">
        <v>2800</v>
      </c>
      <c r="Q128" s="151">
        <v>63</v>
      </c>
      <c r="R128" s="151">
        <v>2611</v>
      </c>
      <c r="S128" s="151">
        <v>68</v>
      </c>
      <c r="T128" s="151">
        <v>2480</v>
      </c>
      <c r="U128" s="151">
        <v>26</v>
      </c>
      <c r="V128" s="176"/>
      <c r="W128" s="176"/>
      <c r="X128" s="176"/>
      <c r="Y128" s="176"/>
      <c r="Z128" s="176"/>
      <c r="AA128" s="176"/>
      <c r="AB128" s="176"/>
      <c r="AC128" s="176"/>
      <c r="AD128" s="176"/>
      <c r="AE128" s="176"/>
      <c r="AF128" s="176"/>
      <c r="AG128" s="176"/>
      <c r="AH128" s="176"/>
      <c r="AI128" s="176"/>
      <c r="AJ128" s="176"/>
      <c r="AK128" s="176"/>
      <c r="AL128" s="176"/>
      <c r="AM128" s="176"/>
      <c r="AN128" s="176"/>
      <c r="AO128" s="176"/>
      <c r="AP128" s="176"/>
      <c r="AQ128" s="176"/>
      <c r="AR128" s="176"/>
    </row>
    <row r="129" spans="1:44" s="3" customFormat="1" ht="12.75">
      <c r="A129" s="68"/>
      <c r="B129" s="56"/>
      <c r="C129" s="55" t="s">
        <v>137</v>
      </c>
      <c r="D129" s="69"/>
      <c r="F129" s="143"/>
      <c r="G129" s="144"/>
      <c r="H129" s="143"/>
      <c r="I129" s="144"/>
      <c r="J129" s="143"/>
      <c r="K129" s="144"/>
      <c r="L129" s="154"/>
      <c r="M129" s="151"/>
      <c r="N129" s="151"/>
      <c r="O129" s="151"/>
      <c r="P129" s="151">
        <v>318</v>
      </c>
      <c r="Q129" s="151">
        <v>38</v>
      </c>
      <c r="R129" s="151">
        <v>304</v>
      </c>
      <c r="S129" s="151">
        <v>18</v>
      </c>
      <c r="T129" s="151">
        <v>316</v>
      </c>
      <c r="U129" s="151">
        <v>30</v>
      </c>
      <c r="V129" s="176"/>
      <c r="W129" s="176"/>
      <c r="X129" s="176"/>
      <c r="Y129" s="176"/>
      <c r="Z129" s="176"/>
      <c r="AA129" s="176"/>
      <c r="AB129" s="176"/>
      <c r="AC129" s="176"/>
      <c r="AD129" s="176"/>
      <c r="AE129" s="176"/>
      <c r="AF129" s="176"/>
      <c r="AG129" s="176"/>
      <c r="AH129" s="176"/>
      <c r="AI129" s="176"/>
      <c r="AJ129" s="176"/>
      <c r="AK129" s="176"/>
      <c r="AL129" s="176"/>
      <c r="AM129" s="176"/>
      <c r="AN129" s="176"/>
      <c r="AO129" s="176"/>
      <c r="AP129" s="176"/>
      <c r="AQ129" s="176"/>
      <c r="AR129" s="176"/>
    </row>
    <row r="130" spans="1:44" s="3" customFormat="1" ht="12.75">
      <c r="A130" s="68"/>
      <c r="B130" s="56"/>
      <c r="C130" s="55" t="s">
        <v>138</v>
      </c>
      <c r="D130" s="69"/>
      <c r="F130" s="143"/>
      <c r="G130" s="144"/>
      <c r="H130" s="143"/>
      <c r="I130" s="144"/>
      <c r="J130" s="143"/>
      <c r="K130" s="144"/>
      <c r="L130" s="154"/>
      <c r="M130" s="151"/>
      <c r="N130" s="151"/>
      <c r="O130" s="151"/>
      <c r="P130" s="151">
        <v>53</v>
      </c>
      <c r="Q130" s="151"/>
      <c r="R130" s="151">
        <v>44</v>
      </c>
      <c r="S130" s="151"/>
      <c r="T130" s="151">
        <v>31</v>
      </c>
      <c r="U130" s="151"/>
      <c r="V130" s="176"/>
      <c r="W130" s="176"/>
      <c r="X130" s="176"/>
      <c r="Y130" s="176"/>
      <c r="Z130" s="176"/>
      <c r="AA130" s="176"/>
      <c r="AB130" s="176"/>
      <c r="AC130" s="176"/>
      <c r="AD130" s="176"/>
      <c r="AE130" s="176"/>
      <c r="AF130" s="176"/>
      <c r="AG130" s="176"/>
      <c r="AH130" s="176"/>
      <c r="AI130" s="176"/>
      <c r="AJ130" s="176"/>
      <c r="AK130" s="176"/>
      <c r="AL130" s="176"/>
      <c r="AM130" s="176"/>
      <c r="AN130" s="176"/>
      <c r="AO130" s="176"/>
      <c r="AP130" s="176"/>
      <c r="AQ130" s="176"/>
      <c r="AR130" s="176"/>
    </row>
    <row r="131" spans="1:44" s="82" customFormat="1" ht="12.75">
      <c r="A131" s="251"/>
      <c r="B131" s="165"/>
      <c r="C131" s="165" t="s">
        <v>57</v>
      </c>
      <c r="D131" s="166"/>
      <c r="E131" s="167"/>
      <c r="F131" s="229">
        <f>78-ROUND(6451/1936.27,0)</f>
        <v>75</v>
      </c>
      <c r="G131" s="230"/>
      <c r="H131" s="229">
        <v>230</v>
      </c>
      <c r="I131" s="230"/>
      <c r="J131" s="229">
        <f>296</f>
        <v>296</v>
      </c>
      <c r="K131" s="230"/>
      <c r="L131" s="231">
        <f>ROUND((378/1936.27)*1000,0)</f>
        <v>195</v>
      </c>
      <c r="M131" s="168"/>
      <c r="N131" s="168">
        <v>255</v>
      </c>
      <c r="O131" s="168"/>
      <c r="P131" s="168"/>
      <c r="Q131" s="168"/>
      <c r="R131" s="168"/>
      <c r="S131" s="168"/>
      <c r="T131" s="168"/>
      <c r="U131" s="168"/>
      <c r="V131" s="232"/>
      <c r="W131" s="232"/>
      <c r="X131" s="232"/>
      <c r="Y131" s="232"/>
      <c r="Z131" s="232"/>
      <c r="AA131" s="232"/>
      <c r="AB131" s="232"/>
      <c r="AC131" s="232"/>
      <c r="AD131" s="232"/>
      <c r="AE131" s="232"/>
      <c r="AF131" s="232"/>
      <c r="AG131" s="232"/>
      <c r="AH131" s="232"/>
      <c r="AI131" s="232"/>
      <c r="AJ131" s="232"/>
      <c r="AK131" s="232"/>
      <c r="AL131" s="232"/>
      <c r="AM131" s="232"/>
      <c r="AN131" s="232"/>
      <c r="AO131" s="232"/>
      <c r="AP131" s="232"/>
      <c r="AQ131" s="232"/>
      <c r="AR131" s="232"/>
    </row>
    <row r="132" spans="1:44" s="161" customFormat="1" ht="12.75">
      <c r="A132" s="282" t="s">
        <v>181</v>
      </c>
      <c r="B132" s="280"/>
      <c r="C132" s="280"/>
      <c r="D132" s="281"/>
      <c r="F132" s="189">
        <f>+F133+F134+F140+F153+F152</f>
        <v>8290</v>
      </c>
      <c r="G132" s="189">
        <f aca="true" t="shared" si="22" ref="G132:S132">+G133+G134+G140+G153+G152</f>
        <v>88</v>
      </c>
      <c r="H132" s="189">
        <f t="shared" si="22"/>
        <v>9888</v>
      </c>
      <c r="I132" s="189">
        <f t="shared" si="22"/>
        <v>296</v>
      </c>
      <c r="J132" s="189">
        <f t="shared" si="22"/>
        <v>9901</v>
      </c>
      <c r="K132" s="189">
        <f t="shared" si="22"/>
        <v>444</v>
      </c>
      <c r="L132" s="189">
        <f t="shared" si="22"/>
        <v>17806.5</v>
      </c>
      <c r="M132" s="189">
        <f t="shared" si="22"/>
        <v>7812</v>
      </c>
      <c r="N132" s="189">
        <f t="shared" si="22"/>
        <v>13201</v>
      </c>
      <c r="O132" s="189">
        <f t="shared" si="22"/>
        <v>4316</v>
      </c>
      <c r="P132" s="189">
        <f t="shared" si="22"/>
        <v>17941</v>
      </c>
      <c r="Q132" s="189">
        <f t="shared" si="22"/>
        <v>6498</v>
      </c>
      <c r="R132" s="189">
        <f t="shared" si="22"/>
        <v>15077</v>
      </c>
      <c r="S132" s="189">
        <f t="shared" si="22"/>
        <v>6375</v>
      </c>
      <c r="T132" s="189">
        <f>+T133+T134+T140+T153+T152</f>
        <v>16642</v>
      </c>
      <c r="U132" s="189">
        <f>+U133+U134+U140+U153+U152</f>
        <v>8424</v>
      </c>
      <c r="V132" s="235"/>
      <c r="W132" s="235"/>
      <c r="X132" s="235"/>
      <c r="Y132" s="235"/>
      <c r="Z132" s="235"/>
      <c r="AA132" s="235"/>
      <c r="AB132" s="235"/>
      <c r="AC132" s="235"/>
      <c r="AD132" s="235"/>
      <c r="AE132" s="235"/>
      <c r="AF132" s="235"/>
      <c r="AG132" s="235"/>
      <c r="AH132" s="235"/>
      <c r="AI132" s="235"/>
      <c r="AJ132" s="235"/>
      <c r="AK132" s="235"/>
      <c r="AL132" s="235"/>
      <c r="AM132" s="235"/>
      <c r="AN132" s="235"/>
      <c r="AO132" s="235"/>
      <c r="AP132" s="235"/>
      <c r="AQ132" s="235"/>
      <c r="AR132" s="235"/>
    </row>
    <row r="133" spans="1:44" s="3" customFormat="1" ht="12.75">
      <c r="A133" s="68"/>
      <c r="B133" s="56"/>
      <c r="C133" s="56" t="s">
        <v>182</v>
      </c>
      <c r="D133" s="69"/>
      <c r="F133" s="151"/>
      <c r="G133" s="145"/>
      <c r="H133" s="151"/>
      <c r="I133" s="145"/>
      <c r="J133" s="144"/>
      <c r="K133" s="144"/>
      <c r="L133" s="152"/>
      <c r="M133" s="145"/>
      <c r="N133" s="144"/>
      <c r="O133" s="145"/>
      <c r="P133" s="143"/>
      <c r="Q133" s="145"/>
      <c r="R133" s="144"/>
      <c r="S133" s="145"/>
      <c r="T133" s="144"/>
      <c r="U133" s="145"/>
      <c r="V133" s="176"/>
      <c r="W133" s="176"/>
      <c r="X133" s="176"/>
      <c r="Y133" s="176"/>
      <c r="Z133" s="176"/>
      <c r="AA133" s="176"/>
      <c r="AB133" s="176"/>
      <c r="AC133" s="176"/>
      <c r="AD133" s="176"/>
      <c r="AE133" s="176"/>
      <c r="AF133" s="176"/>
      <c r="AG133" s="176"/>
      <c r="AH133" s="176"/>
      <c r="AI133" s="176"/>
      <c r="AJ133" s="176"/>
      <c r="AK133" s="176"/>
      <c r="AL133" s="176"/>
      <c r="AM133" s="176"/>
      <c r="AN133" s="176"/>
      <c r="AO133" s="176"/>
      <c r="AP133" s="176"/>
      <c r="AQ133" s="176"/>
      <c r="AR133" s="176"/>
    </row>
    <row r="134" spans="1:46" s="3" customFormat="1" ht="12.75">
      <c r="A134" s="68"/>
      <c r="B134" s="266" t="s">
        <v>183</v>
      </c>
      <c r="C134" s="266"/>
      <c r="D134" s="272"/>
      <c r="F134" s="190">
        <f aca="true" t="shared" si="23" ref="F134:O134">SUM(F135:F139)</f>
        <v>2516</v>
      </c>
      <c r="G134" s="190">
        <f t="shared" si="23"/>
        <v>0</v>
      </c>
      <c r="H134" s="190">
        <f t="shared" si="23"/>
        <v>2279</v>
      </c>
      <c r="I134" s="190">
        <f t="shared" si="23"/>
        <v>0</v>
      </c>
      <c r="J134" s="190">
        <f t="shared" si="23"/>
        <v>2046</v>
      </c>
      <c r="K134" s="190">
        <f t="shared" si="23"/>
        <v>0</v>
      </c>
      <c r="L134" s="190">
        <f t="shared" si="23"/>
        <v>1700</v>
      </c>
      <c r="M134" s="190">
        <f t="shared" si="23"/>
        <v>52</v>
      </c>
      <c r="N134" s="190">
        <f t="shared" si="23"/>
        <v>1349</v>
      </c>
      <c r="O134" s="190">
        <f t="shared" si="23"/>
        <v>0</v>
      </c>
      <c r="P134" s="190">
        <f aca="true" t="shared" si="24" ref="P134:U134">SUM(P135:P139)</f>
        <v>1787</v>
      </c>
      <c r="Q134" s="190">
        <f t="shared" si="24"/>
        <v>0</v>
      </c>
      <c r="R134" s="190">
        <f t="shared" si="24"/>
        <v>1390</v>
      </c>
      <c r="S134" s="190">
        <f t="shared" si="24"/>
        <v>136</v>
      </c>
      <c r="T134" s="190">
        <f t="shared" si="24"/>
        <v>1232</v>
      </c>
      <c r="U134" s="190">
        <f t="shared" si="24"/>
        <v>393</v>
      </c>
      <c r="V134" s="237"/>
      <c r="W134" s="237"/>
      <c r="X134" s="237"/>
      <c r="Y134" s="237"/>
      <c r="Z134" s="237"/>
      <c r="AA134" s="237"/>
      <c r="AB134" s="237"/>
      <c r="AC134" s="237"/>
      <c r="AD134" s="237"/>
      <c r="AE134" s="237"/>
      <c r="AF134" s="236"/>
      <c r="AG134" s="190"/>
      <c r="AH134" s="190"/>
      <c r="AI134" s="190"/>
      <c r="AJ134" s="190"/>
      <c r="AK134" s="190"/>
      <c r="AL134" s="190"/>
      <c r="AM134" s="190"/>
      <c r="AN134" s="190"/>
      <c r="AO134" s="190"/>
      <c r="AP134" s="190"/>
      <c r="AQ134" s="190"/>
      <c r="AR134" s="190"/>
      <c r="AS134" s="121"/>
      <c r="AT134" s="121"/>
    </row>
    <row r="135" spans="1:44" s="3" customFormat="1" ht="12.75">
      <c r="A135" s="68"/>
      <c r="B135" s="22"/>
      <c r="C135" s="56" t="s">
        <v>33</v>
      </c>
      <c r="D135" s="69"/>
      <c r="F135" s="143">
        <v>59</v>
      </c>
      <c r="G135" s="144"/>
      <c r="H135" s="143">
        <v>67</v>
      </c>
      <c r="I135" s="144"/>
      <c r="J135" s="143">
        <v>171</v>
      </c>
      <c r="K135" s="144"/>
      <c r="L135" s="154">
        <f>ROUND((140/1936.27)*1000,0)</f>
        <v>72</v>
      </c>
      <c r="M135" s="145"/>
      <c r="N135" s="143">
        <v>103</v>
      </c>
      <c r="O135" s="145"/>
      <c r="P135" s="143">
        <v>120</v>
      </c>
      <c r="Q135" s="145"/>
      <c r="R135" s="143">
        <v>99</v>
      </c>
      <c r="S135" s="145"/>
      <c r="T135" s="143">
        <v>192</v>
      </c>
      <c r="U135" s="145"/>
      <c r="V135" s="176"/>
      <c r="W135" s="176"/>
      <c r="X135" s="176"/>
      <c r="Y135" s="176"/>
      <c r="Z135" s="176"/>
      <c r="AA135" s="176"/>
      <c r="AB135" s="176"/>
      <c r="AC135" s="176"/>
      <c r="AD135" s="176"/>
      <c r="AE135" s="176"/>
      <c r="AF135" s="176"/>
      <c r="AG135" s="176"/>
      <c r="AH135" s="176"/>
      <c r="AI135" s="176"/>
      <c r="AJ135" s="176"/>
      <c r="AK135" s="176"/>
      <c r="AL135" s="176"/>
      <c r="AM135" s="176"/>
      <c r="AN135" s="176"/>
      <c r="AO135" s="176"/>
      <c r="AP135" s="176"/>
      <c r="AQ135" s="176"/>
      <c r="AR135" s="176"/>
    </row>
    <row r="136" spans="1:44" s="3" customFormat="1" ht="12.75">
      <c r="A136" s="68"/>
      <c r="B136" s="22"/>
      <c r="C136" s="56" t="s">
        <v>80</v>
      </c>
      <c r="D136" s="69"/>
      <c r="F136" s="143">
        <v>16</v>
      </c>
      <c r="G136" s="144"/>
      <c r="H136" s="143">
        <v>33</v>
      </c>
      <c r="I136" s="144"/>
      <c r="J136" s="143">
        <v>25</v>
      </c>
      <c r="K136" s="144"/>
      <c r="L136" s="154">
        <v>0</v>
      </c>
      <c r="M136" s="145"/>
      <c r="N136" s="143">
        <v>0</v>
      </c>
      <c r="O136" s="145"/>
      <c r="P136" s="143"/>
      <c r="Q136" s="145"/>
      <c r="R136" s="143"/>
      <c r="S136" s="145"/>
      <c r="T136" s="143"/>
      <c r="U136" s="145"/>
      <c r="V136" s="176"/>
      <c r="W136" s="176"/>
      <c r="X136" s="176"/>
      <c r="Y136" s="176"/>
      <c r="Z136" s="176"/>
      <c r="AA136" s="176"/>
      <c r="AB136" s="176"/>
      <c r="AC136" s="176"/>
      <c r="AD136" s="176"/>
      <c r="AE136" s="176"/>
      <c r="AF136" s="176"/>
      <c r="AG136" s="176"/>
      <c r="AH136" s="176"/>
      <c r="AI136" s="176"/>
      <c r="AJ136" s="176"/>
      <c r="AK136" s="176"/>
      <c r="AL136" s="176"/>
      <c r="AM136" s="176"/>
      <c r="AN136" s="176"/>
      <c r="AO136" s="176"/>
      <c r="AP136" s="176"/>
      <c r="AQ136" s="176"/>
      <c r="AR136" s="176"/>
    </row>
    <row r="137" spans="1:44" s="3" customFormat="1" ht="12.75">
      <c r="A137" s="68"/>
      <c r="B137" s="22"/>
      <c r="C137" s="56" t="s">
        <v>140</v>
      </c>
      <c r="D137" s="69"/>
      <c r="F137" s="143">
        <v>176</v>
      </c>
      <c r="G137" s="144"/>
      <c r="H137" s="143">
        <v>131</v>
      </c>
      <c r="I137" s="144"/>
      <c r="J137" s="143">
        <v>350</v>
      </c>
      <c r="K137" s="144"/>
      <c r="L137" s="154">
        <f>ROUND((2004/1936.27)*1000,0)</f>
        <v>1035</v>
      </c>
      <c r="M137" s="145">
        <f>ROUND(100000/1936.27,0)</f>
        <v>52</v>
      </c>
      <c r="N137" s="143">
        <v>744</v>
      </c>
      <c r="O137" s="145"/>
      <c r="P137" s="143">
        <v>1161</v>
      </c>
      <c r="Q137" s="145"/>
      <c r="R137" s="143">
        <v>780</v>
      </c>
      <c r="S137" s="145">
        <v>136</v>
      </c>
      <c r="T137" s="143">
        <v>456</v>
      </c>
      <c r="U137" s="145">
        <v>323</v>
      </c>
      <c r="V137" s="176"/>
      <c r="W137" s="176"/>
      <c r="X137" s="176"/>
      <c r="Y137" s="176"/>
      <c r="Z137" s="176"/>
      <c r="AA137" s="176"/>
      <c r="AB137" s="176"/>
      <c r="AC137" s="176"/>
      <c r="AD137" s="176"/>
      <c r="AE137" s="176"/>
      <c r="AF137" s="176"/>
      <c r="AG137" s="176"/>
      <c r="AH137" s="176"/>
      <c r="AI137" s="176"/>
      <c r="AJ137" s="176"/>
      <c r="AK137" s="176"/>
      <c r="AL137" s="176"/>
      <c r="AM137" s="176"/>
      <c r="AN137" s="176"/>
      <c r="AO137" s="176"/>
      <c r="AP137" s="176"/>
      <c r="AQ137" s="176"/>
      <c r="AR137" s="176"/>
    </row>
    <row r="138" spans="1:44" s="3" customFormat="1" ht="12.75">
      <c r="A138" s="68"/>
      <c r="B138" s="22"/>
      <c r="C138" s="56" t="s">
        <v>81</v>
      </c>
      <c r="D138" s="69"/>
      <c r="F138" s="143">
        <v>2014</v>
      </c>
      <c r="G138" s="144"/>
      <c r="H138" s="143">
        <v>1813</v>
      </c>
      <c r="I138" s="144"/>
      <c r="J138" s="143">
        <v>1194</v>
      </c>
      <c r="K138" s="144"/>
      <c r="L138" s="154">
        <f>ROUND((413/1936.27)*1000,0)</f>
        <v>213</v>
      </c>
      <c r="M138" s="145"/>
      <c r="N138" s="143">
        <v>171</v>
      </c>
      <c r="O138" s="145"/>
      <c r="P138" s="143">
        <v>171</v>
      </c>
      <c r="Q138" s="145"/>
      <c r="R138" s="143">
        <v>194</v>
      </c>
      <c r="S138" s="145"/>
      <c r="T138" s="143">
        <v>337</v>
      </c>
      <c r="U138" s="145">
        <v>70</v>
      </c>
      <c r="V138" s="176"/>
      <c r="W138" s="176"/>
      <c r="X138" s="176"/>
      <c r="Y138" s="176"/>
      <c r="Z138" s="176"/>
      <c r="AA138" s="176"/>
      <c r="AB138" s="176"/>
      <c r="AC138" s="176"/>
      <c r="AD138" s="176"/>
      <c r="AE138" s="176"/>
      <c r="AF138" s="176"/>
      <c r="AG138" s="176"/>
      <c r="AH138" s="176"/>
      <c r="AI138" s="176"/>
      <c r="AJ138" s="176"/>
      <c r="AK138" s="176"/>
      <c r="AL138" s="176"/>
      <c r="AM138" s="176"/>
      <c r="AN138" s="176"/>
      <c r="AO138" s="176"/>
      <c r="AP138" s="176"/>
      <c r="AQ138" s="176"/>
      <c r="AR138" s="176"/>
    </row>
    <row r="139" spans="1:44" s="3" customFormat="1" ht="12.75">
      <c r="A139" s="68"/>
      <c r="B139" s="22"/>
      <c r="C139" s="56" t="s">
        <v>39</v>
      </c>
      <c r="D139" s="69"/>
      <c r="F139" s="143">
        <v>251</v>
      </c>
      <c r="G139" s="144"/>
      <c r="H139" s="143">
        <v>235</v>
      </c>
      <c r="I139" s="144"/>
      <c r="J139" s="143">
        <v>306</v>
      </c>
      <c r="K139" s="144"/>
      <c r="L139" s="154">
        <f>ROUND((735/1936.27)*1000,0)</f>
        <v>380</v>
      </c>
      <c r="M139" s="145"/>
      <c r="N139" s="143">
        <v>331</v>
      </c>
      <c r="O139" s="145"/>
      <c r="P139" s="143">
        <v>335</v>
      </c>
      <c r="Q139" s="145"/>
      <c r="R139" s="143">
        <v>317</v>
      </c>
      <c r="S139" s="145"/>
      <c r="T139" s="143">
        <v>247</v>
      </c>
      <c r="U139" s="145"/>
      <c r="V139" s="176"/>
      <c r="W139" s="176"/>
      <c r="X139" s="176"/>
      <c r="Y139" s="176"/>
      <c r="Z139" s="176"/>
      <c r="AA139" s="176"/>
      <c r="AB139" s="176"/>
      <c r="AC139" s="176"/>
      <c r="AD139" s="176"/>
      <c r="AE139" s="176"/>
      <c r="AF139" s="176"/>
      <c r="AG139" s="176"/>
      <c r="AH139" s="176"/>
      <c r="AI139" s="176"/>
      <c r="AJ139" s="176"/>
      <c r="AK139" s="176"/>
      <c r="AL139" s="176"/>
      <c r="AM139" s="176"/>
      <c r="AN139" s="176"/>
      <c r="AO139" s="176"/>
      <c r="AP139" s="176"/>
      <c r="AQ139" s="176"/>
      <c r="AR139" s="176"/>
    </row>
    <row r="140" spans="1:44" s="3" customFormat="1" ht="12.75">
      <c r="A140" s="68"/>
      <c r="B140" s="271" t="s">
        <v>163</v>
      </c>
      <c r="C140" s="264"/>
      <c r="D140" s="265"/>
      <c r="F140" s="190">
        <f aca="true" t="shared" si="25" ref="F140:S140">SUM(F141:F151)</f>
        <v>1197</v>
      </c>
      <c r="G140" s="190">
        <f t="shared" si="25"/>
        <v>0</v>
      </c>
      <c r="H140" s="190">
        <f t="shared" si="25"/>
        <v>1155</v>
      </c>
      <c r="I140" s="190">
        <f t="shared" si="25"/>
        <v>0</v>
      </c>
      <c r="J140" s="190">
        <f t="shared" si="25"/>
        <v>1559</v>
      </c>
      <c r="K140" s="190">
        <f t="shared" si="25"/>
        <v>0</v>
      </c>
      <c r="L140" s="190">
        <f t="shared" si="25"/>
        <v>3300.5</v>
      </c>
      <c r="M140" s="190">
        <f t="shared" si="25"/>
        <v>580</v>
      </c>
      <c r="N140" s="190">
        <f t="shared" si="25"/>
        <v>2095</v>
      </c>
      <c r="O140" s="190">
        <f t="shared" si="25"/>
        <v>0</v>
      </c>
      <c r="P140" s="190">
        <f t="shared" si="25"/>
        <v>3766</v>
      </c>
      <c r="Q140" s="190">
        <f t="shared" si="25"/>
        <v>137</v>
      </c>
      <c r="R140" s="190">
        <f t="shared" si="25"/>
        <v>3516</v>
      </c>
      <c r="S140" s="190">
        <f t="shared" si="25"/>
        <v>1285</v>
      </c>
      <c r="T140" s="190">
        <f>SUM(T141:T151)</f>
        <v>2696</v>
      </c>
      <c r="U140" s="190">
        <f>SUM(U141:U151)</f>
        <v>951</v>
      </c>
      <c r="V140" s="176"/>
      <c r="W140" s="176"/>
      <c r="X140" s="176"/>
      <c r="Y140" s="176"/>
      <c r="Z140" s="176"/>
      <c r="AA140" s="176"/>
      <c r="AB140" s="176"/>
      <c r="AC140" s="176"/>
      <c r="AD140" s="176"/>
      <c r="AE140" s="176"/>
      <c r="AF140" s="176"/>
      <c r="AG140" s="176"/>
      <c r="AH140" s="176"/>
      <c r="AI140" s="176"/>
      <c r="AJ140" s="176"/>
      <c r="AK140" s="176"/>
      <c r="AL140" s="176"/>
      <c r="AM140" s="176"/>
      <c r="AN140" s="176"/>
      <c r="AO140" s="176"/>
      <c r="AP140" s="176"/>
      <c r="AQ140" s="176"/>
      <c r="AR140" s="176"/>
    </row>
    <row r="141" spans="1:44" s="3" customFormat="1" ht="12.75">
      <c r="A141" s="68"/>
      <c r="B141" s="22"/>
      <c r="C141" s="18" t="s">
        <v>164</v>
      </c>
      <c r="D141" s="69"/>
      <c r="F141" s="185">
        <v>127</v>
      </c>
      <c r="G141" s="238"/>
      <c r="H141" s="154">
        <v>106</v>
      </c>
      <c r="I141" s="214"/>
      <c r="J141" s="185">
        <v>144</v>
      </c>
      <c r="K141" s="238"/>
      <c r="L141" s="154">
        <f>ROUND((860/1936.27)*1000,0)</f>
        <v>444</v>
      </c>
      <c r="M141" s="154"/>
      <c r="N141" s="154">
        <v>428</v>
      </c>
      <c r="O141" s="151">
        <f>ROUND((72882176/1936.27),0)-37640-1</f>
        <v>0</v>
      </c>
      <c r="P141" s="154">
        <v>207</v>
      </c>
      <c r="Q141" s="151"/>
      <c r="R141" s="154">
        <v>221</v>
      </c>
      <c r="S141" s="151"/>
      <c r="T141" s="154">
        <v>135</v>
      </c>
      <c r="U141" s="151">
        <v>43</v>
      </c>
      <c r="V141" s="176"/>
      <c r="W141" s="176"/>
      <c r="X141" s="176"/>
      <c r="Y141" s="176"/>
      <c r="Z141" s="176"/>
      <c r="AA141" s="176"/>
      <c r="AB141" s="176"/>
      <c r="AC141" s="176"/>
      <c r="AD141" s="176"/>
      <c r="AE141" s="176"/>
      <c r="AF141" s="176"/>
      <c r="AG141" s="176"/>
      <c r="AH141" s="176"/>
      <c r="AI141" s="176"/>
      <c r="AJ141" s="176"/>
      <c r="AK141" s="176"/>
      <c r="AL141" s="176"/>
      <c r="AM141" s="176"/>
      <c r="AN141" s="176"/>
      <c r="AO141" s="176"/>
      <c r="AP141" s="176"/>
      <c r="AQ141" s="176"/>
      <c r="AR141" s="176"/>
    </row>
    <row r="142" spans="1:44" s="3" customFormat="1" ht="12.75">
      <c r="A142" s="68"/>
      <c r="B142" s="22"/>
      <c r="C142" s="18" t="s">
        <v>144</v>
      </c>
      <c r="D142" s="69"/>
      <c r="F142" s="185"/>
      <c r="G142" s="238"/>
      <c r="H142" s="154"/>
      <c r="I142" s="214"/>
      <c r="J142" s="185"/>
      <c r="K142" s="238"/>
      <c r="L142" s="154"/>
      <c r="M142" s="154"/>
      <c r="N142" s="154"/>
      <c r="O142" s="151"/>
      <c r="P142" s="154">
        <v>63</v>
      </c>
      <c r="Q142" s="151"/>
      <c r="R142" s="154">
        <v>34</v>
      </c>
      <c r="S142" s="151"/>
      <c r="T142" s="154"/>
      <c r="U142" s="151"/>
      <c r="V142" s="176"/>
      <c r="W142" s="176"/>
      <c r="X142" s="176"/>
      <c r="Y142" s="176"/>
      <c r="Z142" s="176"/>
      <c r="AA142" s="176"/>
      <c r="AB142" s="176"/>
      <c r="AC142" s="176"/>
      <c r="AD142" s="176"/>
      <c r="AE142" s="176"/>
      <c r="AF142" s="176"/>
      <c r="AG142" s="176"/>
      <c r="AH142" s="176"/>
      <c r="AI142" s="176"/>
      <c r="AJ142" s="176"/>
      <c r="AK142" s="176"/>
      <c r="AL142" s="176"/>
      <c r="AM142" s="176"/>
      <c r="AN142" s="176"/>
      <c r="AO142" s="176"/>
      <c r="AP142" s="176"/>
      <c r="AQ142" s="176"/>
      <c r="AR142" s="176"/>
    </row>
    <row r="143" spans="1:44" s="3" customFormat="1" ht="12.75">
      <c r="A143" s="68"/>
      <c r="B143" s="22"/>
      <c r="C143" s="56" t="s">
        <v>141</v>
      </c>
      <c r="D143" s="69"/>
      <c r="F143" s="143">
        <v>141</v>
      </c>
      <c r="G143" s="226"/>
      <c r="H143" s="143">
        <v>39</v>
      </c>
      <c r="I143" s="226"/>
      <c r="J143" s="143">
        <v>15</v>
      </c>
      <c r="K143" s="226"/>
      <c r="L143" s="154">
        <f>ROUND((94/1936.27)*1000,0)</f>
        <v>49</v>
      </c>
      <c r="M143" s="151"/>
      <c r="N143" s="151">
        <v>17</v>
      </c>
      <c r="O143" s="151"/>
      <c r="P143" s="151">
        <v>1</v>
      </c>
      <c r="Q143" s="151"/>
      <c r="R143" s="151">
        <v>12</v>
      </c>
      <c r="S143" s="151"/>
      <c r="T143" s="151">
        <v>21</v>
      </c>
      <c r="U143" s="151"/>
      <c r="V143" s="176"/>
      <c r="W143" s="176"/>
      <c r="X143" s="176"/>
      <c r="Y143" s="176"/>
      <c r="Z143" s="176"/>
      <c r="AA143" s="176"/>
      <c r="AB143" s="176"/>
      <c r="AC143" s="176"/>
      <c r="AD143" s="176"/>
      <c r="AE143" s="176"/>
      <c r="AF143" s="176"/>
      <c r="AG143" s="176"/>
      <c r="AH143" s="176"/>
      <c r="AI143" s="176"/>
      <c r="AJ143" s="176"/>
      <c r="AK143" s="176"/>
      <c r="AL143" s="176"/>
      <c r="AM143" s="176"/>
      <c r="AN143" s="176"/>
      <c r="AO143" s="176"/>
      <c r="AP143" s="176"/>
      <c r="AQ143" s="176"/>
      <c r="AR143" s="176"/>
    </row>
    <row r="144" spans="1:44" s="3" customFormat="1" ht="12.75">
      <c r="A144" s="68"/>
      <c r="B144" s="22"/>
      <c r="C144" s="56" t="s">
        <v>143</v>
      </c>
      <c r="D144" s="69"/>
      <c r="F144" s="240"/>
      <c r="G144" s="226"/>
      <c r="H144" s="240"/>
      <c r="I144" s="226"/>
      <c r="J144" s="240"/>
      <c r="K144" s="226"/>
      <c r="L144" s="154">
        <f>ROUND((254/1936.27)*1000,0)</f>
        <v>131</v>
      </c>
      <c r="M144" s="151"/>
      <c r="N144" s="151">
        <v>81</v>
      </c>
      <c r="O144" s="151"/>
      <c r="P144" s="151">
        <v>468</v>
      </c>
      <c r="Q144" s="151">
        <v>137</v>
      </c>
      <c r="R144" s="151">
        <v>333</v>
      </c>
      <c r="S144" s="151">
        <v>88</v>
      </c>
      <c r="T144" s="151">
        <v>229</v>
      </c>
      <c r="U144" s="151">
        <v>65</v>
      </c>
      <c r="V144" s="176"/>
      <c r="W144" s="176"/>
      <c r="X144" s="176"/>
      <c r="Y144" s="176"/>
      <c r="Z144" s="176"/>
      <c r="AA144" s="176"/>
      <c r="AB144" s="176"/>
      <c r="AC144" s="176"/>
      <c r="AD144" s="176"/>
      <c r="AE144" s="176"/>
      <c r="AF144" s="176"/>
      <c r="AG144" s="176"/>
      <c r="AH144" s="176"/>
      <c r="AI144" s="176"/>
      <c r="AJ144" s="176"/>
      <c r="AK144" s="176"/>
      <c r="AL144" s="176"/>
      <c r="AM144" s="176"/>
      <c r="AN144" s="176"/>
      <c r="AO144" s="176"/>
      <c r="AP144" s="176"/>
      <c r="AQ144" s="176"/>
      <c r="AR144" s="176"/>
    </row>
    <row r="145" spans="1:44" s="3" customFormat="1" ht="12.75">
      <c r="A145" s="68"/>
      <c r="B145" s="22"/>
      <c r="C145" s="56" t="s">
        <v>145</v>
      </c>
      <c r="D145" s="69"/>
      <c r="F145" s="240"/>
      <c r="G145" s="226"/>
      <c r="H145" s="240"/>
      <c r="I145" s="226"/>
      <c r="J145" s="240"/>
      <c r="K145" s="226"/>
      <c r="L145" s="154"/>
      <c r="M145" s="151"/>
      <c r="N145" s="151"/>
      <c r="O145" s="151"/>
      <c r="P145" s="151">
        <v>27</v>
      </c>
      <c r="Q145" s="151"/>
      <c r="R145" s="151">
        <v>368</v>
      </c>
      <c r="S145" s="151">
        <v>324</v>
      </c>
      <c r="T145" s="151">
        <v>203</v>
      </c>
      <c r="U145" s="151">
        <v>172</v>
      </c>
      <c r="V145" s="176"/>
      <c r="W145" s="176"/>
      <c r="X145" s="176"/>
      <c r="Y145" s="176"/>
      <c r="Z145" s="176"/>
      <c r="AA145" s="176"/>
      <c r="AB145" s="176"/>
      <c r="AC145" s="176"/>
      <c r="AD145" s="176"/>
      <c r="AE145" s="176"/>
      <c r="AF145" s="176"/>
      <c r="AG145" s="176"/>
      <c r="AH145" s="176"/>
      <c r="AI145" s="176"/>
      <c r="AJ145" s="176"/>
      <c r="AK145" s="176"/>
      <c r="AL145" s="176"/>
      <c r="AM145" s="176"/>
      <c r="AN145" s="176"/>
      <c r="AO145" s="176"/>
      <c r="AP145" s="176"/>
      <c r="AQ145" s="176"/>
      <c r="AR145" s="176"/>
    </row>
    <row r="146" spans="1:44" s="3" customFormat="1" ht="12.75">
      <c r="A146" s="68"/>
      <c r="B146" s="22"/>
      <c r="C146" s="56" t="s">
        <v>146</v>
      </c>
      <c r="D146" s="69"/>
      <c r="F146" s="240"/>
      <c r="G146" s="226"/>
      <c r="H146" s="240"/>
      <c r="I146" s="226"/>
      <c r="J146" s="240"/>
      <c r="K146" s="226"/>
      <c r="L146" s="154"/>
      <c r="M146" s="151"/>
      <c r="N146" s="151"/>
      <c r="O146" s="151"/>
      <c r="P146" s="151">
        <v>1820</v>
      </c>
      <c r="Q146" s="151"/>
      <c r="R146" s="151">
        <v>1187</v>
      </c>
      <c r="S146" s="151"/>
      <c r="T146" s="151">
        <v>1209</v>
      </c>
      <c r="U146" s="151"/>
      <c r="V146" s="176"/>
      <c r="W146" s="176"/>
      <c r="X146" s="176"/>
      <c r="Y146" s="176"/>
      <c r="Z146" s="176"/>
      <c r="AA146" s="176"/>
      <c r="AB146" s="176"/>
      <c r="AC146" s="176"/>
      <c r="AD146" s="176"/>
      <c r="AE146" s="176"/>
      <c r="AF146" s="176"/>
      <c r="AG146" s="176"/>
      <c r="AH146" s="176"/>
      <c r="AI146" s="176"/>
      <c r="AJ146" s="176"/>
      <c r="AK146" s="176"/>
      <c r="AL146" s="176"/>
      <c r="AM146" s="176"/>
      <c r="AN146" s="176"/>
      <c r="AO146" s="176"/>
      <c r="AP146" s="176"/>
      <c r="AQ146" s="176"/>
      <c r="AR146" s="176"/>
    </row>
    <row r="147" spans="1:44" s="3" customFormat="1" ht="12.75">
      <c r="A147" s="68"/>
      <c r="B147" s="22"/>
      <c r="C147" s="55" t="s">
        <v>142</v>
      </c>
      <c r="D147" s="69"/>
      <c r="F147" s="240"/>
      <c r="G147" s="241"/>
      <c r="H147" s="240"/>
      <c r="I147" s="241"/>
      <c r="J147" s="240"/>
      <c r="K147" s="241"/>
      <c r="L147" s="154"/>
      <c r="M147" s="151"/>
      <c r="N147" s="151">
        <v>178</v>
      </c>
      <c r="O147" s="151"/>
      <c r="P147" s="151">
        <v>147</v>
      </c>
      <c r="Q147" s="151"/>
      <c r="R147" s="151">
        <v>293</v>
      </c>
      <c r="S147" s="151"/>
      <c r="T147" s="151">
        <v>215</v>
      </c>
      <c r="U147" s="151">
        <v>71</v>
      </c>
      <c r="V147" s="176"/>
      <c r="W147" s="176"/>
      <c r="X147" s="176"/>
      <c r="Y147" s="176"/>
      <c r="Z147" s="176"/>
      <c r="AA147" s="176"/>
      <c r="AB147" s="176"/>
      <c r="AC147" s="176"/>
      <c r="AD147" s="176"/>
      <c r="AE147" s="176"/>
      <c r="AF147" s="176"/>
      <c r="AG147" s="176"/>
      <c r="AH147" s="176"/>
      <c r="AI147" s="176"/>
      <c r="AJ147" s="176"/>
      <c r="AK147" s="176"/>
      <c r="AL147" s="176"/>
      <c r="AM147" s="176"/>
      <c r="AN147" s="176"/>
      <c r="AO147" s="176"/>
      <c r="AP147" s="176"/>
      <c r="AQ147" s="176"/>
      <c r="AR147" s="176"/>
    </row>
    <row r="148" spans="1:44" s="3" customFormat="1" ht="12.75">
      <c r="A148" s="68"/>
      <c r="B148" s="22"/>
      <c r="C148" s="56" t="s">
        <v>129</v>
      </c>
      <c r="D148" s="104"/>
      <c r="E148" s="69"/>
      <c r="F148" s="151">
        <f>ROUND(150/1936.27*1000,0)</f>
        <v>77</v>
      </c>
      <c r="G148" s="225"/>
      <c r="H148" s="151">
        <v>147</v>
      </c>
      <c r="I148" s="225"/>
      <c r="J148" s="151">
        <v>124</v>
      </c>
      <c r="K148" s="226"/>
      <c r="L148" s="154">
        <f>ROUND((913/1936.27)*1000,0)</f>
        <v>472</v>
      </c>
      <c r="M148" s="151"/>
      <c r="N148" s="191">
        <v>587</v>
      </c>
      <c r="O148" s="151"/>
      <c r="P148" s="191">
        <v>1033</v>
      </c>
      <c r="Q148" s="151"/>
      <c r="R148" s="191">
        <v>1068</v>
      </c>
      <c r="S148" s="151">
        <v>873</v>
      </c>
      <c r="T148" s="191">
        <v>684</v>
      </c>
      <c r="U148" s="151">
        <v>600</v>
      </c>
      <c r="V148" s="176"/>
      <c r="W148" s="176"/>
      <c r="X148" s="176"/>
      <c r="Y148" s="176"/>
      <c r="Z148" s="176"/>
      <c r="AA148" s="176"/>
      <c r="AB148" s="176"/>
      <c r="AC148" s="176"/>
      <c r="AD148" s="176"/>
      <c r="AE148" s="176"/>
      <c r="AF148" s="176"/>
      <c r="AG148" s="176"/>
      <c r="AH148" s="176"/>
      <c r="AI148" s="176"/>
      <c r="AJ148" s="176"/>
      <c r="AK148" s="176"/>
      <c r="AL148" s="176"/>
      <c r="AM148" s="176"/>
      <c r="AN148" s="176"/>
      <c r="AO148" s="176"/>
      <c r="AP148" s="176"/>
      <c r="AQ148" s="176"/>
      <c r="AR148" s="176"/>
    </row>
    <row r="149" spans="1:44" s="82" customFormat="1" ht="12.75">
      <c r="A149" s="250"/>
      <c r="B149" s="252"/>
      <c r="C149" s="58" t="s">
        <v>84</v>
      </c>
      <c r="D149" s="81"/>
      <c r="F149" s="217">
        <v>168</v>
      </c>
      <c r="G149" s="239"/>
      <c r="H149" s="217">
        <v>155</v>
      </c>
      <c r="I149" s="239"/>
      <c r="J149" s="217">
        <v>284</v>
      </c>
      <c r="K149" s="239"/>
      <c r="L149" s="223">
        <f>ROUND((507/1936.27)*1000,0)</f>
        <v>262</v>
      </c>
      <c r="M149" s="181"/>
      <c r="N149" s="181">
        <v>48</v>
      </c>
      <c r="O149" s="181"/>
      <c r="P149" s="181"/>
      <c r="Q149" s="181"/>
      <c r="R149" s="181"/>
      <c r="S149" s="181"/>
      <c r="T149" s="181"/>
      <c r="U149" s="181"/>
      <c r="V149" s="232"/>
      <c r="W149" s="232"/>
      <c r="X149" s="232"/>
      <c r="Y149" s="232"/>
      <c r="Z149" s="232"/>
      <c r="AA149" s="232"/>
      <c r="AB149" s="232"/>
      <c r="AC149" s="232"/>
      <c r="AD149" s="232"/>
      <c r="AE149" s="232"/>
      <c r="AF149" s="232"/>
      <c r="AG149" s="232"/>
      <c r="AH149" s="232"/>
      <c r="AI149" s="232"/>
      <c r="AJ149" s="232"/>
      <c r="AK149" s="232"/>
      <c r="AL149" s="232"/>
      <c r="AM149" s="232"/>
      <c r="AN149" s="232"/>
      <c r="AO149" s="232"/>
      <c r="AP149" s="232"/>
      <c r="AQ149" s="232"/>
      <c r="AR149" s="232"/>
    </row>
    <row r="150" spans="1:44" s="82" customFormat="1" ht="12.75">
      <c r="A150" s="250"/>
      <c r="B150" s="252"/>
      <c r="C150" s="58" t="s">
        <v>32</v>
      </c>
      <c r="D150" s="81"/>
      <c r="F150" s="217">
        <v>663</v>
      </c>
      <c r="G150" s="239"/>
      <c r="H150" s="217">
        <v>708</v>
      </c>
      <c r="I150" s="239"/>
      <c r="J150" s="217">
        <v>727</v>
      </c>
      <c r="K150" s="239"/>
      <c r="L150" s="223">
        <f>ROUND((3762/1936.27)*1000,0)-0.5</f>
        <v>1942.5</v>
      </c>
      <c r="M150" s="181">
        <f>ROUND(1122500/1936.27,0)</f>
        <v>580</v>
      </c>
      <c r="N150" s="181">
        <v>756</v>
      </c>
      <c r="O150" s="181"/>
      <c r="P150" s="181"/>
      <c r="Q150" s="181"/>
      <c r="R150" s="181"/>
      <c r="S150" s="181"/>
      <c r="T150" s="181"/>
      <c r="U150" s="181"/>
      <c r="V150" s="232"/>
      <c r="W150" s="232"/>
      <c r="X150" s="232"/>
      <c r="Y150" s="232"/>
      <c r="Z150" s="232"/>
      <c r="AA150" s="232"/>
      <c r="AB150" s="232"/>
      <c r="AC150" s="232"/>
      <c r="AD150" s="232"/>
      <c r="AE150" s="232"/>
      <c r="AF150" s="232"/>
      <c r="AG150" s="232"/>
      <c r="AH150" s="232"/>
      <c r="AI150" s="232"/>
      <c r="AJ150" s="232"/>
      <c r="AK150" s="232"/>
      <c r="AL150" s="232"/>
      <c r="AM150" s="232"/>
      <c r="AN150" s="232"/>
      <c r="AO150" s="232"/>
      <c r="AP150" s="232"/>
      <c r="AQ150" s="232"/>
      <c r="AR150" s="232"/>
    </row>
    <row r="151" spans="1:44" s="82" customFormat="1" ht="12.75">
      <c r="A151" s="172"/>
      <c r="B151" s="173"/>
      <c r="C151" s="58" t="s">
        <v>74</v>
      </c>
      <c r="D151" s="81"/>
      <c r="F151" s="217">
        <v>21</v>
      </c>
      <c r="G151" s="239"/>
      <c r="H151" s="217"/>
      <c r="I151" s="239"/>
      <c r="J151" s="217">
        <v>265</v>
      </c>
      <c r="K151" s="217"/>
      <c r="L151" s="232"/>
      <c r="M151" s="181"/>
      <c r="N151" s="181"/>
      <c r="O151" s="181"/>
      <c r="P151" s="181"/>
      <c r="Q151" s="181"/>
      <c r="R151" s="181"/>
      <c r="S151" s="181"/>
      <c r="T151" s="181"/>
      <c r="U151" s="181"/>
      <c r="V151" s="232"/>
      <c r="W151" s="232"/>
      <c r="X151" s="232"/>
      <c r="Y151" s="232"/>
      <c r="Z151" s="232"/>
      <c r="AA151" s="232"/>
      <c r="AB151" s="232"/>
      <c r="AC151" s="232"/>
      <c r="AD151" s="232"/>
      <c r="AE151" s="232"/>
      <c r="AF151" s="232"/>
      <c r="AG151" s="232"/>
      <c r="AH151" s="232"/>
      <c r="AI151" s="232"/>
      <c r="AJ151" s="232"/>
      <c r="AK151" s="232"/>
      <c r="AL151" s="232"/>
      <c r="AM151" s="232"/>
      <c r="AN151" s="232"/>
      <c r="AO151" s="232"/>
      <c r="AP151" s="232"/>
      <c r="AQ151" s="232"/>
      <c r="AR151" s="232"/>
    </row>
    <row r="152" spans="1:44" s="3" customFormat="1" ht="12.75">
      <c r="A152" s="68"/>
      <c r="B152" s="289" t="s">
        <v>212</v>
      </c>
      <c r="C152" s="264"/>
      <c r="D152" s="265"/>
      <c r="F152" s="195">
        <v>47</v>
      </c>
      <c r="G152" s="195"/>
      <c r="H152" s="195">
        <v>568</v>
      </c>
      <c r="I152" s="195"/>
      <c r="J152" s="195">
        <v>553</v>
      </c>
      <c r="K152" s="195"/>
      <c r="L152" s="195">
        <f>ROUND((12065/1936.27)*1000,0)</f>
        <v>6231</v>
      </c>
      <c r="M152" s="195">
        <f>ROUND(10200000/1936.27,0)</f>
        <v>5268</v>
      </c>
      <c r="N152" s="195">
        <v>4989</v>
      </c>
      <c r="O152" s="195">
        <f>ROUND((7773708/1936.27),0)</f>
        <v>4015</v>
      </c>
      <c r="P152" s="195">
        <v>6274</v>
      </c>
      <c r="Q152" s="195">
        <v>6210</v>
      </c>
      <c r="R152" s="195">
        <v>4508</v>
      </c>
      <c r="S152" s="195">
        <v>4474</v>
      </c>
      <c r="T152" s="195">
        <v>6940</v>
      </c>
      <c r="U152" s="195">
        <v>6772</v>
      </c>
      <c r="V152" s="176"/>
      <c r="W152" s="176"/>
      <c r="X152" s="176"/>
      <c r="Y152" s="176"/>
      <c r="Z152" s="176"/>
      <c r="AA152" s="176"/>
      <c r="AB152" s="176"/>
      <c r="AC152" s="176"/>
      <c r="AD152" s="176"/>
      <c r="AE152" s="176"/>
      <c r="AF152" s="176"/>
      <c r="AG152" s="176"/>
      <c r="AH152" s="176"/>
      <c r="AI152" s="176"/>
      <c r="AJ152" s="176"/>
      <c r="AK152" s="176"/>
      <c r="AL152" s="176"/>
      <c r="AM152" s="176"/>
      <c r="AN152" s="176"/>
      <c r="AO152" s="176"/>
      <c r="AP152" s="176"/>
      <c r="AQ152" s="176"/>
      <c r="AR152" s="176"/>
    </row>
    <row r="153" spans="1:44" s="3" customFormat="1" ht="12.75">
      <c r="A153" s="68"/>
      <c r="B153" s="264" t="s">
        <v>184</v>
      </c>
      <c r="C153" s="264"/>
      <c r="D153" s="265"/>
      <c r="F153" s="195">
        <f aca="true" t="shared" si="26" ref="F153:S153">SUM(F154:F155)</f>
        <v>4530</v>
      </c>
      <c r="G153" s="195">
        <f t="shared" si="26"/>
        <v>88</v>
      </c>
      <c r="H153" s="195">
        <f t="shared" si="26"/>
        <v>5886</v>
      </c>
      <c r="I153" s="195">
        <f t="shared" si="26"/>
        <v>296</v>
      </c>
      <c r="J153" s="195">
        <f t="shared" si="26"/>
        <v>5743</v>
      </c>
      <c r="K153" s="195">
        <f t="shared" si="26"/>
        <v>444</v>
      </c>
      <c r="L153" s="195">
        <f t="shared" si="26"/>
        <v>6575</v>
      </c>
      <c r="M153" s="195">
        <f t="shared" si="26"/>
        <v>1912</v>
      </c>
      <c r="N153" s="195">
        <f t="shared" si="26"/>
        <v>4768</v>
      </c>
      <c r="O153" s="195">
        <f t="shared" si="26"/>
        <v>301</v>
      </c>
      <c r="P153" s="195">
        <f t="shared" si="26"/>
        <v>6114</v>
      </c>
      <c r="Q153" s="195">
        <f t="shared" si="26"/>
        <v>151</v>
      </c>
      <c r="R153" s="195">
        <f t="shared" si="26"/>
        <v>5663</v>
      </c>
      <c r="S153" s="195">
        <f t="shared" si="26"/>
        <v>480</v>
      </c>
      <c r="T153" s="195">
        <f>SUM(T154:T155)</f>
        <v>5774</v>
      </c>
      <c r="U153" s="195">
        <f>SUM(U154:U155)</f>
        <v>308</v>
      </c>
      <c r="V153" s="176"/>
      <c r="W153" s="176"/>
      <c r="X153" s="176"/>
      <c r="Y153" s="176"/>
      <c r="Z153" s="176"/>
      <c r="AA153" s="176"/>
      <c r="AB153" s="176"/>
      <c r="AC153" s="176"/>
      <c r="AD153" s="176"/>
      <c r="AE153" s="176"/>
      <c r="AF153" s="176"/>
      <c r="AG153" s="176"/>
      <c r="AH153" s="176"/>
      <c r="AI153" s="176"/>
      <c r="AJ153" s="176"/>
      <c r="AK153" s="176"/>
      <c r="AL153" s="176"/>
      <c r="AM153" s="176"/>
      <c r="AN153" s="176"/>
      <c r="AO153" s="176"/>
      <c r="AP153" s="176"/>
      <c r="AQ153" s="176"/>
      <c r="AR153" s="176"/>
    </row>
    <row r="154" spans="1:44" s="3" customFormat="1" ht="12.75">
      <c r="A154" s="68"/>
      <c r="B154" s="56"/>
      <c r="C154" s="56" t="s">
        <v>139</v>
      </c>
      <c r="D154" s="69"/>
      <c r="F154" s="143">
        <v>907</v>
      </c>
      <c r="G154" s="144">
        <v>88</v>
      </c>
      <c r="H154" s="143">
        <v>1244</v>
      </c>
      <c r="I154" s="144">
        <v>296</v>
      </c>
      <c r="J154" s="143">
        <v>1384</v>
      </c>
      <c r="K154" s="144">
        <v>444</v>
      </c>
      <c r="L154" s="154">
        <f>ROUND((5570/1936.27)*1000,0)</f>
        <v>2877</v>
      </c>
      <c r="M154" s="145">
        <f>ROUND(3701590/1936.27,0)</f>
        <v>1912</v>
      </c>
      <c r="N154" s="143">
        <v>799</v>
      </c>
      <c r="O154" s="151">
        <f>ROUND((583121/1936.27),0)</f>
        <v>301</v>
      </c>
      <c r="P154" s="143">
        <v>1113</v>
      </c>
      <c r="Q154" s="151">
        <v>151</v>
      </c>
      <c r="R154" s="143">
        <v>1453</v>
      </c>
      <c r="S154" s="151">
        <v>480</v>
      </c>
      <c r="T154" s="143">
        <v>1445</v>
      </c>
      <c r="U154" s="151">
        <v>308</v>
      </c>
      <c r="V154" s="176"/>
      <c r="W154" s="176"/>
      <c r="X154" s="176"/>
      <c r="Y154" s="176"/>
      <c r="Z154" s="176"/>
      <c r="AA154" s="176"/>
      <c r="AB154" s="176"/>
      <c r="AC154" s="176"/>
      <c r="AD154" s="176"/>
      <c r="AE154" s="176"/>
      <c r="AF154" s="176"/>
      <c r="AG154" s="176"/>
      <c r="AH154" s="176"/>
      <c r="AI154" s="176"/>
      <c r="AJ154" s="176"/>
      <c r="AK154" s="176"/>
      <c r="AL154" s="176"/>
      <c r="AM154" s="176"/>
      <c r="AN154" s="176"/>
      <c r="AO154" s="176"/>
      <c r="AP154" s="176"/>
      <c r="AQ154" s="176"/>
      <c r="AR154" s="176"/>
    </row>
    <row r="155" spans="1:44" s="3" customFormat="1" ht="12.75">
      <c r="A155" s="95"/>
      <c r="B155" s="96"/>
      <c r="C155" s="32" t="s">
        <v>17</v>
      </c>
      <c r="D155" s="97"/>
      <c r="E155" s="115"/>
      <c r="F155" s="182">
        <v>3623</v>
      </c>
      <c r="G155" s="204"/>
      <c r="H155" s="182">
        <v>4642</v>
      </c>
      <c r="I155" s="204"/>
      <c r="J155" s="182">
        <v>4359</v>
      </c>
      <c r="K155" s="204"/>
      <c r="L155" s="182">
        <f>ROUND((7160/1936.27)*1000,0)</f>
        <v>3698</v>
      </c>
      <c r="M155" s="204"/>
      <c r="N155" s="182">
        <v>3969</v>
      </c>
      <c r="O155" s="204"/>
      <c r="P155" s="182">
        <v>5001</v>
      </c>
      <c r="Q155" s="204"/>
      <c r="R155" s="182">
        <v>4210</v>
      </c>
      <c r="S155" s="204"/>
      <c r="T155" s="182">
        <v>4329</v>
      </c>
      <c r="U155" s="204"/>
      <c r="V155" s="176"/>
      <c r="W155" s="176"/>
      <c r="X155" s="176"/>
      <c r="Y155" s="176"/>
      <c r="Z155" s="176"/>
      <c r="AA155" s="176"/>
      <c r="AB155" s="176"/>
      <c r="AC155" s="176"/>
      <c r="AD155" s="176"/>
      <c r="AE155" s="176"/>
      <c r="AF155" s="176"/>
      <c r="AG155" s="176"/>
      <c r="AH155" s="176"/>
      <c r="AI155" s="176"/>
      <c r="AJ155" s="176"/>
      <c r="AK155" s="176"/>
      <c r="AL155" s="176"/>
      <c r="AM155" s="176"/>
      <c r="AN155" s="176"/>
      <c r="AO155" s="176"/>
      <c r="AP155" s="176"/>
      <c r="AQ155" s="176"/>
      <c r="AR155" s="176"/>
    </row>
    <row r="156" spans="1:44" s="161" customFormat="1" ht="12.75">
      <c r="A156" s="282" t="s">
        <v>100</v>
      </c>
      <c r="B156" s="280"/>
      <c r="C156" s="280"/>
      <c r="D156" s="281"/>
      <c r="F156" s="189">
        <f aca="true" t="shared" si="27" ref="F156:S156">+F157+F160+F163</f>
        <v>1141</v>
      </c>
      <c r="G156" s="189">
        <f t="shared" si="27"/>
        <v>0</v>
      </c>
      <c r="H156" s="189">
        <f t="shared" si="27"/>
        <v>1150</v>
      </c>
      <c r="I156" s="189">
        <f t="shared" si="27"/>
        <v>44</v>
      </c>
      <c r="J156" s="189">
        <f t="shared" si="27"/>
        <v>1451</v>
      </c>
      <c r="K156" s="189">
        <f t="shared" si="27"/>
        <v>49</v>
      </c>
      <c r="L156" s="189">
        <f t="shared" si="27"/>
        <v>1461</v>
      </c>
      <c r="M156" s="189">
        <f t="shared" si="27"/>
        <v>81</v>
      </c>
      <c r="N156" s="189">
        <f t="shared" si="27"/>
        <v>1672</v>
      </c>
      <c r="O156" s="189">
        <f t="shared" si="27"/>
        <v>220.2303965872528</v>
      </c>
      <c r="P156" s="189">
        <f t="shared" si="27"/>
        <v>1433</v>
      </c>
      <c r="Q156" s="189">
        <f t="shared" si="27"/>
        <v>22</v>
      </c>
      <c r="R156" s="189">
        <f t="shared" si="27"/>
        <v>1216</v>
      </c>
      <c r="S156" s="189">
        <f t="shared" si="27"/>
        <v>21</v>
      </c>
      <c r="T156" s="189">
        <f>+T157+T160+T163</f>
        <v>989</v>
      </c>
      <c r="U156" s="189">
        <f>+U157+U160+U163</f>
        <v>24</v>
      </c>
      <c r="V156" s="235"/>
      <c r="W156" s="235"/>
      <c r="X156" s="235"/>
      <c r="Y156" s="235"/>
      <c r="Z156" s="235"/>
      <c r="AA156" s="235"/>
      <c r="AB156" s="235"/>
      <c r="AC156" s="235"/>
      <c r="AD156" s="235"/>
      <c r="AE156" s="235"/>
      <c r="AF156" s="235"/>
      <c r="AG156" s="235"/>
      <c r="AH156" s="235"/>
      <c r="AI156" s="235"/>
      <c r="AJ156" s="235"/>
      <c r="AK156" s="235"/>
      <c r="AL156" s="235"/>
      <c r="AM156" s="235"/>
      <c r="AN156" s="235"/>
      <c r="AO156" s="235"/>
      <c r="AP156" s="235"/>
      <c r="AQ156" s="235"/>
      <c r="AR156" s="235"/>
    </row>
    <row r="157" spans="1:44" s="3" customFormat="1" ht="12.75">
      <c r="A157" s="68"/>
      <c r="B157" s="264" t="s">
        <v>185</v>
      </c>
      <c r="C157" s="264"/>
      <c r="D157" s="265"/>
      <c r="F157" s="195">
        <f aca="true" t="shared" si="28" ref="F157:S157">SUM(F158:F159)</f>
        <v>790</v>
      </c>
      <c r="G157" s="195">
        <f t="shared" si="28"/>
        <v>0</v>
      </c>
      <c r="H157" s="195">
        <f t="shared" si="28"/>
        <v>935</v>
      </c>
      <c r="I157" s="195">
        <f t="shared" si="28"/>
        <v>44</v>
      </c>
      <c r="J157" s="195">
        <f t="shared" si="28"/>
        <v>1176</v>
      </c>
      <c r="K157" s="195">
        <f t="shared" si="28"/>
        <v>49</v>
      </c>
      <c r="L157" s="195">
        <f t="shared" si="28"/>
        <v>1176</v>
      </c>
      <c r="M157" s="195">
        <f t="shared" si="28"/>
        <v>81</v>
      </c>
      <c r="N157" s="195">
        <f t="shared" si="28"/>
        <v>1456</v>
      </c>
      <c r="O157" s="195">
        <f t="shared" si="28"/>
        <v>202.2303965872528</v>
      </c>
      <c r="P157" s="195">
        <f t="shared" si="28"/>
        <v>763</v>
      </c>
      <c r="Q157" s="195">
        <f t="shared" si="28"/>
        <v>21</v>
      </c>
      <c r="R157" s="195">
        <f t="shared" si="28"/>
        <v>612</v>
      </c>
      <c r="S157" s="195">
        <f t="shared" si="28"/>
        <v>20</v>
      </c>
      <c r="T157" s="195">
        <f>SUM(T158:T159)</f>
        <v>498</v>
      </c>
      <c r="U157" s="195">
        <f>SUM(U158:U159)</f>
        <v>23</v>
      </c>
      <c r="V157" s="176"/>
      <c r="W157" s="176"/>
      <c r="X157" s="176"/>
      <c r="Y157" s="176"/>
      <c r="Z157" s="176"/>
      <c r="AA157" s="176"/>
      <c r="AB157" s="176"/>
      <c r="AC157" s="176"/>
      <c r="AD157" s="176"/>
      <c r="AE157" s="176"/>
      <c r="AF157" s="176"/>
      <c r="AG157" s="176"/>
      <c r="AH157" s="176"/>
      <c r="AI157" s="176"/>
      <c r="AJ157" s="176"/>
      <c r="AK157" s="176"/>
      <c r="AL157" s="176"/>
      <c r="AM157" s="176"/>
      <c r="AN157" s="176"/>
      <c r="AO157" s="176"/>
      <c r="AP157" s="176"/>
      <c r="AQ157" s="176"/>
      <c r="AR157" s="176"/>
    </row>
    <row r="158" spans="1:44" s="3" customFormat="1" ht="12.75">
      <c r="A158" s="17"/>
      <c r="B158" s="18"/>
      <c r="C158" s="18" t="s">
        <v>9</v>
      </c>
      <c r="D158" s="34"/>
      <c r="E158"/>
      <c r="F158" s="185">
        <v>790</v>
      </c>
      <c r="G158" s="243">
        <v>0</v>
      </c>
      <c r="H158" s="154">
        <v>935</v>
      </c>
      <c r="I158" s="152">
        <v>44</v>
      </c>
      <c r="J158" s="185">
        <v>1152</v>
      </c>
      <c r="K158" s="207">
        <v>25</v>
      </c>
      <c r="L158" s="154">
        <v>604</v>
      </c>
      <c r="M158" s="152">
        <v>0</v>
      </c>
      <c r="N158" s="185">
        <v>559</v>
      </c>
      <c r="O158" s="152">
        <v>0</v>
      </c>
      <c r="P158" s="185">
        <v>33</v>
      </c>
      <c r="Q158" s="152">
        <v>0</v>
      </c>
      <c r="R158" s="185">
        <v>5</v>
      </c>
      <c r="S158" s="152"/>
      <c r="T158" s="185">
        <v>36</v>
      </c>
      <c r="U158" s="152"/>
      <c r="V158" s="176"/>
      <c r="W158" s="176"/>
      <c r="X158" s="176"/>
      <c r="Y158" s="176"/>
      <c r="Z158" s="176"/>
      <c r="AA158" s="176"/>
      <c r="AB158" s="176"/>
      <c r="AC158" s="176"/>
      <c r="AD158" s="176"/>
      <c r="AE158" s="176"/>
      <c r="AF158" s="176"/>
      <c r="AG158" s="176"/>
      <c r="AH158" s="176"/>
      <c r="AI158" s="176"/>
      <c r="AJ158" s="176"/>
      <c r="AK158" s="176"/>
      <c r="AL158" s="176"/>
      <c r="AM158" s="176"/>
      <c r="AN158" s="176"/>
      <c r="AO158" s="176"/>
      <c r="AP158" s="176"/>
      <c r="AQ158" s="176"/>
      <c r="AR158" s="176"/>
    </row>
    <row r="159" spans="1:44" s="3" customFormat="1" ht="12.75">
      <c r="A159" s="17"/>
      <c r="B159" s="18"/>
      <c r="C159" s="18" t="s">
        <v>150</v>
      </c>
      <c r="D159" s="34"/>
      <c r="E159"/>
      <c r="F159" s="185">
        <v>0</v>
      </c>
      <c r="G159" s="243">
        <v>0</v>
      </c>
      <c r="H159" s="154">
        <v>0</v>
      </c>
      <c r="I159" s="152">
        <v>0</v>
      </c>
      <c r="J159" s="185">
        <v>24</v>
      </c>
      <c r="K159" s="207">
        <v>24</v>
      </c>
      <c r="L159" s="154">
        <v>572</v>
      </c>
      <c r="M159" s="152">
        <v>81</v>
      </c>
      <c r="N159" s="185">
        <v>897</v>
      </c>
      <c r="O159" s="152">
        <v>202.2303965872528</v>
      </c>
      <c r="P159" s="185">
        <v>730</v>
      </c>
      <c r="Q159" s="152">
        <v>21</v>
      </c>
      <c r="R159" s="185">
        <v>607</v>
      </c>
      <c r="S159" s="152">
        <v>20</v>
      </c>
      <c r="T159" s="185">
        <v>462</v>
      </c>
      <c r="U159" s="152">
        <v>23</v>
      </c>
      <c r="V159" s="176"/>
      <c r="W159" s="176"/>
      <c r="X159" s="176"/>
      <c r="Y159" s="176"/>
      <c r="Z159" s="176"/>
      <c r="AA159" s="176"/>
      <c r="AB159" s="176"/>
      <c r="AC159" s="176"/>
      <c r="AD159" s="176"/>
      <c r="AE159" s="176"/>
      <c r="AF159" s="176"/>
      <c r="AG159" s="176"/>
      <c r="AH159" s="176"/>
      <c r="AI159" s="176"/>
      <c r="AJ159" s="176"/>
      <c r="AK159" s="176"/>
      <c r="AL159" s="176"/>
      <c r="AM159" s="176"/>
      <c r="AN159" s="176"/>
      <c r="AO159" s="176"/>
      <c r="AP159" s="176"/>
      <c r="AQ159" s="176"/>
      <c r="AR159" s="176"/>
    </row>
    <row r="160" spans="1:44" s="3" customFormat="1" ht="12.75">
      <c r="A160" s="17"/>
      <c r="B160" s="287" t="s">
        <v>187</v>
      </c>
      <c r="C160" s="271"/>
      <c r="D160" s="272"/>
      <c r="E160"/>
      <c r="F160" s="197"/>
      <c r="G160" s="244"/>
      <c r="H160" s="197"/>
      <c r="I160" s="244"/>
      <c r="J160" s="197"/>
      <c r="K160" s="244"/>
      <c r="L160" s="197"/>
      <c r="M160" s="209"/>
      <c r="N160" s="197">
        <v>18</v>
      </c>
      <c r="O160" s="209">
        <v>18</v>
      </c>
      <c r="P160" s="197">
        <f aca="true" t="shared" si="29" ref="P160:U160">SUM(P161:P162)</f>
        <v>213</v>
      </c>
      <c r="Q160" s="209">
        <f t="shared" si="29"/>
        <v>1</v>
      </c>
      <c r="R160" s="197">
        <f t="shared" si="29"/>
        <v>86</v>
      </c>
      <c r="S160" s="209">
        <f t="shared" si="29"/>
        <v>1</v>
      </c>
      <c r="T160" s="197">
        <f t="shared" si="29"/>
        <v>44</v>
      </c>
      <c r="U160" s="209">
        <f t="shared" si="29"/>
        <v>1</v>
      </c>
      <c r="V160" s="176"/>
      <c r="W160" s="176"/>
      <c r="X160" s="176"/>
      <c r="Y160" s="176"/>
      <c r="Z160" s="176"/>
      <c r="AA160" s="176"/>
      <c r="AB160" s="176"/>
      <c r="AC160" s="176"/>
      <c r="AD160" s="176"/>
      <c r="AE160" s="176"/>
      <c r="AF160" s="176"/>
      <c r="AG160" s="176"/>
      <c r="AH160" s="176"/>
      <c r="AI160" s="176"/>
      <c r="AJ160" s="176"/>
      <c r="AK160" s="176"/>
      <c r="AL160" s="176"/>
      <c r="AM160" s="176"/>
      <c r="AN160" s="176"/>
      <c r="AO160" s="176"/>
      <c r="AP160" s="176"/>
      <c r="AQ160" s="176"/>
      <c r="AR160" s="176"/>
    </row>
    <row r="161" spans="1:44" s="3" customFormat="1" ht="12.75">
      <c r="A161" s="17"/>
      <c r="B161" s="10"/>
      <c r="C161" s="56" t="s">
        <v>9</v>
      </c>
      <c r="D161" s="34"/>
      <c r="E161"/>
      <c r="F161" s="151"/>
      <c r="G161" s="145"/>
      <c r="H161" s="151"/>
      <c r="I161" s="145"/>
      <c r="J161" s="143"/>
      <c r="K161" s="144"/>
      <c r="L161" s="154"/>
      <c r="M161" s="145"/>
      <c r="N161" s="151"/>
      <c r="O161" s="145"/>
      <c r="P161" s="151">
        <v>190</v>
      </c>
      <c r="Q161" s="145"/>
      <c r="R161" s="151">
        <v>80</v>
      </c>
      <c r="S161" s="145"/>
      <c r="T161" s="151">
        <v>41</v>
      </c>
      <c r="U161" s="145"/>
      <c r="V161" s="176"/>
      <c r="W161" s="176"/>
      <c r="X161" s="176"/>
      <c r="Y161" s="176"/>
      <c r="Z161" s="176"/>
      <c r="AA161" s="176"/>
      <c r="AB161" s="176"/>
      <c r="AC161" s="176"/>
      <c r="AD161" s="176"/>
      <c r="AE161" s="176"/>
      <c r="AF161" s="176"/>
      <c r="AG161" s="176"/>
      <c r="AH161" s="176"/>
      <c r="AI161" s="176"/>
      <c r="AJ161" s="176"/>
      <c r="AK161" s="176"/>
      <c r="AL161" s="176"/>
      <c r="AM161" s="176"/>
      <c r="AN161" s="176"/>
      <c r="AO161" s="176"/>
      <c r="AP161" s="176"/>
      <c r="AQ161" s="176"/>
      <c r="AR161" s="176"/>
    </row>
    <row r="162" spans="1:44" s="3" customFormat="1" ht="12.75">
      <c r="A162" s="17"/>
      <c r="B162" s="10"/>
      <c r="C162" s="56" t="s">
        <v>152</v>
      </c>
      <c r="D162" s="34"/>
      <c r="E162"/>
      <c r="F162" s="151"/>
      <c r="G162" s="145"/>
      <c r="H162" s="151"/>
      <c r="I162" s="145"/>
      <c r="J162" s="143"/>
      <c r="K162" s="144"/>
      <c r="L162" s="154"/>
      <c r="M162" s="145"/>
      <c r="N162" s="151"/>
      <c r="O162" s="145"/>
      <c r="P162" s="151">
        <v>23</v>
      </c>
      <c r="Q162" s="145">
        <v>1</v>
      </c>
      <c r="R162" s="151">
        <v>6</v>
      </c>
      <c r="S162" s="145">
        <v>1</v>
      </c>
      <c r="T162" s="151">
        <v>3</v>
      </c>
      <c r="U162" s="145">
        <v>1</v>
      </c>
      <c r="V162" s="176"/>
      <c r="W162" s="176"/>
      <c r="X162" s="176"/>
      <c r="Y162" s="176"/>
      <c r="Z162" s="176"/>
      <c r="AA162" s="176"/>
      <c r="AB162" s="176"/>
      <c r="AC162" s="176"/>
      <c r="AD162" s="176"/>
      <c r="AE162" s="176"/>
      <c r="AF162" s="176"/>
      <c r="AG162" s="176"/>
      <c r="AH162" s="176"/>
      <c r="AI162" s="176"/>
      <c r="AJ162" s="176"/>
      <c r="AK162" s="176"/>
      <c r="AL162" s="176"/>
      <c r="AM162" s="176"/>
      <c r="AN162" s="176"/>
      <c r="AO162" s="176"/>
      <c r="AP162" s="176"/>
      <c r="AQ162" s="176"/>
      <c r="AR162" s="176"/>
    </row>
    <row r="163" spans="1:44" s="3" customFormat="1" ht="12.75">
      <c r="A163" s="17"/>
      <c r="B163" s="287" t="s">
        <v>186</v>
      </c>
      <c r="C163"/>
      <c r="D163" s="305"/>
      <c r="E163"/>
      <c r="F163" s="197">
        <f>SUM(F164:F167)</f>
        <v>351</v>
      </c>
      <c r="G163" s="197">
        <f aca="true" t="shared" si="30" ref="G163:S163">SUM(G164:G167)</f>
        <v>0</v>
      </c>
      <c r="H163" s="197">
        <f t="shared" si="30"/>
        <v>215</v>
      </c>
      <c r="I163" s="197">
        <f t="shared" si="30"/>
        <v>0</v>
      </c>
      <c r="J163" s="197">
        <f t="shared" si="30"/>
        <v>275</v>
      </c>
      <c r="K163" s="197">
        <f t="shared" si="30"/>
        <v>0</v>
      </c>
      <c r="L163" s="197">
        <f t="shared" si="30"/>
        <v>285</v>
      </c>
      <c r="M163" s="197">
        <f t="shared" si="30"/>
        <v>0</v>
      </c>
      <c r="N163" s="197">
        <f t="shared" si="30"/>
        <v>198</v>
      </c>
      <c r="O163" s="197">
        <f t="shared" si="30"/>
        <v>0</v>
      </c>
      <c r="P163" s="197">
        <f t="shared" si="30"/>
        <v>457</v>
      </c>
      <c r="Q163" s="197">
        <f t="shared" si="30"/>
        <v>0</v>
      </c>
      <c r="R163" s="197">
        <f t="shared" si="30"/>
        <v>518</v>
      </c>
      <c r="S163" s="197">
        <f t="shared" si="30"/>
        <v>0</v>
      </c>
      <c r="T163" s="197">
        <f>SUM(T164:T167)</f>
        <v>447</v>
      </c>
      <c r="U163" s="197">
        <f>SUM(U164:U167)</f>
        <v>0</v>
      </c>
      <c r="V163" s="176"/>
      <c r="W163" s="176"/>
      <c r="X163" s="176"/>
      <c r="Y163" s="176"/>
      <c r="Z163" s="176"/>
      <c r="AA163" s="176"/>
      <c r="AB163" s="176"/>
      <c r="AC163" s="176"/>
      <c r="AD163" s="176"/>
      <c r="AE163" s="176"/>
      <c r="AF163" s="176"/>
      <c r="AG163" s="176"/>
      <c r="AH163" s="176"/>
      <c r="AI163" s="176"/>
      <c r="AJ163" s="176"/>
      <c r="AK163" s="176"/>
      <c r="AL163" s="176"/>
      <c r="AM163" s="176"/>
      <c r="AN163" s="176"/>
      <c r="AO163" s="176"/>
      <c r="AP163" s="176"/>
      <c r="AQ163" s="176"/>
      <c r="AR163" s="176"/>
    </row>
    <row r="164" spans="1:44" s="3" customFormat="1" ht="12.75">
      <c r="A164" s="17"/>
      <c r="B164" s="10"/>
      <c r="C164" s="56" t="s">
        <v>9</v>
      </c>
      <c r="D164" s="34"/>
      <c r="E164"/>
      <c r="F164" s="151"/>
      <c r="G164" s="145"/>
      <c r="H164" s="151"/>
      <c r="I164" s="145"/>
      <c r="J164" s="143"/>
      <c r="K164" s="144"/>
      <c r="L164" s="154"/>
      <c r="M164" s="145"/>
      <c r="N164" s="151"/>
      <c r="O164" s="145"/>
      <c r="P164" s="151">
        <v>115</v>
      </c>
      <c r="Q164" s="145"/>
      <c r="R164" s="151">
        <v>158</v>
      </c>
      <c r="S164" s="145"/>
      <c r="T164" s="151">
        <v>163</v>
      </c>
      <c r="U164" s="145"/>
      <c r="V164" s="176"/>
      <c r="W164" s="176"/>
      <c r="X164" s="176"/>
      <c r="Y164" s="176"/>
      <c r="Z164" s="176"/>
      <c r="AA164" s="176"/>
      <c r="AB164" s="176"/>
      <c r="AC164" s="176"/>
      <c r="AD164" s="176"/>
      <c r="AE164" s="176"/>
      <c r="AF164" s="176"/>
      <c r="AG164" s="176"/>
      <c r="AH164" s="176"/>
      <c r="AI164" s="176"/>
      <c r="AJ164" s="176"/>
      <c r="AK164" s="176"/>
      <c r="AL164" s="176"/>
      <c r="AM164" s="176"/>
      <c r="AN164" s="176"/>
      <c r="AO164" s="176"/>
      <c r="AP164" s="176"/>
      <c r="AQ164" s="176"/>
      <c r="AR164" s="176"/>
    </row>
    <row r="165" spans="1:44" s="3" customFormat="1" ht="12.75">
      <c r="A165" s="17"/>
      <c r="B165" s="10"/>
      <c r="C165" s="56" t="s">
        <v>40</v>
      </c>
      <c r="D165" s="34"/>
      <c r="E165"/>
      <c r="F165" s="151">
        <f>178+15</f>
        <v>193</v>
      </c>
      <c r="G165" s="145"/>
      <c r="H165" s="151">
        <v>187</v>
      </c>
      <c r="I165" s="145"/>
      <c r="J165" s="143">
        <v>262</v>
      </c>
      <c r="K165" s="144"/>
      <c r="L165" s="154">
        <f>ROUND((532/1936.27)*1000,0)</f>
        <v>275</v>
      </c>
      <c r="M165" s="145"/>
      <c r="N165" s="151">
        <v>187</v>
      </c>
      <c r="O165" s="145"/>
      <c r="P165" s="151">
        <v>233</v>
      </c>
      <c r="Q165" s="145"/>
      <c r="R165" s="151">
        <v>185</v>
      </c>
      <c r="S165" s="145"/>
      <c r="T165" s="151">
        <v>145</v>
      </c>
      <c r="U165" s="145"/>
      <c r="V165" s="176"/>
      <c r="W165" s="176"/>
      <c r="X165" s="176"/>
      <c r="Y165" s="176"/>
      <c r="Z165" s="176"/>
      <c r="AA165" s="176"/>
      <c r="AB165" s="176"/>
      <c r="AC165" s="176"/>
      <c r="AD165" s="176"/>
      <c r="AE165" s="176"/>
      <c r="AF165" s="176"/>
      <c r="AG165" s="176"/>
      <c r="AH165" s="176"/>
      <c r="AI165" s="176"/>
      <c r="AJ165" s="176"/>
      <c r="AK165" s="176"/>
      <c r="AL165" s="176"/>
      <c r="AM165" s="176"/>
      <c r="AN165" s="176"/>
      <c r="AO165" s="176"/>
      <c r="AP165" s="176"/>
      <c r="AQ165" s="176"/>
      <c r="AR165" s="176"/>
    </row>
    <row r="166" spans="1:44" s="3" customFormat="1" ht="12.75">
      <c r="A166" s="17"/>
      <c r="B166" s="10"/>
      <c r="C166" s="56" t="s">
        <v>41</v>
      </c>
      <c r="D166" s="34"/>
      <c r="E166"/>
      <c r="F166" s="151">
        <v>10</v>
      </c>
      <c r="G166" s="145"/>
      <c r="H166" s="151">
        <v>11</v>
      </c>
      <c r="I166" s="145"/>
      <c r="J166" s="143">
        <v>13</v>
      </c>
      <c r="K166" s="144"/>
      <c r="L166" s="154">
        <f>ROUND((19/1936.27)*1000,0)</f>
        <v>10</v>
      </c>
      <c r="M166" s="145"/>
      <c r="N166" s="151">
        <v>11</v>
      </c>
      <c r="O166" s="145"/>
      <c r="P166" s="151">
        <v>7</v>
      </c>
      <c r="Q166" s="145"/>
      <c r="R166" s="151">
        <v>7</v>
      </c>
      <c r="S166" s="145"/>
      <c r="T166" s="151">
        <v>8</v>
      </c>
      <c r="U166" s="145"/>
      <c r="V166" s="176"/>
      <c r="W166" s="176"/>
      <c r="X166" s="176"/>
      <c r="Y166" s="176"/>
      <c r="Z166" s="176"/>
      <c r="AA166" s="176"/>
      <c r="AB166" s="176"/>
      <c r="AC166" s="176"/>
      <c r="AD166" s="176"/>
      <c r="AE166" s="176"/>
      <c r="AF166" s="176"/>
      <c r="AG166" s="176"/>
      <c r="AH166" s="176"/>
      <c r="AI166" s="176"/>
      <c r="AJ166" s="176"/>
      <c r="AK166" s="176"/>
      <c r="AL166" s="176"/>
      <c r="AM166" s="176"/>
      <c r="AN166" s="176"/>
      <c r="AO166" s="176"/>
      <c r="AP166" s="176"/>
      <c r="AQ166" s="176"/>
      <c r="AR166" s="176"/>
    </row>
    <row r="167" spans="1:44" s="3" customFormat="1" ht="12.75">
      <c r="A167" s="17"/>
      <c r="B167" s="10"/>
      <c r="C167" s="56" t="s">
        <v>151</v>
      </c>
      <c r="D167" s="34"/>
      <c r="E167"/>
      <c r="F167" s="151">
        <v>148</v>
      </c>
      <c r="G167" s="145">
        <v>0</v>
      </c>
      <c r="H167" s="151">
        <v>17</v>
      </c>
      <c r="I167" s="145">
        <v>0</v>
      </c>
      <c r="J167" s="143">
        <v>0</v>
      </c>
      <c r="K167" s="144">
        <v>0</v>
      </c>
      <c r="L167" s="154">
        <v>0</v>
      </c>
      <c r="M167" s="145">
        <v>0</v>
      </c>
      <c r="N167" s="151">
        <v>0</v>
      </c>
      <c r="O167" s="145">
        <v>0</v>
      </c>
      <c r="P167" s="151">
        <v>102</v>
      </c>
      <c r="Q167" s="145"/>
      <c r="R167" s="151">
        <v>168</v>
      </c>
      <c r="S167" s="145"/>
      <c r="T167" s="151">
        <v>131</v>
      </c>
      <c r="U167" s="145"/>
      <c r="V167" s="176"/>
      <c r="W167" s="176"/>
      <c r="X167" s="176"/>
      <c r="Y167" s="176"/>
      <c r="Z167" s="176"/>
      <c r="AA167" s="176"/>
      <c r="AB167" s="176"/>
      <c r="AC167" s="176"/>
      <c r="AD167" s="176"/>
      <c r="AE167" s="176"/>
      <c r="AF167" s="176"/>
      <c r="AG167" s="176"/>
      <c r="AH167" s="176"/>
      <c r="AI167" s="176"/>
      <c r="AJ167" s="176"/>
      <c r="AK167" s="176"/>
      <c r="AL167" s="176"/>
      <c r="AM167" s="176"/>
      <c r="AN167" s="176"/>
      <c r="AO167" s="176"/>
      <c r="AP167" s="176"/>
      <c r="AQ167" s="176"/>
      <c r="AR167" s="176"/>
    </row>
    <row r="168" spans="1:44" s="3" customFormat="1" ht="12.75">
      <c r="A168" s="286" t="s">
        <v>173</v>
      </c>
      <c r="B168" s="268"/>
      <c r="C168" s="268"/>
      <c r="D168" s="269"/>
      <c r="E168" s="49"/>
      <c r="F168" s="180">
        <f>SUM(F169:F174)</f>
        <v>1903</v>
      </c>
      <c r="G168" s="180">
        <f>SUM(G169:G174)</f>
        <v>48</v>
      </c>
      <c r="H168" s="180">
        <f>SUM(H169:H174)</f>
        <v>2346</v>
      </c>
      <c r="I168" s="180">
        <f>SUM(I169:I174)</f>
        <v>40</v>
      </c>
      <c r="J168" s="180">
        <f>SUM(J169:J174)-1</f>
        <v>2557</v>
      </c>
      <c r="K168" s="180">
        <f aca="true" t="shared" si="31" ref="K168:Q168">SUM(K169:K174)</f>
        <v>22</v>
      </c>
      <c r="L168" s="180">
        <f t="shared" si="31"/>
        <v>3350</v>
      </c>
      <c r="M168" s="180">
        <f t="shared" si="31"/>
        <v>5</v>
      </c>
      <c r="N168" s="180">
        <f t="shared" si="31"/>
        <v>3101</v>
      </c>
      <c r="O168" s="180">
        <f t="shared" si="31"/>
        <v>0</v>
      </c>
      <c r="P168" s="180">
        <f t="shared" si="31"/>
        <v>3006</v>
      </c>
      <c r="Q168" s="180">
        <f t="shared" si="31"/>
        <v>0</v>
      </c>
      <c r="R168" s="180">
        <f>SUM(R169:R174)</f>
        <v>4389</v>
      </c>
      <c r="S168" s="180">
        <f>SUM(S169:S174)</f>
        <v>5</v>
      </c>
      <c r="T168" s="180">
        <f>SUM(T169:T174)</f>
        <v>6669</v>
      </c>
      <c r="U168" s="180">
        <f>SUM(U169:U174)</f>
        <v>1</v>
      </c>
      <c r="V168" s="176"/>
      <c r="W168" s="176"/>
      <c r="X168" s="176"/>
      <c r="Y168" s="176"/>
      <c r="Z168" s="176"/>
      <c r="AA168" s="176"/>
      <c r="AB168" s="176"/>
      <c r="AC168" s="176"/>
      <c r="AD168" s="176"/>
      <c r="AE168" s="176"/>
      <c r="AF168" s="176"/>
      <c r="AG168" s="176"/>
      <c r="AH168" s="176"/>
      <c r="AI168" s="176"/>
      <c r="AJ168" s="176"/>
      <c r="AK168" s="176"/>
      <c r="AL168" s="176"/>
      <c r="AM168" s="176"/>
      <c r="AN168" s="176"/>
      <c r="AO168" s="176"/>
      <c r="AP168" s="176"/>
      <c r="AQ168" s="176"/>
      <c r="AR168" s="176"/>
    </row>
    <row r="169" spans="1:44" s="3" customFormat="1" ht="12.75">
      <c r="A169" s="131"/>
      <c r="B169" s="18" t="s">
        <v>33</v>
      </c>
      <c r="C169" s="19"/>
      <c r="D169" s="20"/>
      <c r="E169"/>
      <c r="F169" s="154">
        <v>529</v>
      </c>
      <c r="G169" s="152"/>
      <c r="H169" s="154">
        <v>969</v>
      </c>
      <c r="I169" s="152"/>
      <c r="J169" s="185">
        <v>754</v>
      </c>
      <c r="K169" s="207"/>
      <c r="L169" s="154">
        <f>ROUND((1377/1936.27)*1000,0)</f>
        <v>711</v>
      </c>
      <c r="M169" s="152"/>
      <c r="N169" s="154">
        <v>1413</v>
      </c>
      <c r="O169" s="152"/>
      <c r="P169" s="154">
        <v>1010</v>
      </c>
      <c r="Q169" s="152"/>
      <c r="R169" s="154">
        <v>1281</v>
      </c>
      <c r="S169" s="152"/>
      <c r="T169" s="154">
        <v>1251</v>
      </c>
      <c r="U169" s="152"/>
      <c r="V169" s="176"/>
      <c r="W169" s="176"/>
      <c r="X169" s="176"/>
      <c r="Y169" s="176"/>
      <c r="Z169" s="176"/>
      <c r="AA169" s="176"/>
      <c r="AB169" s="176"/>
      <c r="AC169" s="176"/>
      <c r="AD169" s="176"/>
      <c r="AE169" s="176"/>
      <c r="AF169" s="176"/>
      <c r="AG169" s="176"/>
      <c r="AH169" s="176"/>
      <c r="AI169" s="176"/>
      <c r="AJ169" s="176"/>
      <c r="AK169" s="176"/>
      <c r="AL169" s="176"/>
      <c r="AM169" s="176"/>
      <c r="AN169" s="176"/>
      <c r="AO169" s="176"/>
      <c r="AP169" s="176"/>
      <c r="AQ169" s="176"/>
      <c r="AR169" s="176"/>
    </row>
    <row r="170" spans="1:44" s="3" customFormat="1" ht="12.75">
      <c r="A170" s="131"/>
      <c r="B170" s="18" t="s">
        <v>5</v>
      </c>
      <c r="C170" s="19"/>
      <c r="D170" s="20"/>
      <c r="E170"/>
      <c r="F170" s="154">
        <v>146</v>
      </c>
      <c r="G170" s="152">
        <v>48</v>
      </c>
      <c r="H170" s="154">
        <v>138</v>
      </c>
      <c r="I170" s="152">
        <v>40</v>
      </c>
      <c r="J170" s="185">
        <v>182</v>
      </c>
      <c r="K170" s="207">
        <v>22</v>
      </c>
      <c r="L170" s="154">
        <f>ROUND((249/1936.27)*1000,0)</f>
        <v>129</v>
      </c>
      <c r="M170" s="152">
        <f>ROUND((10155/1936.27),0)</f>
        <v>5</v>
      </c>
      <c r="N170" s="154">
        <v>115</v>
      </c>
      <c r="O170" s="152">
        <v>0</v>
      </c>
      <c r="P170" s="154">
        <v>92</v>
      </c>
      <c r="Q170" s="152"/>
      <c r="R170" s="154">
        <v>92</v>
      </c>
      <c r="S170" s="152">
        <v>5</v>
      </c>
      <c r="T170" s="154">
        <v>91</v>
      </c>
      <c r="U170" s="152">
        <v>1</v>
      </c>
      <c r="V170" s="176"/>
      <c r="W170" s="176"/>
      <c r="X170" s="176"/>
      <c r="Y170" s="176"/>
      <c r="Z170" s="176"/>
      <c r="AA170" s="176"/>
      <c r="AB170" s="176"/>
      <c r="AC170" s="176"/>
      <c r="AD170" s="176"/>
      <c r="AE170" s="176"/>
      <c r="AF170" s="176"/>
      <c r="AG170" s="176"/>
      <c r="AH170" s="176"/>
      <c r="AI170" s="176"/>
      <c r="AJ170" s="176"/>
      <c r="AK170" s="176"/>
      <c r="AL170" s="176"/>
      <c r="AM170" s="176"/>
      <c r="AN170" s="176"/>
      <c r="AO170" s="176"/>
      <c r="AP170" s="176"/>
      <c r="AQ170" s="176"/>
      <c r="AR170" s="176"/>
    </row>
    <row r="171" spans="1:44" s="3" customFormat="1" ht="12.75">
      <c r="A171" s="27"/>
      <c r="B171" s="18" t="s">
        <v>34</v>
      </c>
      <c r="C171" s="19"/>
      <c r="D171" s="20"/>
      <c r="E171"/>
      <c r="F171" s="154"/>
      <c r="G171" s="152"/>
      <c r="H171" s="154"/>
      <c r="I171" s="152"/>
      <c r="J171" s="185"/>
      <c r="K171" s="207"/>
      <c r="L171" s="154"/>
      <c r="M171" s="152"/>
      <c r="N171" s="154"/>
      <c r="O171" s="152"/>
      <c r="P171" s="154"/>
      <c r="Q171" s="152"/>
      <c r="R171" s="154"/>
      <c r="S171" s="152"/>
      <c r="T171" s="154"/>
      <c r="U171" s="152"/>
      <c r="V171" s="176"/>
      <c r="W171" s="176"/>
      <c r="X171" s="176"/>
      <c r="Y171" s="176"/>
      <c r="Z171" s="176"/>
      <c r="AA171" s="176"/>
      <c r="AB171" s="176"/>
      <c r="AC171" s="176"/>
      <c r="AD171" s="176"/>
      <c r="AE171" s="176"/>
      <c r="AF171" s="176"/>
      <c r="AG171" s="176"/>
      <c r="AH171" s="176"/>
      <c r="AI171" s="176"/>
      <c r="AJ171" s="176"/>
      <c r="AK171" s="176"/>
      <c r="AL171" s="176"/>
      <c r="AM171" s="176"/>
      <c r="AN171" s="176"/>
      <c r="AO171" s="176"/>
      <c r="AP171" s="176"/>
      <c r="AQ171" s="176"/>
      <c r="AR171" s="176"/>
    </row>
    <row r="172" spans="1:44" s="3" customFormat="1" ht="12.75">
      <c r="A172" s="27"/>
      <c r="B172" s="18" t="s">
        <v>157</v>
      </c>
      <c r="C172" s="19"/>
      <c r="D172" s="20"/>
      <c r="E172"/>
      <c r="F172" s="154"/>
      <c r="G172" s="152"/>
      <c r="H172" s="154"/>
      <c r="I172" s="152"/>
      <c r="J172" s="185"/>
      <c r="K172" s="207"/>
      <c r="L172" s="154"/>
      <c r="M172" s="152"/>
      <c r="N172" s="154"/>
      <c r="O172" s="152"/>
      <c r="P172" s="154">
        <v>142</v>
      </c>
      <c r="Q172" s="152"/>
      <c r="R172" s="154">
        <v>77</v>
      </c>
      <c r="S172" s="152"/>
      <c r="T172" s="154">
        <v>120</v>
      </c>
      <c r="U172" s="152"/>
      <c r="V172" s="176"/>
      <c r="W172" s="176"/>
      <c r="X172" s="176"/>
      <c r="Y172" s="176"/>
      <c r="Z172" s="176"/>
      <c r="AA172" s="176"/>
      <c r="AB172" s="176"/>
      <c r="AC172" s="176"/>
      <c r="AD172" s="176"/>
      <c r="AE172" s="176"/>
      <c r="AF172" s="176"/>
      <c r="AG172" s="176"/>
      <c r="AH172" s="176"/>
      <c r="AI172" s="176"/>
      <c r="AJ172" s="176"/>
      <c r="AK172" s="176"/>
      <c r="AL172" s="176"/>
      <c r="AM172" s="176"/>
      <c r="AN172" s="176"/>
      <c r="AO172" s="176"/>
      <c r="AP172" s="176"/>
      <c r="AQ172" s="176"/>
      <c r="AR172" s="176"/>
    </row>
    <row r="173" spans="1:44" s="3" customFormat="1" ht="12.75">
      <c r="A173" s="65"/>
      <c r="B173" s="56" t="s">
        <v>158</v>
      </c>
      <c r="C173" s="66"/>
      <c r="D173" s="67"/>
      <c r="F173" s="151"/>
      <c r="G173" s="145"/>
      <c r="H173" s="151">
        <v>723</v>
      </c>
      <c r="I173" s="145"/>
      <c r="J173" s="143">
        <v>1163</v>
      </c>
      <c r="K173" s="144"/>
      <c r="L173" s="154">
        <f>ROUND((3800/1936.27)*1000,0)</f>
        <v>1963</v>
      </c>
      <c r="M173" s="145"/>
      <c r="N173" s="151">
        <v>659</v>
      </c>
      <c r="O173" s="145"/>
      <c r="P173" s="151">
        <v>1085</v>
      </c>
      <c r="Q173" s="145"/>
      <c r="R173" s="151">
        <v>2072</v>
      </c>
      <c r="S173" s="145"/>
      <c r="T173" s="151">
        <v>4200</v>
      </c>
      <c r="U173" s="145"/>
      <c r="V173" s="176"/>
      <c r="W173" s="176"/>
      <c r="X173" s="176"/>
      <c r="Y173" s="176"/>
      <c r="Z173" s="176"/>
      <c r="AA173" s="176"/>
      <c r="AB173" s="176"/>
      <c r="AC173" s="176"/>
      <c r="AD173" s="176"/>
      <c r="AE173" s="176"/>
      <c r="AF173" s="176"/>
      <c r="AG173" s="176"/>
      <c r="AH173" s="176"/>
      <c r="AI173" s="176"/>
      <c r="AJ173" s="176"/>
      <c r="AK173" s="176"/>
      <c r="AL173" s="176"/>
      <c r="AM173" s="176"/>
      <c r="AN173" s="176"/>
      <c r="AO173" s="176"/>
      <c r="AP173" s="176"/>
      <c r="AQ173" s="176"/>
      <c r="AR173" s="176"/>
    </row>
    <row r="174" spans="1:44" s="3" customFormat="1" ht="12.75">
      <c r="A174" s="175"/>
      <c r="B174" s="96" t="s">
        <v>159</v>
      </c>
      <c r="C174" s="88"/>
      <c r="D174" s="89"/>
      <c r="F174" s="194">
        <v>1228</v>
      </c>
      <c r="G174" s="153"/>
      <c r="H174" s="194">
        <v>516</v>
      </c>
      <c r="I174" s="153"/>
      <c r="J174" s="188">
        <v>459</v>
      </c>
      <c r="K174" s="224"/>
      <c r="L174" s="182">
        <f>ROUND((1059/1936.27)*1000,0)</f>
        <v>547</v>
      </c>
      <c r="M174" s="153"/>
      <c r="N174" s="194">
        <v>914</v>
      </c>
      <c r="O174" s="153"/>
      <c r="P174" s="194">
        <v>677</v>
      </c>
      <c r="Q174" s="153"/>
      <c r="R174" s="194">
        <v>867</v>
      </c>
      <c r="S174" s="153"/>
      <c r="T174" s="194">
        <v>1007</v>
      </c>
      <c r="U174" s="153"/>
      <c r="V174" s="176"/>
      <c r="W174" s="176"/>
      <c r="X174" s="176"/>
      <c r="Y174" s="176"/>
      <c r="Z174" s="176"/>
      <c r="AA174" s="176"/>
      <c r="AB174" s="176"/>
      <c r="AC174" s="176"/>
      <c r="AD174" s="176"/>
      <c r="AE174" s="176"/>
      <c r="AF174" s="176"/>
      <c r="AG174" s="176"/>
      <c r="AH174" s="176"/>
      <c r="AI174" s="176"/>
      <c r="AJ174" s="176"/>
      <c r="AK174" s="176"/>
      <c r="AL174" s="176"/>
      <c r="AM174" s="176"/>
      <c r="AN174" s="176"/>
      <c r="AO174" s="176"/>
      <c r="AP174" s="176"/>
      <c r="AQ174" s="176"/>
      <c r="AR174" s="176"/>
    </row>
    <row r="175" spans="1:44" s="3" customFormat="1" ht="12.75">
      <c r="A175" s="267" t="s">
        <v>101</v>
      </c>
      <c r="B175" s="45"/>
      <c r="C175" s="45"/>
      <c r="D175" s="46"/>
      <c r="E175" s="49"/>
      <c r="F175" s="180">
        <f aca="true" t="shared" si="32" ref="F175:U175">+F176+F183+F190+F197+F204+F211+F218+F225+F232</f>
        <v>20865</v>
      </c>
      <c r="G175" s="180">
        <f t="shared" si="32"/>
        <v>0</v>
      </c>
      <c r="H175" s="180">
        <f t="shared" si="32"/>
        <v>23377</v>
      </c>
      <c r="I175" s="180">
        <f t="shared" si="32"/>
        <v>0</v>
      </c>
      <c r="J175" s="180">
        <f t="shared" si="32"/>
        <v>25280</v>
      </c>
      <c r="K175" s="180">
        <f t="shared" si="32"/>
        <v>21</v>
      </c>
      <c r="L175" s="180">
        <f t="shared" si="32"/>
        <v>27477.5</v>
      </c>
      <c r="M175" s="180">
        <f t="shared" si="32"/>
        <v>605</v>
      </c>
      <c r="N175" s="180">
        <f t="shared" si="32"/>
        <v>28627</v>
      </c>
      <c r="O175" s="180">
        <f t="shared" si="32"/>
        <v>19.108905266311</v>
      </c>
      <c r="P175" s="180">
        <f t="shared" si="32"/>
        <v>30113</v>
      </c>
      <c r="Q175" s="180">
        <f t="shared" si="32"/>
        <v>31</v>
      </c>
      <c r="R175" s="180">
        <f t="shared" si="32"/>
        <v>31748</v>
      </c>
      <c r="S175" s="180">
        <f t="shared" si="32"/>
        <v>18</v>
      </c>
      <c r="T175" s="180">
        <f t="shared" si="32"/>
        <v>31988</v>
      </c>
      <c r="U175" s="180">
        <f t="shared" si="32"/>
        <v>22</v>
      </c>
      <c r="V175" s="176"/>
      <c r="W175" s="176"/>
      <c r="X175" s="176"/>
      <c r="Y175" s="176"/>
      <c r="Z175" s="176"/>
      <c r="AA175" s="176"/>
      <c r="AB175" s="176"/>
      <c r="AC175" s="176"/>
      <c r="AD175" s="176"/>
      <c r="AE175" s="176"/>
      <c r="AF175" s="176"/>
      <c r="AG175" s="176"/>
      <c r="AH175" s="176"/>
      <c r="AI175" s="176"/>
      <c r="AJ175" s="176"/>
      <c r="AK175" s="176"/>
      <c r="AL175" s="176"/>
      <c r="AM175" s="176"/>
      <c r="AN175" s="176"/>
      <c r="AO175" s="176"/>
      <c r="AP175" s="176"/>
      <c r="AQ175" s="176"/>
      <c r="AR175" s="176"/>
    </row>
    <row r="176" spans="1:44" s="3" customFormat="1" ht="12.75">
      <c r="A176" s="26"/>
      <c r="B176" s="21" t="s">
        <v>42</v>
      </c>
      <c r="C176" s="18"/>
      <c r="D176" s="25"/>
      <c r="E176"/>
      <c r="F176" s="199">
        <f aca="true" t="shared" si="33" ref="F176:M176">SUM(F177:F182)</f>
        <v>1315</v>
      </c>
      <c r="G176" s="199">
        <f t="shared" si="33"/>
        <v>0</v>
      </c>
      <c r="H176" s="199">
        <f t="shared" si="33"/>
        <v>1477</v>
      </c>
      <c r="I176" s="199">
        <f t="shared" si="33"/>
        <v>0</v>
      </c>
      <c r="J176" s="199">
        <f t="shared" si="33"/>
        <v>1496</v>
      </c>
      <c r="K176" s="199">
        <f t="shared" si="33"/>
        <v>0</v>
      </c>
      <c r="L176" s="199">
        <f t="shared" si="33"/>
        <v>1577</v>
      </c>
      <c r="M176" s="199">
        <f t="shared" si="33"/>
        <v>0</v>
      </c>
      <c r="N176" s="199">
        <f>SUM(N177:N182)+1</f>
        <v>1657</v>
      </c>
      <c r="O176" s="199">
        <f aca="true" t="shared" si="34" ref="O176:U176">SUM(O177:O182)</f>
        <v>0</v>
      </c>
      <c r="P176" s="199">
        <f t="shared" si="34"/>
        <v>1762</v>
      </c>
      <c r="Q176" s="199">
        <f t="shared" si="34"/>
        <v>0</v>
      </c>
      <c r="R176" s="199">
        <f t="shared" si="34"/>
        <v>1864</v>
      </c>
      <c r="S176" s="199">
        <f t="shared" si="34"/>
        <v>0</v>
      </c>
      <c r="T176" s="199">
        <f t="shared" si="34"/>
        <v>1893</v>
      </c>
      <c r="U176" s="199">
        <f t="shared" si="34"/>
        <v>0</v>
      </c>
      <c r="V176" s="176"/>
      <c r="W176" s="176"/>
      <c r="X176" s="176"/>
      <c r="Y176" s="176"/>
      <c r="Z176" s="176"/>
      <c r="AA176" s="176"/>
      <c r="AB176" s="176"/>
      <c r="AC176" s="176"/>
      <c r="AD176" s="176"/>
      <c r="AE176" s="176"/>
      <c r="AF176" s="176"/>
      <c r="AG176" s="176"/>
      <c r="AH176" s="176"/>
      <c r="AI176" s="176"/>
      <c r="AJ176" s="176"/>
      <c r="AK176" s="176"/>
      <c r="AL176" s="176"/>
      <c r="AM176" s="176"/>
      <c r="AN176" s="176"/>
      <c r="AO176" s="176"/>
      <c r="AP176" s="176"/>
      <c r="AQ176" s="176"/>
      <c r="AR176" s="176"/>
    </row>
    <row r="177" spans="1:44" s="3" customFormat="1" ht="12.75">
      <c r="A177" s="26"/>
      <c r="B177" s="18"/>
      <c r="C177" s="18" t="s">
        <v>43</v>
      </c>
      <c r="D177" s="25"/>
      <c r="E177"/>
      <c r="F177" s="200">
        <f>ROUND(96*1000/1936.27,0)</f>
        <v>50</v>
      </c>
      <c r="G177" s="245"/>
      <c r="H177" s="200">
        <f>ROUND(283*1000/1936.27,0)</f>
        <v>146</v>
      </c>
      <c r="I177" s="245"/>
      <c r="J177" s="200">
        <f>ROUND(303*1000/1936.27,0)</f>
        <v>156</v>
      </c>
      <c r="K177" s="245"/>
      <c r="L177" s="200">
        <f>ROUND(474*1000/1936.27,0)</f>
        <v>245</v>
      </c>
      <c r="M177" s="154"/>
      <c r="N177" s="200">
        <f>ROUND((508000/1936.27),0)</f>
        <v>262</v>
      </c>
      <c r="O177" s="152"/>
      <c r="P177" s="200">
        <v>281</v>
      </c>
      <c r="Q177" s="152"/>
      <c r="R177" s="200">
        <v>229</v>
      </c>
      <c r="S177" s="152"/>
      <c r="T177" s="200">
        <v>259</v>
      </c>
      <c r="U177" s="152"/>
      <c r="V177" s="176"/>
      <c r="W177" s="176"/>
      <c r="X177" s="176"/>
      <c r="Y177" s="176"/>
      <c r="Z177" s="176"/>
      <c r="AA177" s="176"/>
      <c r="AB177" s="176"/>
      <c r="AC177" s="176"/>
      <c r="AD177" s="176"/>
      <c r="AE177" s="176"/>
      <c r="AF177" s="176"/>
      <c r="AG177" s="176"/>
      <c r="AH177" s="176"/>
      <c r="AI177" s="176"/>
      <c r="AJ177" s="176"/>
      <c r="AK177" s="176"/>
      <c r="AL177" s="176"/>
      <c r="AM177" s="176"/>
      <c r="AN177" s="176"/>
      <c r="AO177" s="176"/>
      <c r="AP177" s="176"/>
      <c r="AQ177" s="176"/>
      <c r="AR177" s="176"/>
    </row>
    <row r="178" spans="1:44" s="3" customFormat="1" ht="12.75">
      <c r="A178" s="26"/>
      <c r="B178" s="18"/>
      <c r="C178" s="18" t="s">
        <v>44</v>
      </c>
      <c r="D178" s="25"/>
      <c r="E178"/>
      <c r="F178" s="200">
        <f>ROUND(1842*1000/1936.27,0)</f>
        <v>951</v>
      </c>
      <c r="G178" s="246"/>
      <c r="H178" s="200">
        <f>ROUND(1882*1000/1936.27,0)</f>
        <v>972</v>
      </c>
      <c r="I178" s="246"/>
      <c r="J178" s="200">
        <f>ROUND(1868*1000/1936.27,0)</f>
        <v>965</v>
      </c>
      <c r="K178" s="246"/>
      <c r="L178" s="200">
        <f>ROUND(1825*1000/1936.27,0)</f>
        <v>943</v>
      </c>
      <c r="M178" s="152"/>
      <c r="N178" s="200">
        <f>ROUND((1833000/1936.27),0)</f>
        <v>947</v>
      </c>
      <c r="O178" s="152"/>
      <c r="P178" s="200">
        <v>959</v>
      </c>
      <c r="Q178" s="152"/>
      <c r="R178" s="200">
        <v>1093</v>
      </c>
      <c r="S178" s="152"/>
      <c r="T178" s="200">
        <v>1088</v>
      </c>
      <c r="U178" s="152"/>
      <c r="V178" s="176"/>
      <c r="W178" s="176"/>
      <c r="X178" s="176"/>
      <c r="Y178" s="176"/>
      <c r="Z178" s="176"/>
      <c r="AA178" s="176"/>
      <c r="AB178" s="176"/>
      <c r="AC178" s="176"/>
      <c r="AD178" s="176"/>
      <c r="AE178" s="176"/>
      <c r="AF178" s="176"/>
      <c r="AG178" s="176"/>
      <c r="AH178" s="176"/>
      <c r="AI178" s="176"/>
      <c r="AJ178" s="176"/>
      <c r="AK178" s="176"/>
      <c r="AL178" s="176"/>
      <c r="AM178" s="176"/>
      <c r="AN178" s="176"/>
      <c r="AO178" s="176"/>
      <c r="AP178" s="176"/>
      <c r="AQ178" s="176"/>
      <c r="AR178" s="176"/>
    </row>
    <row r="179" spans="1:44" s="3" customFormat="1" ht="12.75">
      <c r="A179" s="26"/>
      <c r="B179" s="18"/>
      <c r="C179" s="18" t="s">
        <v>45</v>
      </c>
      <c r="D179" s="25"/>
      <c r="E179"/>
      <c r="F179" s="200">
        <f>ROUND(0*1000/1936.27,0)</f>
        <v>0</v>
      </c>
      <c r="G179" s="246"/>
      <c r="H179" s="200">
        <f>ROUND(0*1000/1936.27,0)</f>
        <v>0</v>
      </c>
      <c r="I179" s="246"/>
      <c r="J179" s="200">
        <f>ROUND(0*1000/1936.27,0)</f>
        <v>0</v>
      </c>
      <c r="K179" s="246"/>
      <c r="L179" s="200">
        <v>0</v>
      </c>
      <c r="M179" s="152"/>
      <c r="N179" s="200">
        <v>0</v>
      </c>
      <c r="O179" s="152"/>
      <c r="P179" s="200">
        <v>7</v>
      </c>
      <c r="Q179" s="152"/>
      <c r="R179" s="200">
        <v>7</v>
      </c>
      <c r="S179" s="152"/>
      <c r="T179" s="200">
        <v>1</v>
      </c>
      <c r="U179" s="152"/>
      <c r="V179" s="176"/>
      <c r="W179" s="176"/>
      <c r="X179" s="176"/>
      <c r="Y179" s="176"/>
      <c r="Z179" s="176"/>
      <c r="AA179" s="176"/>
      <c r="AB179" s="176"/>
      <c r="AC179" s="176"/>
      <c r="AD179" s="176"/>
      <c r="AE179" s="176"/>
      <c r="AF179" s="176"/>
      <c r="AG179" s="176"/>
      <c r="AH179" s="176"/>
      <c r="AI179" s="176"/>
      <c r="AJ179" s="176"/>
      <c r="AK179" s="176"/>
      <c r="AL179" s="176"/>
      <c r="AM179" s="176"/>
      <c r="AN179" s="176"/>
      <c r="AO179" s="176"/>
      <c r="AP179" s="176"/>
      <c r="AQ179" s="176"/>
      <c r="AR179" s="176"/>
    </row>
    <row r="180" spans="1:44" s="3" customFormat="1" ht="13.5" customHeight="1">
      <c r="A180" s="26"/>
      <c r="B180" s="18"/>
      <c r="C180" s="18" t="s">
        <v>46</v>
      </c>
      <c r="D180" s="25"/>
      <c r="E180"/>
      <c r="F180" s="200">
        <f>ROUND(25*1000/1936.27,0)</f>
        <v>13</v>
      </c>
      <c r="G180" s="246"/>
      <c r="H180" s="200">
        <f>ROUND(6*1000/1936.27,0)</f>
        <v>3</v>
      </c>
      <c r="I180" s="246"/>
      <c r="J180" s="200">
        <f>ROUND(34*1000/1936.27,0)</f>
        <v>18</v>
      </c>
      <c r="K180" s="246"/>
      <c r="L180" s="200">
        <f>ROUND(28*1000/1936.27,0)</f>
        <v>14</v>
      </c>
      <c r="M180" s="152"/>
      <c r="N180" s="200">
        <f>ROUND((30000/1936.27),0)</f>
        <v>15</v>
      </c>
      <c r="O180" s="152"/>
      <c r="P180" s="200">
        <v>15</v>
      </c>
      <c r="Q180" s="152"/>
      <c r="R180" s="200">
        <v>63</v>
      </c>
      <c r="S180" s="152"/>
      <c r="T180" s="200">
        <v>66</v>
      </c>
      <c r="U180" s="152"/>
      <c r="V180" s="176"/>
      <c r="W180" s="176"/>
      <c r="X180" s="176"/>
      <c r="Y180" s="176"/>
      <c r="Z180" s="176"/>
      <c r="AA180" s="176"/>
      <c r="AB180" s="176"/>
      <c r="AC180" s="176"/>
      <c r="AD180" s="176"/>
      <c r="AE180" s="176"/>
      <c r="AF180" s="176"/>
      <c r="AG180" s="176"/>
      <c r="AH180" s="176"/>
      <c r="AI180" s="176"/>
      <c r="AJ180" s="176"/>
      <c r="AK180" s="176"/>
      <c r="AL180" s="176"/>
      <c r="AM180" s="176"/>
      <c r="AN180" s="176"/>
      <c r="AO180" s="176"/>
      <c r="AP180" s="176"/>
      <c r="AQ180" s="176"/>
      <c r="AR180" s="176"/>
    </row>
    <row r="181" spans="1:44" s="3" customFormat="1" ht="12.75">
      <c r="A181" s="26"/>
      <c r="B181" s="18"/>
      <c r="C181" s="18" t="s">
        <v>188</v>
      </c>
      <c r="D181" s="25"/>
      <c r="E181"/>
      <c r="F181" s="200">
        <f>ROUND((514-25)*1000/1936.27,0)</f>
        <v>253</v>
      </c>
      <c r="G181" s="246"/>
      <c r="H181" s="200">
        <f>ROUND((552-6)*1000/1936.27,0)</f>
        <v>282</v>
      </c>
      <c r="I181" s="246"/>
      <c r="J181" s="200">
        <f>ROUND((595-34)*1000/1936.27,0)</f>
        <v>290</v>
      </c>
      <c r="K181" s="246"/>
      <c r="L181" s="200">
        <f>ROUND((603-28)*1000/1936.27,0)</f>
        <v>297</v>
      </c>
      <c r="M181" s="152"/>
      <c r="N181" s="200">
        <f>ROUND((664000/1936.27),0)</f>
        <v>343</v>
      </c>
      <c r="O181" s="152"/>
      <c r="P181" s="200">
        <v>262</v>
      </c>
      <c r="Q181" s="152"/>
      <c r="R181" s="200">
        <v>256</v>
      </c>
      <c r="S181" s="152"/>
      <c r="T181" s="200">
        <v>311</v>
      </c>
      <c r="U181" s="152"/>
      <c r="V181" s="176"/>
      <c r="W181" s="176"/>
      <c r="X181" s="176"/>
      <c r="Y181" s="176"/>
      <c r="Z181" s="176"/>
      <c r="AA181" s="176"/>
      <c r="AB181" s="176"/>
      <c r="AC181" s="176"/>
      <c r="AD181" s="176"/>
      <c r="AE181" s="176"/>
      <c r="AF181" s="176"/>
      <c r="AG181" s="176"/>
      <c r="AH181" s="176"/>
      <c r="AI181" s="176"/>
      <c r="AJ181" s="176"/>
      <c r="AK181" s="176"/>
      <c r="AL181" s="176"/>
      <c r="AM181" s="176"/>
      <c r="AN181" s="176"/>
      <c r="AO181" s="176"/>
      <c r="AP181" s="176"/>
      <c r="AQ181" s="176"/>
      <c r="AR181" s="176"/>
    </row>
    <row r="182" spans="1:44" s="3" customFormat="1" ht="12.75">
      <c r="A182" s="26"/>
      <c r="B182" s="18"/>
      <c r="C182" s="18" t="s">
        <v>189</v>
      </c>
      <c r="D182" s="25"/>
      <c r="E182"/>
      <c r="F182" s="200">
        <v>48</v>
      </c>
      <c r="G182" s="200">
        <v>0</v>
      </c>
      <c r="H182" s="200">
        <v>74</v>
      </c>
      <c r="I182" s="200">
        <v>0</v>
      </c>
      <c r="J182" s="200">
        <v>67</v>
      </c>
      <c r="K182" s="200">
        <v>0</v>
      </c>
      <c r="L182" s="200">
        <v>78</v>
      </c>
      <c r="M182" s="200">
        <v>0</v>
      </c>
      <c r="N182" s="200">
        <v>89</v>
      </c>
      <c r="O182" s="200">
        <v>0</v>
      </c>
      <c r="P182" s="200">
        <v>238</v>
      </c>
      <c r="Q182" s="200">
        <v>0</v>
      </c>
      <c r="R182" s="200">
        <v>216</v>
      </c>
      <c r="S182" s="200">
        <v>0</v>
      </c>
      <c r="T182" s="200">
        <v>168</v>
      </c>
      <c r="U182" s="200">
        <v>0</v>
      </c>
      <c r="V182" s="176"/>
      <c r="W182" s="176"/>
      <c r="X182" s="176"/>
      <c r="Y182" s="176"/>
      <c r="Z182" s="176"/>
      <c r="AA182" s="176"/>
      <c r="AB182" s="176"/>
      <c r="AC182" s="176"/>
      <c r="AD182" s="176"/>
      <c r="AE182" s="176"/>
      <c r="AF182" s="176"/>
      <c r="AG182" s="176"/>
      <c r="AH182" s="176"/>
      <c r="AI182" s="176"/>
      <c r="AJ182" s="176"/>
      <c r="AK182" s="176"/>
      <c r="AL182" s="176"/>
      <c r="AM182" s="176"/>
      <c r="AN182" s="176"/>
      <c r="AO182" s="176"/>
      <c r="AP182" s="176"/>
      <c r="AQ182" s="176"/>
      <c r="AR182" s="176"/>
    </row>
    <row r="183" spans="1:21" ht="12.75">
      <c r="A183" s="134"/>
      <c r="B183" s="135" t="s">
        <v>47</v>
      </c>
      <c r="C183" s="136"/>
      <c r="D183" s="137"/>
      <c r="E183" s="43"/>
      <c r="F183" s="201">
        <f aca="true" t="shared" si="35" ref="F183:U183">SUM(F184:F189)</f>
        <v>3348</v>
      </c>
      <c r="G183" s="201">
        <f t="shared" si="35"/>
        <v>0</v>
      </c>
      <c r="H183" s="201">
        <f t="shared" si="35"/>
        <v>3704</v>
      </c>
      <c r="I183" s="201">
        <f t="shared" si="35"/>
        <v>0</v>
      </c>
      <c r="J183" s="201">
        <f t="shared" si="35"/>
        <v>4133</v>
      </c>
      <c r="K183" s="201">
        <f t="shared" si="35"/>
        <v>0</v>
      </c>
      <c r="L183" s="201">
        <f t="shared" si="35"/>
        <v>4448</v>
      </c>
      <c r="M183" s="201">
        <f t="shared" si="35"/>
        <v>53</v>
      </c>
      <c r="N183" s="201">
        <f t="shared" si="35"/>
        <v>4778</v>
      </c>
      <c r="O183" s="201">
        <f t="shared" si="35"/>
        <v>3.6151982936264053</v>
      </c>
      <c r="P183" s="201">
        <f t="shared" si="35"/>
        <v>5164</v>
      </c>
      <c r="Q183" s="201">
        <f t="shared" si="35"/>
        <v>0</v>
      </c>
      <c r="R183" s="201">
        <f t="shared" si="35"/>
        <v>5400</v>
      </c>
      <c r="S183" s="201">
        <f t="shared" si="35"/>
        <v>4</v>
      </c>
      <c r="T183" s="201">
        <f t="shared" si="35"/>
        <v>5354</v>
      </c>
      <c r="U183" s="201">
        <f t="shared" si="35"/>
        <v>2</v>
      </c>
    </row>
    <row r="184" spans="1:21" ht="12.75">
      <c r="A184" s="26"/>
      <c r="B184" s="18"/>
      <c r="C184" s="18" t="s">
        <v>43</v>
      </c>
      <c r="D184" s="25"/>
      <c r="F184" s="200">
        <f>ROUND(187*1000/1936.27,0)</f>
        <v>97</v>
      </c>
      <c r="G184" s="245"/>
      <c r="H184" s="200">
        <f>ROUND(346*1000/1936.27,0)-1</f>
        <v>178</v>
      </c>
      <c r="I184" s="245"/>
      <c r="J184" s="200">
        <f>ROUND(451*1000/1936.27,0)</f>
        <v>233</v>
      </c>
      <c r="K184" s="245"/>
      <c r="L184" s="200">
        <f>ROUND(376*1000/1936.27,0)</f>
        <v>194</v>
      </c>
      <c r="M184" s="152"/>
      <c r="N184" s="200">
        <f>ROUND((518000/1936.27),0)</f>
        <v>268</v>
      </c>
      <c r="O184" s="152">
        <f>7/1.93627</f>
        <v>3.6151982936264053</v>
      </c>
      <c r="P184" s="200">
        <v>205</v>
      </c>
      <c r="Q184" s="152"/>
      <c r="R184" s="200">
        <v>155</v>
      </c>
      <c r="S184" s="152"/>
      <c r="T184" s="200">
        <v>165</v>
      </c>
      <c r="U184" s="152"/>
    </row>
    <row r="185" spans="1:21" ht="12.75">
      <c r="A185" s="26"/>
      <c r="B185" s="18"/>
      <c r="C185" s="18" t="s">
        <v>44</v>
      </c>
      <c r="D185" s="25"/>
      <c r="F185" s="200">
        <f>ROUND(4841*1000/1936.27,0)</f>
        <v>2500</v>
      </c>
      <c r="G185" s="246"/>
      <c r="H185" s="200">
        <f>ROUND(5272*1000/1936.27,0)</f>
        <v>2723</v>
      </c>
      <c r="I185" s="246"/>
      <c r="J185" s="200">
        <f>ROUND(5493*1000/1936.27,0)</f>
        <v>2837</v>
      </c>
      <c r="K185" s="246"/>
      <c r="L185" s="200">
        <f>ROUND(6247*1000/1936.27,0)</f>
        <v>3226</v>
      </c>
      <c r="M185" s="152">
        <f>ROUND(103000/1936.27,0)</f>
        <v>53</v>
      </c>
      <c r="N185" s="200">
        <f>ROUND((6390000/1936.27),0)</f>
        <v>3300</v>
      </c>
      <c r="O185" s="152"/>
      <c r="P185" s="200">
        <v>3244</v>
      </c>
      <c r="Q185" s="152"/>
      <c r="R185" s="200">
        <v>3393</v>
      </c>
      <c r="S185" s="152"/>
      <c r="T185" s="200">
        <v>3171</v>
      </c>
      <c r="U185" s="152"/>
    </row>
    <row r="186" spans="1:21" ht="12.75">
      <c r="A186" s="26"/>
      <c r="B186" s="18"/>
      <c r="C186" s="18" t="s">
        <v>45</v>
      </c>
      <c r="D186" s="25"/>
      <c r="F186" s="200">
        <f>ROUND(0*1000/1936.27,0)</f>
        <v>0</v>
      </c>
      <c r="G186" s="246"/>
      <c r="H186" s="200">
        <f>ROUND(0*1000/1936.27,0)</f>
        <v>0</v>
      </c>
      <c r="I186" s="246"/>
      <c r="J186" s="200">
        <f>ROUND(0*1000/1936.27,0)</f>
        <v>0</v>
      </c>
      <c r="K186" s="246"/>
      <c r="L186" s="200">
        <v>0</v>
      </c>
      <c r="M186" s="152"/>
      <c r="N186" s="200">
        <v>0</v>
      </c>
      <c r="O186" s="152"/>
      <c r="P186" s="200">
        <v>22</v>
      </c>
      <c r="Q186" s="152"/>
      <c r="R186" s="200">
        <v>26</v>
      </c>
      <c r="S186" s="152"/>
      <c r="T186" s="200">
        <v>36</v>
      </c>
      <c r="U186" s="152"/>
    </row>
    <row r="187" spans="1:21" ht="12.75">
      <c r="A187" s="26"/>
      <c r="B187" s="18"/>
      <c r="C187" s="18" t="s">
        <v>46</v>
      </c>
      <c r="D187" s="25"/>
      <c r="F187" s="200">
        <f>ROUND(89*1000/1936.27,0)</f>
        <v>46</v>
      </c>
      <c r="G187" s="246"/>
      <c r="H187" s="200">
        <f>ROUND(22*1000/1936.27,0)</f>
        <v>11</v>
      </c>
      <c r="I187" s="246"/>
      <c r="J187" s="200">
        <f>ROUND(118*1000/1936.27,0)</f>
        <v>61</v>
      </c>
      <c r="K187" s="246"/>
      <c r="L187" s="200">
        <f>ROUND(98*1000/1936.27,0)</f>
        <v>51</v>
      </c>
      <c r="M187" s="152"/>
      <c r="N187" s="200">
        <f>ROUND((98000/1936.27),0)</f>
        <v>51</v>
      </c>
      <c r="O187" s="152"/>
      <c r="P187" s="200">
        <v>97</v>
      </c>
      <c r="Q187" s="152"/>
      <c r="R187" s="200">
        <v>66</v>
      </c>
      <c r="S187" s="152"/>
      <c r="T187" s="200">
        <v>76</v>
      </c>
      <c r="U187" s="152"/>
    </row>
    <row r="188" spans="1:21" ht="12.75">
      <c r="A188" s="26"/>
      <c r="B188" s="18"/>
      <c r="C188" s="18" t="s">
        <v>188</v>
      </c>
      <c r="D188" s="25"/>
      <c r="F188" s="200">
        <f>ROUND((1379-89)*1000/1936.27,0)</f>
        <v>666</v>
      </c>
      <c r="G188" s="246"/>
      <c r="H188" s="200">
        <f>ROUND((1437-22)*1000/1936.27,0)</f>
        <v>731</v>
      </c>
      <c r="I188" s="246"/>
      <c r="J188" s="200">
        <f>ROUND((1773-118)*1000/1936.27,0)</f>
        <v>855</v>
      </c>
      <c r="K188" s="246"/>
      <c r="L188" s="200">
        <f>ROUND((1644-98)*1000/1936.27,0)</f>
        <v>798</v>
      </c>
      <c r="M188" s="152"/>
      <c r="N188" s="200">
        <f>ROUND(((1934000-98000)/1936.27),0)</f>
        <v>948</v>
      </c>
      <c r="O188" s="152"/>
      <c r="P188" s="200">
        <v>1085</v>
      </c>
      <c r="Q188" s="152"/>
      <c r="R188" s="200">
        <v>1128</v>
      </c>
      <c r="S188" s="152"/>
      <c r="T188" s="200">
        <v>1324</v>
      </c>
      <c r="U188" s="152"/>
    </row>
    <row r="189" spans="1:21" ht="12.75">
      <c r="A189" s="26"/>
      <c r="B189" s="18"/>
      <c r="C189" s="18" t="s">
        <v>189</v>
      </c>
      <c r="D189" s="25"/>
      <c r="F189" s="200">
        <v>39</v>
      </c>
      <c r="G189" s="200">
        <v>0</v>
      </c>
      <c r="H189" s="200">
        <v>61</v>
      </c>
      <c r="I189" s="200">
        <v>0</v>
      </c>
      <c r="J189" s="200">
        <v>147</v>
      </c>
      <c r="K189" s="200">
        <v>0</v>
      </c>
      <c r="L189" s="200">
        <v>179</v>
      </c>
      <c r="M189" s="200">
        <v>0</v>
      </c>
      <c r="N189" s="200">
        <v>211</v>
      </c>
      <c r="O189" s="200">
        <v>0</v>
      </c>
      <c r="P189" s="200">
        <v>511</v>
      </c>
      <c r="Q189" s="200">
        <v>0</v>
      </c>
      <c r="R189" s="200">
        <v>632</v>
      </c>
      <c r="S189" s="200">
        <v>4</v>
      </c>
      <c r="T189" s="200">
        <v>582</v>
      </c>
      <c r="U189" s="200">
        <v>2</v>
      </c>
    </row>
    <row r="190" spans="1:21" ht="12.75">
      <c r="A190" s="134"/>
      <c r="B190" s="135" t="s">
        <v>48</v>
      </c>
      <c r="C190" s="136"/>
      <c r="D190" s="137"/>
      <c r="F190" s="201">
        <f aca="true" t="shared" si="36" ref="F190:U190">SUM(F191:F196)</f>
        <v>2080</v>
      </c>
      <c r="G190" s="201">
        <f t="shared" si="36"/>
        <v>0</v>
      </c>
      <c r="H190" s="201">
        <f t="shared" si="36"/>
        <v>2417</v>
      </c>
      <c r="I190" s="201">
        <f t="shared" si="36"/>
        <v>0</v>
      </c>
      <c r="J190" s="201">
        <f t="shared" si="36"/>
        <v>2523</v>
      </c>
      <c r="K190" s="201">
        <f t="shared" si="36"/>
        <v>0</v>
      </c>
      <c r="L190" s="201">
        <f t="shared" si="36"/>
        <v>2656</v>
      </c>
      <c r="M190" s="201">
        <f t="shared" si="36"/>
        <v>0</v>
      </c>
      <c r="N190" s="201">
        <f t="shared" si="36"/>
        <v>2762</v>
      </c>
      <c r="O190" s="201">
        <f t="shared" si="36"/>
        <v>0</v>
      </c>
      <c r="P190" s="201">
        <f t="shared" si="36"/>
        <v>2844</v>
      </c>
      <c r="Q190" s="201">
        <f t="shared" si="36"/>
        <v>0</v>
      </c>
      <c r="R190" s="201">
        <f t="shared" si="36"/>
        <v>2847</v>
      </c>
      <c r="S190" s="201">
        <f t="shared" si="36"/>
        <v>0</v>
      </c>
      <c r="T190" s="201">
        <f t="shared" si="36"/>
        <v>2921</v>
      </c>
      <c r="U190" s="201">
        <f t="shared" si="36"/>
        <v>0</v>
      </c>
    </row>
    <row r="191" spans="1:21" ht="12.75">
      <c r="A191" s="26"/>
      <c r="B191" s="18"/>
      <c r="C191" s="18" t="s">
        <v>43</v>
      </c>
      <c r="D191" s="25"/>
      <c r="F191" s="200">
        <f>ROUND(85*1000/1936.27,0)</f>
        <v>44</v>
      </c>
      <c r="G191" s="245"/>
      <c r="H191" s="200">
        <f>ROUND(206*1000/1936.27,0)+1</f>
        <v>107</v>
      </c>
      <c r="I191" s="245"/>
      <c r="J191" s="200">
        <f>ROUND(297*1000/1936.27,0)</f>
        <v>153</v>
      </c>
      <c r="K191" s="245"/>
      <c r="L191" s="200">
        <f>ROUND(472*1000/1936.27,0)</f>
        <v>244</v>
      </c>
      <c r="M191" s="152"/>
      <c r="N191" s="200">
        <f>ROUND((472000/1936.27),0)</f>
        <v>244</v>
      </c>
      <c r="O191" s="152"/>
      <c r="P191" s="200">
        <v>170</v>
      </c>
      <c r="Q191" s="152"/>
      <c r="R191" s="200">
        <v>178</v>
      </c>
      <c r="S191" s="152"/>
      <c r="T191" s="200">
        <v>156</v>
      </c>
      <c r="U191" s="152"/>
    </row>
    <row r="192" spans="1:21" ht="12.75">
      <c r="A192" s="26"/>
      <c r="B192" s="18"/>
      <c r="C192" s="18" t="s">
        <v>44</v>
      </c>
      <c r="D192" s="25"/>
      <c r="F192" s="200">
        <f>ROUND(3412*1000/1936.27,0)</f>
        <v>1762</v>
      </c>
      <c r="G192" s="246"/>
      <c r="H192" s="200">
        <f>ROUND(3733*1000/1936.27,0)</f>
        <v>1928</v>
      </c>
      <c r="I192" s="246"/>
      <c r="J192" s="200">
        <f>ROUND(3732*1000/1936.27,0)</f>
        <v>1927</v>
      </c>
      <c r="K192" s="246"/>
      <c r="L192" s="200">
        <f>ROUND(3781*1000/1936.27,0)+1</f>
        <v>1954</v>
      </c>
      <c r="M192" s="152"/>
      <c r="N192" s="200">
        <f>ROUND((3882000/1936.27),0)</f>
        <v>2005</v>
      </c>
      <c r="O192" s="152"/>
      <c r="P192" s="200">
        <v>2041</v>
      </c>
      <c r="Q192" s="152"/>
      <c r="R192" s="200">
        <v>1975</v>
      </c>
      <c r="S192" s="152"/>
      <c r="T192" s="200">
        <v>2090</v>
      </c>
      <c r="U192" s="152"/>
    </row>
    <row r="193" spans="1:21" ht="12.75">
      <c r="A193" s="26"/>
      <c r="B193" s="18"/>
      <c r="C193" s="18" t="s">
        <v>45</v>
      </c>
      <c r="D193" s="25"/>
      <c r="F193" s="200">
        <f>ROUND(0*1000/1936.27,0)</f>
        <v>0</v>
      </c>
      <c r="G193" s="246"/>
      <c r="H193" s="200">
        <f>ROUND(0*1000/1936.27,0)</f>
        <v>0</v>
      </c>
      <c r="I193" s="246"/>
      <c r="J193" s="200">
        <f>ROUND(0*1000/1936.27,0)</f>
        <v>0</v>
      </c>
      <c r="K193" s="246"/>
      <c r="L193" s="200">
        <v>0</v>
      </c>
      <c r="M193" s="152"/>
      <c r="N193" s="200">
        <v>0</v>
      </c>
      <c r="O193" s="152"/>
      <c r="P193" s="200">
        <v>26</v>
      </c>
      <c r="Q193" s="152"/>
      <c r="R193" s="200">
        <v>26</v>
      </c>
      <c r="S193" s="152"/>
      <c r="T193" s="200">
        <v>27</v>
      </c>
      <c r="U193" s="152"/>
    </row>
    <row r="194" spans="1:21" ht="12.75">
      <c r="A194" s="26"/>
      <c r="B194" s="18"/>
      <c r="C194" s="18" t="s">
        <v>46</v>
      </c>
      <c r="D194" s="25"/>
      <c r="F194" s="200">
        <f>ROUND(85*1000/1936.27,0)</f>
        <v>44</v>
      </c>
      <c r="G194" s="246"/>
      <c r="H194" s="200">
        <f>ROUND(19*1000/1936.27,0)</f>
        <v>10</v>
      </c>
      <c r="I194" s="246"/>
      <c r="J194" s="200">
        <f>ROUND(100*1000/1936.27,0)</f>
        <v>52</v>
      </c>
      <c r="K194" s="246"/>
      <c r="L194" s="200">
        <f>ROUND(82*1000/1936.27,0)</f>
        <v>42</v>
      </c>
      <c r="M194" s="152"/>
      <c r="N194" s="200">
        <f>ROUND((98000/1936.27),0)</f>
        <v>51</v>
      </c>
      <c r="O194" s="152"/>
      <c r="P194" s="200">
        <v>50</v>
      </c>
      <c r="Q194" s="152"/>
      <c r="R194" s="200">
        <v>60</v>
      </c>
      <c r="S194" s="152"/>
      <c r="T194" s="200">
        <v>76</v>
      </c>
      <c r="U194" s="152"/>
    </row>
    <row r="195" spans="1:21" ht="12.75">
      <c r="A195" s="26"/>
      <c r="B195" s="18"/>
      <c r="C195" s="18" t="s">
        <v>188</v>
      </c>
      <c r="D195" s="25"/>
      <c r="F195" s="200">
        <f>ROUND((455-85)*1000/1936.27,0)</f>
        <v>191</v>
      </c>
      <c r="G195" s="246"/>
      <c r="H195" s="200">
        <f>ROUND((504-19)*1000/1936.27,0)</f>
        <v>250</v>
      </c>
      <c r="I195" s="246"/>
      <c r="J195" s="200">
        <f>ROUND((521)*1000/1936.27,0)</f>
        <v>269</v>
      </c>
      <c r="K195" s="246"/>
      <c r="L195" s="200">
        <f>ROUND((605-82)*1000/1936.27,0)</f>
        <v>270</v>
      </c>
      <c r="M195" s="152"/>
      <c r="N195" s="200">
        <f>ROUND(((752000-98000)/1936.27),0)</f>
        <v>338</v>
      </c>
      <c r="O195" s="152"/>
      <c r="P195" s="200">
        <v>387</v>
      </c>
      <c r="Q195" s="152"/>
      <c r="R195" s="200">
        <v>417</v>
      </c>
      <c r="S195" s="152"/>
      <c r="T195" s="200">
        <v>437</v>
      </c>
      <c r="U195" s="152"/>
    </row>
    <row r="196" spans="1:21" ht="12.75">
      <c r="A196" s="26"/>
      <c r="B196" s="18"/>
      <c r="C196" s="18" t="s">
        <v>189</v>
      </c>
      <c r="D196" s="25"/>
      <c r="F196" s="200">
        <v>39</v>
      </c>
      <c r="G196" s="200">
        <v>0</v>
      </c>
      <c r="H196" s="200">
        <v>122</v>
      </c>
      <c r="I196" s="200">
        <v>0</v>
      </c>
      <c r="J196" s="200">
        <v>122</v>
      </c>
      <c r="K196" s="200">
        <v>0</v>
      </c>
      <c r="L196" s="200">
        <v>146</v>
      </c>
      <c r="M196" s="200">
        <v>0</v>
      </c>
      <c r="N196" s="200">
        <v>124</v>
      </c>
      <c r="O196" s="200">
        <v>0</v>
      </c>
      <c r="P196" s="200">
        <v>170</v>
      </c>
      <c r="Q196" s="200"/>
      <c r="R196" s="200">
        <v>191</v>
      </c>
      <c r="S196" s="200">
        <v>0</v>
      </c>
      <c r="T196" s="200">
        <v>135</v>
      </c>
      <c r="U196" s="200">
        <v>0</v>
      </c>
    </row>
    <row r="197" spans="1:21" ht="12.75">
      <c r="A197" s="134"/>
      <c r="B197" s="135" t="s">
        <v>49</v>
      </c>
      <c r="C197" s="136"/>
      <c r="D197" s="137"/>
      <c r="F197" s="201">
        <f aca="true" t="shared" si="37" ref="F197:M197">SUM(F198:F203)</f>
        <v>1334</v>
      </c>
      <c r="G197" s="201">
        <f t="shared" si="37"/>
        <v>0</v>
      </c>
      <c r="H197" s="201">
        <f t="shared" si="37"/>
        <v>1937</v>
      </c>
      <c r="I197" s="201">
        <f t="shared" si="37"/>
        <v>0</v>
      </c>
      <c r="J197" s="201">
        <f t="shared" si="37"/>
        <v>2061</v>
      </c>
      <c r="K197" s="201">
        <f t="shared" si="37"/>
        <v>0</v>
      </c>
      <c r="L197" s="201">
        <f t="shared" si="37"/>
        <v>2190</v>
      </c>
      <c r="M197" s="201">
        <f t="shared" si="37"/>
        <v>15</v>
      </c>
      <c r="N197" s="201">
        <f>SUM(N198:N203)-1</f>
        <v>2364</v>
      </c>
      <c r="O197" s="201">
        <f aca="true" t="shared" si="38" ref="O197:U197">SUM(O198:O203)</f>
        <v>0</v>
      </c>
      <c r="P197" s="201">
        <f t="shared" si="38"/>
        <v>2568</v>
      </c>
      <c r="Q197" s="201">
        <f t="shared" si="38"/>
        <v>26</v>
      </c>
      <c r="R197" s="201">
        <f t="shared" si="38"/>
        <v>2831</v>
      </c>
      <c r="S197" s="201">
        <f t="shared" si="38"/>
        <v>10</v>
      </c>
      <c r="T197" s="201">
        <f t="shared" si="38"/>
        <v>2964</v>
      </c>
      <c r="U197" s="201">
        <f t="shared" si="38"/>
        <v>0</v>
      </c>
    </row>
    <row r="198" spans="1:21" ht="12.75">
      <c r="A198" s="26"/>
      <c r="B198" s="18"/>
      <c r="C198" s="18" t="s">
        <v>43</v>
      </c>
      <c r="D198" s="25"/>
      <c r="F198" s="200">
        <f>ROUND(109*1000/1936.27,0)</f>
        <v>56</v>
      </c>
      <c r="G198" s="200"/>
      <c r="H198" s="200">
        <f>ROUND(240*1000/1936.27,0)-1</f>
        <v>123</v>
      </c>
      <c r="I198" s="200"/>
      <c r="J198" s="200">
        <f>ROUND(155*1000/1936.27,0)</f>
        <v>80</v>
      </c>
      <c r="K198" s="200"/>
      <c r="L198" s="200">
        <f>ROUND(206*1000/1936.27,0)-2</f>
        <v>104</v>
      </c>
      <c r="M198" s="200"/>
      <c r="N198" s="200">
        <f>ROUND((197000/1936.27),0)</f>
        <v>102</v>
      </c>
      <c r="O198" s="200"/>
      <c r="P198" s="200">
        <v>159</v>
      </c>
      <c r="Q198" s="200"/>
      <c r="R198" s="200">
        <v>115</v>
      </c>
      <c r="S198" s="200"/>
      <c r="T198" s="200">
        <v>144</v>
      </c>
      <c r="U198" s="200"/>
    </row>
    <row r="199" spans="1:21" ht="12.75">
      <c r="A199" s="26"/>
      <c r="B199" s="18"/>
      <c r="C199" s="18" t="s">
        <v>44</v>
      </c>
      <c r="D199" s="25"/>
      <c r="F199" s="200">
        <f>ROUND(1903*1000/1936.27,0)</f>
        <v>983</v>
      </c>
      <c r="G199" s="246"/>
      <c r="H199" s="200">
        <f>ROUND(2313*1000/1936.27,0)</f>
        <v>1195</v>
      </c>
      <c r="I199" s="246"/>
      <c r="J199" s="200">
        <f>ROUND(2530*1000/1936.27,0)</f>
        <v>1307</v>
      </c>
      <c r="K199" s="246"/>
      <c r="L199" s="200">
        <f>ROUND(2741*1000/1936.27,0)+1</f>
        <v>1417</v>
      </c>
      <c r="M199" s="152">
        <f>ROUND(30000/1936.27,0)</f>
        <v>15</v>
      </c>
      <c r="N199" s="200">
        <f>ROUND((2955000/1936.27),0)</f>
        <v>1526</v>
      </c>
      <c r="O199" s="152"/>
      <c r="P199" s="200">
        <v>1542</v>
      </c>
      <c r="Q199" s="152">
        <v>26</v>
      </c>
      <c r="R199" s="200">
        <v>1718</v>
      </c>
      <c r="S199" s="152">
        <v>10</v>
      </c>
      <c r="T199" s="200">
        <v>1805</v>
      </c>
      <c r="U199" s="152"/>
    </row>
    <row r="200" spans="1:21" ht="12.75">
      <c r="A200" s="26"/>
      <c r="B200" s="18"/>
      <c r="C200" s="18" t="s">
        <v>45</v>
      </c>
      <c r="D200" s="25"/>
      <c r="F200" s="200">
        <f>ROUND(0*1000/1936.27,0)</f>
        <v>0</v>
      </c>
      <c r="G200" s="246"/>
      <c r="H200" s="200">
        <f>ROUND(0*1000/1936.27,0)</f>
        <v>0</v>
      </c>
      <c r="I200" s="246"/>
      <c r="J200" s="200">
        <f>ROUND(0*1000/1936.27,0)</f>
        <v>0</v>
      </c>
      <c r="K200" s="246"/>
      <c r="L200" s="200">
        <v>0</v>
      </c>
      <c r="M200" s="152"/>
      <c r="N200" s="200">
        <v>0</v>
      </c>
      <c r="O200" s="152"/>
      <c r="P200" s="200">
        <v>26</v>
      </c>
      <c r="Q200" s="152"/>
      <c r="R200" s="200">
        <v>30</v>
      </c>
      <c r="S200" s="152"/>
      <c r="T200" s="200">
        <v>40</v>
      </c>
      <c r="U200" s="152"/>
    </row>
    <row r="201" spans="1:21" ht="12.75">
      <c r="A201" s="26"/>
      <c r="B201" s="18"/>
      <c r="C201" s="18" t="s">
        <v>46</v>
      </c>
      <c r="D201" s="25"/>
      <c r="F201" s="200">
        <f>ROUND(37*1000/1936.27,0)</f>
        <v>19</v>
      </c>
      <c r="G201" s="246"/>
      <c r="H201" s="200">
        <f>ROUND(12*1000/1936.27,0)</f>
        <v>6</v>
      </c>
      <c r="I201" s="246"/>
      <c r="J201" s="200">
        <f>ROUND(68*1000/1936.27,0)</f>
        <v>35</v>
      </c>
      <c r="K201" s="246"/>
      <c r="L201" s="200">
        <f>ROUND(56*1000/1936.27,0)</f>
        <v>29</v>
      </c>
      <c r="M201" s="152"/>
      <c r="N201" s="200">
        <f>ROUND((56000/1936.27),0)</f>
        <v>29</v>
      </c>
      <c r="O201" s="152"/>
      <c r="P201" s="200">
        <v>29</v>
      </c>
      <c r="Q201" s="152"/>
      <c r="R201" s="200">
        <v>35</v>
      </c>
      <c r="S201" s="152"/>
      <c r="T201" s="200">
        <v>44</v>
      </c>
      <c r="U201" s="152"/>
    </row>
    <row r="202" spans="1:21" ht="12.75">
      <c r="A202" s="26"/>
      <c r="B202" s="18"/>
      <c r="C202" s="18" t="s">
        <v>188</v>
      </c>
      <c r="D202" s="25"/>
      <c r="F202" s="200">
        <f>ROUND((510-37)*1000/1936.27,0)</f>
        <v>244</v>
      </c>
      <c r="G202" s="246"/>
      <c r="H202" s="200">
        <f>ROUND((686-12)*1000/1936.27,0)</f>
        <v>348</v>
      </c>
      <c r="I202" s="246"/>
      <c r="J202" s="200">
        <f>ROUND((697-68)*1000/1936.27,0)</f>
        <v>325</v>
      </c>
      <c r="K202" s="246"/>
      <c r="L202" s="200">
        <f>ROUND((693-56)*1000/1936.27,0)</f>
        <v>329</v>
      </c>
      <c r="M202" s="152"/>
      <c r="N202" s="200">
        <f>ROUND((760000/1936.27),0)</f>
        <v>393</v>
      </c>
      <c r="O202" s="152"/>
      <c r="P202" s="200">
        <v>441</v>
      </c>
      <c r="Q202" s="152"/>
      <c r="R202" s="200">
        <v>474</v>
      </c>
      <c r="S202" s="152"/>
      <c r="T202" s="200">
        <v>506</v>
      </c>
      <c r="U202" s="152"/>
    </row>
    <row r="203" spans="1:21" ht="12.75">
      <c r="A203" s="26"/>
      <c r="B203" s="18"/>
      <c r="C203" s="18" t="s">
        <v>189</v>
      </c>
      <c r="D203" s="25"/>
      <c r="F203" s="200">
        <v>32</v>
      </c>
      <c r="G203" s="200">
        <v>0</v>
      </c>
      <c r="H203" s="200">
        <v>265</v>
      </c>
      <c r="I203" s="200">
        <v>0</v>
      </c>
      <c r="J203" s="200">
        <v>314</v>
      </c>
      <c r="K203" s="200">
        <v>0</v>
      </c>
      <c r="L203" s="200">
        <v>311</v>
      </c>
      <c r="M203" s="200">
        <v>0</v>
      </c>
      <c r="N203" s="200">
        <v>315</v>
      </c>
      <c r="O203" s="200">
        <v>0</v>
      </c>
      <c r="P203" s="200">
        <v>371</v>
      </c>
      <c r="Q203" s="200">
        <v>0</v>
      </c>
      <c r="R203" s="200">
        <v>459</v>
      </c>
      <c r="S203" s="200">
        <v>0</v>
      </c>
      <c r="T203" s="200">
        <v>425</v>
      </c>
      <c r="U203" s="200">
        <v>0</v>
      </c>
    </row>
    <row r="204" spans="1:21" ht="12.75">
      <c r="A204" s="134"/>
      <c r="B204" s="135" t="s">
        <v>50</v>
      </c>
      <c r="C204" s="136"/>
      <c r="D204" s="137"/>
      <c r="F204" s="201">
        <f aca="true" t="shared" si="39" ref="F204:U204">SUM(F205:F210)</f>
        <v>1722</v>
      </c>
      <c r="G204" s="201">
        <f t="shared" si="39"/>
        <v>0</v>
      </c>
      <c r="H204" s="201">
        <f t="shared" si="39"/>
        <v>1924</v>
      </c>
      <c r="I204" s="201">
        <f t="shared" si="39"/>
        <v>0</v>
      </c>
      <c r="J204" s="201">
        <f t="shared" si="39"/>
        <v>2164</v>
      </c>
      <c r="K204" s="201">
        <f t="shared" si="39"/>
        <v>21</v>
      </c>
      <c r="L204" s="201">
        <f t="shared" si="39"/>
        <v>2768</v>
      </c>
      <c r="M204" s="201">
        <f t="shared" si="39"/>
        <v>480</v>
      </c>
      <c r="N204" s="201">
        <f t="shared" si="39"/>
        <v>2609</v>
      </c>
      <c r="O204" s="201">
        <f t="shared" si="39"/>
        <v>0</v>
      </c>
      <c r="P204" s="201">
        <f t="shared" si="39"/>
        <v>2694</v>
      </c>
      <c r="Q204" s="201">
        <f t="shared" si="39"/>
        <v>0</v>
      </c>
      <c r="R204" s="201">
        <f t="shared" si="39"/>
        <v>2999</v>
      </c>
      <c r="S204" s="201">
        <f t="shared" si="39"/>
        <v>4</v>
      </c>
      <c r="T204" s="201">
        <f t="shared" si="39"/>
        <v>3001</v>
      </c>
      <c r="U204" s="201">
        <f t="shared" si="39"/>
        <v>5</v>
      </c>
    </row>
    <row r="205" spans="1:21" ht="12.75">
      <c r="A205" s="26"/>
      <c r="B205" s="18"/>
      <c r="C205" s="18" t="s">
        <v>43</v>
      </c>
      <c r="D205" s="25"/>
      <c r="F205" s="200">
        <f>ROUND(103*1000/1936.27,0)-1</f>
        <v>52</v>
      </c>
      <c r="G205" s="200"/>
      <c r="H205" s="200">
        <f>ROUND(189*1000/1936.27,0)+1</f>
        <v>99</v>
      </c>
      <c r="I205" s="200"/>
      <c r="J205" s="200">
        <f>ROUND(221*1000/1936.27,0)+1</f>
        <v>115</v>
      </c>
      <c r="K205" s="200">
        <v>21</v>
      </c>
      <c r="L205" s="200">
        <f>ROUND(289*1000/1936.27,0)</f>
        <v>149</v>
      </c>
      <c r="M205" s="200"/>
      <c r="N205" s="200">
        <f>ROUND((281000/1936.27),0)</f>
        <v>145</v>
      </c>
      <c r="O205" s="200"/>
      <c r="P205" s="200">
        <v>89</v>
      </c>
      <c r="Q205" s="200"/>
      <c r="R205" s="200">
        <v>70</v>
      </c>
      <c r="S205" s="200"/>
      <c r="T205" s="200">
        <v>138</v>
      </c>
      <c r="U205" s="200"/>
    </row>
    <row r="206" spans="1:21" ht="12.75">
      <c r="A206" s="26"/>
      <c r="B206" s="18"/>
      <c r="C206" s="18" t="s">
        <v>44</v>
      </c>
      <c r="D206" s="25"/>
      <c r="F206" s="200">
        <f>ROUND(2529*1000/1936.27,0)</f>
        <v>1306</v>
      </c>
      <c r="G206" s="246"/>
      <c r="H206" s="200">
        <f>ROUND(2727*1000/1936.27,0)</f>
        <v>1408</v>
      </c>
      <c r="I206" s="246"/>
      <c r="J206" s="200">
        <f>ROUND(3031*1000/1936.27,0)</f>
        <v>1565</v>
      </c>
      <c r="K206" s="246"/>
      <c r="L206" s="200">
        <f>ROUND(3239*1000/1936.27,0)</f>
        <v>1673</v>
      </c>
      <c r="M206" s="152">
        <f>ROUND(87000/1936.27,0)</f>
        <v>45</v>
      </c>
      <c r="N206" s="200">
        <f>ROUND((3597000/1936.27),0)</f>
        <v>1858</v>
      </c>
      <c r="O206" s="152"/>
      <c r="P206" s="200">
        <v>1753</v>
      </c>
      <c r="Q206" s="152"/>
      <c r="R206" s="200">
        <v>2070</v>
      </c>
      <c r="S206" s="152"/>
      <c r="T206" s="200">
        <v>1922</v>
      </c>
      <c r="U206" s="152"/>
    </row>
    <row r="207" spans="1:21" ht="12.75">
      <c r="A207" s="26"/>
      <c r="B207" s="18"/>
      <c r="C207" s="18" t="s">
        <v>45</v>
      </c>
      <c r="D207" s="25"/>
      <c r="F207" s="200">
        <f>ROUND(0*1000/1936.27,0)</f>
        <v>0</v>
      </c>
      <c r="G207" s="246"/>
      <c r="H207" s="200">
        <f>ROUND(0*1000/1936.27,0)</f>
        <v>0</v>
      </c>
      <c r="I207" s="246"/>
      <c r="J207" s="200">
        <f>ROUND(0*1000/1936.27,0)</f>
        <v>0</v>
      </c>
      <c r="K207" s="246"/>
      <c r="L207" s="200">
        <v>0</v>
      </c>
      <c r="M207" s="152"/>
      <c r="N207" s="200">
        <v>0</v>
      </c>
      <c r="O207" s="152"/>
      <c r="P207" s="200">
        <v>24</v>
      </c>
      <c r="Q207" s="152"/>
      <c r="R207" s="200">
        <v>39</v>
      </c>
      <c r="S207" s="152"/>
      <c r="T207" s="200">
        <v>41</v>
      </c>
      <c r="U207" s="152"/>
    </row>
    <row r="208" spans="1:21" ht="12.75">
      <c r="A208" s="26"/>
      <c r="B208" s="18"/>
      <c r="C208" s="18" t="s">
        <v>46</v>
      </c>
      <c r="D208" s="25"/>
      <c r="F208" s="200">
        <f>ROUND(0*1000/1936.27,0)</f>
        <v>0</v>
      </c>
      <c r="G208" s="246"/>
      <c r="H208" s="200">
        <f>ROUND(0*1000/1936.27,0)</f>
        <v>0</v>
      </c>
      <c r="I208" s="246"/>
      <c r="J208" s="200">
        <v>0</v>
      </c>
      <c r="K208" s="246"/>
      <c r="L208" s="200">
        <f>ROUND(0*1000/1936.27,0)</f>
        <v>0</v>
      </c>
      <c r="M208" s="152"/>
      <c r="N208" s="200">
        <v>0</v>
      </c>
      <c r="O208" s="152"/>
      <c r="P208" s="200"/>
      <c r="Q208" s="152"/>
      <c r="R208" s="200"/>
      <c r="S208" s="152"/>
      <c r="T208" s="200"/>
      <c r="U208" s="152"/>
    </row>
    <row r="209" spans="1:21" ht="14.25" customHeight="1">
      <c r="A209" s="26"/>
      <c r="B209" s="18"/>
      <c r="C209" s="18" t="s">
        <v>188</v>
      </c>
      <c r="D209" s="25"/>
      <c r="F209" s="200">
        <f>ROUND(669*1000/1936.27,0)</f>
        <v>346</v>
      </c>
      <c r="G209" s="246"/>
      <c r="H209" s="200">
        <f>ROUND(756*1000/1936.27,0)</f>
        <v>390</v>
      </c>
      <c r="I209" s="246"/>
      <c r="J209" s="200">
        <f>ROUND(885*1000/1936.27,0)</f>
        <v>457</v>
      </c>
      <c r="K209" s="246"/>
      <c r="L209" s="200">
        <f>ROUND(926*1000/1936.27,0)</f>
        <v>478</v>
      </c>
      <c r="M209" s="152"/>
      <c r="N209" s="200">
        <f>ROUND((1139000/1936.27),0)</f>
        <v>588</v>
      </c>
      <c r="O209" s="152"/>
      <c r="P209" s="200">
        <v>634</v>
      </c>
      <c r="Q209" s="152"/>
      <c r="R209" s="200">
        <v>622</v>
      </c>
      <c r="S209" s="152"/>
      <c r="T209" s="200">
        <v>741</v>
      </c>
      <c r="U209" s="152"/>
    </row>
    <row r="210" spans="1:41" ht="12.75">
      <c r="A210" s="26"/>
      <c r="B210" s="18"/>
      <c r="C210" s="18" t="s">
        <v>189</v>
      </c>
      <c r="D210" s="25"/>
      <c r="F210" s="200">
        <v>18</v>
      </c>
      <c r="G210" s="200">
        <v>0</v>
      </c>
      <c r="H210" s="200">
        <v>27</v>
      </c>
      <c r="I210" s="200">
        <v>0</v>
      </c>
      <c r="J210" s="200">
        <v>27</v>
      </c>
      <c r="K210" s="200">
        <v>0</v>
      </c>
      <c r="L210" s="200">
        <v>468</v>
      </c>
      <c r="M210" s="200">
        <v>435</v>
      </c>
      <c r="N210" s="200">
        <v>18</v>
      </c>
      <c r="O210" s="200">
        <v>0</v>
      </c>
      <c r="P210" s="200">
        <v>194</v>
      </c>
      <c r="Q210" s="200">
        <v>0</v>
      </c>
      <c r="R210" s="200">
        <v>198</v>
      </c>
      <c r="S210" s="200">
        <v>4</v>
      </c>
      <c r="T210" s="200">
        <v>159</v>
      </c>
      <c r="U210" s="200">
        <v>5</v>
      </c>
      <c r="V210" s="200">
        <v>0</v>
      </c>
      <c r="W210" s="200">
        <v>0</v>
      </c>
      <c r="X210" s="200">
        <v>0</v>
      </c>
      <c r="Y210" s="200">
        <v>0</v>
      </c>
      <c r="Z210" s="200">
        <v>0</v>
      </c>
      <c r="AA210" s="200">
        <v>0</v>
      </c>
      <c r="AB210" s="200">
        <v>0</v>
      </c>
      <c r="AC210" s="200">
        <v>0</v>
      </c>
      <c r="AD210" s="200">
        <v>0</v>
      </c>
      <c r="AE210" s="200">
        <v>0</v>
      </c>
      <c r="AF210" s="200">
        <v>0</v>
      </c>
      <c r="AG210" s="200">
        <v>0</v>
      </c>
      <c r="AH210" s="200">
        <v>0</v>
      </c>
      <c r="AI210" s="200">
        <v>0</v>
      </c>
      <c r="AJ210" s="200">
        <v>0</v>
      </c>
      <c r="AK210" s="200">
        <v>0</v>
      </c>
      <c r="AL210" s="200">
        <v>0</v>
      </c>
      <c r="AM210" s="200">
        <v>0</v>
      </c>
      <c r="AN210" s="200">
        <v>0</v>
      </c>
      <c r="AO210" s="200">
        <v>0</v>
      </c>
    </row>
    <row r="211" spans="1:21" ht="12.75">
      <c r="A211" s="134"/>
      <c r="B211" s="135" t="s">
        <v>51</v>
      </c>
      <c r="C211" s="136"/>
      <c r="D211" s="137"/>
      <c r="F211" s="201">
        <f aca="true" t="shared" si="40" ref="F211:U211">SUM(F212:F217)</f>
        <v>2670</v>
      </c>
      <c r="G211" s="201">
        <f t="shared" si="40"/>
        <v>0</v>
      </c>
      <c r="H211" s="201">
        <f t="shared" si="40"/>
        <v>2819</v>
      </c>
      <c r="I211" s="201">
        <f t="shared" si="40"/>
        <v>0</v>
      </c>
      <c r="J211" s="201">
        <f t="shared" si="40"/>
        <v>3149</v>
      </c>
      <c r="K211" s="201">
        <f t="shared" si="40"/>
        <v>0</v>
      </c>
      <c r="L211" s="201">
        <f t="shared" si="40"/>
        <v>3287</v>
      </c>
      <c r="M211" s="201">
        <f t="shared" si="40"/>
        <v>0</v>
      </c>
      <c r="N211" s="201">
        <f t="shared" si="40"/>
        <v>3312</v>
      </c>
      <c r="O211" s="201">
        <f t="shared" si="40"/>
        <v>0</v>
      </c>
      <c r="P211" s="201">
        <f t="shared" si="40"/>
        <v>3424</v>
      </c>
      <c r="Q211" s="201">
        <f t="shared" si="40"/>
        <v>0</v>
      </c>
      <c r="R211" s="201">
        <f t="shared" si="40"/>
        <v>3530</v>
      </c>
      <c r="S211" s="201">
        <f t="shared" si="40"/>
        <v>0</v>
      </c>
      <c r="T211" s="201">
        <f t="shared" si="40"/>
        <v>3386</v>
      </c>
      <c r="U211" s="201">
        <f t="shared" si="40"/>
        <v>0</v>
      </c>
    </row>
    <row r="212" spans="1:21" ht="12.75">
      <c r="A212" s="26"/>
      <c r="B212" s="18"/>
      <c r="C212" s="18" t="s">
        <v>43</v>
      </c>
      <c r="D212" s="25"/>
      <c r="F212" s="200">
        <f>ROUND(152*1000/1936.27,0)-2</f>
        <v>77</v>
      </c>
      <c r="G212" s="200"/>
      <c r="H212" s="200">
        <f>ROUND(355*1000/1936.27,0)</f>
        <v>183</v>
      </c>
      <c r="I212" s="200"/>
      <c r="J212" s="200">
        <f>ROUND(348*1000/1936.27,0)</f>
        <v>180</v>
      </c>
      <c r="K212" s="200"/>
      <c r="L212" s="200">
        <f>ROUND(407*1000/1936.27,0)+2</f>
        <v>212</v>
      </c>
      <c r="M212" s="200"/>
      <c r="N212" s="200">
        <f>ROUND((502000/1936.27),0)</f>
        <v>259</v>
      </c>
      <c r="O212" s="200"/>
      <c r="P212" s="200">
        <v>206</v>
      </c>
      <c r="Q212" s="200"/>
      <c r="R212" s="200">
        <v>158</v>
      </c>
      <c r="S212" s="200"/>
      <c r="T212" s="200">
        <v>156</v>
      </c>
      <c r="U212" s="200"/>
    </row>
    <row r="213" spans="1:21" ht="12.75">
      <c r="A213" s="26"/>
      <c r="B213" s="18"/>
      <c r="C213" s="18" t="s">
        <v>44</v>
      </c>
      <c r="D213" s="25"/>
      <c r="F213" s="200">
        <f>ROUND(3947*1000/1936.27,0)</f>
        <v>2038</v>
      </c>
      <c r="G213" s="246"/>
      <c r="H213" s="200">
        <f>ROUND(4193*1000/1936.27,0)</f>
        <v>2166</v>
      </c>
      <c r="I213" s="246"/>
      <c r="J213" s="200">
        <f>ROUND(4384*1000/1936.27,0)</f>
        <v>2264</v>
      </c>
      <c r="K213" s="246"/>
      <c r="L213" s="200">
        <f>ROUND(4506*1000/1936.27,0)+1</f>
        <v>2328</v>
      </c>
      <c r="M213" s="152"/>
      <c r="N213" s="200">
        <f>ROUND((4314000/1936.27),0)</f>
        <v>2228</v>
      </c>
      <c r="O213" s="152"/>
      <c r="P213" s="200">
        <v>2309</v>
      </c>
      <c r="Q213" s="152"/>
      <c r="R213" s="200">
        <v>2417</v>
      </c>
      <c r="S213" s="152"/>
      <c r="T213" s="200">
        <v>2305</v>
      </c>
      <c r="U213" s="152"/>
    </row>
    <row r="214" spans="1:21" ht="12.75">
      <c r="A214" s="26"/>
      <c r="B214" s="18"/>
      <c r="C214" s="18" t="s">
        <v>45</v>
      </c>
      <c r="D214" s="25"/>
      <c r="F214" s="200">
        <f>ROUND(0*1000/1936.27,0)</f>
        <v>0</v>
      </c>
      <c r="G214" s="246"/>
      <c r="H214" s="200">
        <f>ROUND(0*1000/1936.27,0)</f>
        <v>0</v>
      </c>
      <c r="I214" s="246"/>
      <c r="J214" s="200">
        <f>ROUND(0*1000/1936.27,0)</f>
        <v>0</v>
      </c>
      <c r="K214" s="246"/>
      <c r="L214" s="200">
        <v>0</v>
      </c>
      <c r="M214" s="152"/>
      <c r="N214" s="200">
        <v>0</v>
      </c>
      <c r="O214" s="152"/>
      <c r="P214" s="200">
        <v>46</v>
      </c>
      <c r="Q214" s="152"/>
      <c r="R214" s="200">
        <v>56</v>
      </c>
      <c r="S214" s="152"/>
      <c r="T214" s="200">
        <v>47</v>
      </c>
      <c r="U214" s="152"/>
    </row>
    <row r="215" spans="1:21" ht="12.75">
      <c r="A215" s="26"/>
      <c r="B215" s="18"/>
      <c r="C215" s="18" t="s">
        <v>46</v>
      </c>
      <c r="D215" s="25"/>
      <c r="F215" s="200">
        <f>ROUND(139*1000/1936.27,0)</f>
        <v>72</v>
      </c>
      <c r="G215" s="246"/>
      <c r="H215" s="200">
        <f>ROUND(0*1000/1936.27,0)</f>
        <v>0</v>
      </c>
      <c r="I215" s="246"/>
      <c r="J215" s="200">
        <f>ROUND(351*1000/1936.27,0)</f>
        <v>181</v>
      </c>
      <c r="K215" s="246"/>
      <c r="L215" s="200">
        <f>ROUND(262*1000/1936.27,0)</f>
        <v>135</v>
      </c>
      <c r="M215" s="152"/>
      <c r="N215" s="200">
        <f>ROUND((262000/1936.27),0)</f>
        <v>135</v>
      </c>
      <c r="O215" s="152"/>
      <c r="P215" s="200">
        <v>135</v>
      </c>
      <c r="Q215" s="152"/>
      <c r="R215" s="200">
        <v>169</v>
      </c>
      <c r="S215" s="152"/>
      <c r="T215" s="200">
        <v>214</v>
      </c>
      <c r="U215" s="152"/>
    </row>
    <row r="216" spans="1:21" ht="12.75">
      <c r="A216" s="26"/>
      <c r="B216" s="18"/>
      <c r="C216" s="18" t="s">
        <v>188</v>
      </c>
      <c r="D216" s="25"/>
      <c r="F216" s="200">
        <f>ROUND((1062-139)*1000/1936.27,0)</f>
        <v>477</v>
      </c>
      <c r="G216" s="246"/>
      <c r="H216" s="200">
        <f>ROUND(876*1000/1936.27,0)</f>
        <v>452</v>
      </c>
      <c r="I216" s="246"/>
      <c r="J216" s="200">
        <f>ROUND((1331-351)*1000/1936.27,0)</f>
        <v>506</v>
      </c>
      <c r="K216" s="246"/>
      <c r="L216" s="200">
        <f>ROUND((1405-262)*1000/1936.27,0)</f>
        <v>590</v>
      </c>
      <c r="M216" s="152"/>
      <c r="N216" s="200">
        <f>ROUND((1295000/1936.27),0)</f>
        <v>669</v>
      </c>
      <c r="O216" s="152"/>
      <c r="P216" s="200">
        <v>656</v>
      </c>
      <c r="Q216" s="152"/>
      <c r="R216" s="200">
        <v>650</v>
      </c>
      <c r="S216" s="152"/>
      <c r="T216" s="200">
        <v>584</v>
      </c>
      <c r="U216" s="152"/>
    </row>
    <row r="217" spans="1:21" ht="12.75">
      <c r="A217" s="26"/>
      <c r="B217" s="18"/>
      <c r="C217" s="18" t="s">
        <v>189</v>
      </c>
      <c r="D217" s="25"/>
      <c r="F217" s="196">
        <v>6</v>
      </c>
      <c r="G217" s="196">
        <v>0</v>
      </c>
      <c r="H217" s="200">
        <v>18</v>
      </c>
      <c r="I217" s="200">
        <v>0</v>
      </c>
      <c r="J217" s="200">
        <v>18</v>
      </c>
      <c r="K217" s="200">
        <v>0</v>
      </c>
      <c r="L217" s="200">
        <v>22</v>
      </c>
      <c r="M217" s="200">
        <v>0</v>
      </c>
      <c r="N217" s="200">
        <v>21</v>
      </c>
      <c r="O217" s="200">
        <v>0</v>
      </c>
      <c r="P217" s="200">
        <v>72</v>
      </c>
      <c r="Q217" s="200">
        <v>0</v>
      </c>
      <c r="R217" s="200">
        <v>80</v>
      </c>
      <c r="S217" s="200">
        <v>0</v>
      </c>
      <c r="T217" s="200">
        <v>80</v>
      </c>
      <c r="U217" s="200">
        <v>0</v>
      </c>
    </row>
    <row r="218" spans="1:21" ht="12.75">
      <c r="A218" s="134"/>
      <c r="B218" s="135" t="s">
        <v>52</v>
      </c>
      <c r="C218" s="136"/>
      <c r="D218" s="137"/>
      <c r="F218" s="199">
        <f aca="true" t="shared" si="41" ref="F218:U218">SUM(F219:F224)</f>
        <v>2606</v>
      </c>
      <c r="G218" s="199">
        <f t="shared" si="41"/>
        <v>0</v>
      </c>
      <c r="H218" s="201">
        <f t="shared" si="41"/>
        <v>2725</v>
      </c>
      <c r="I218" s="201">
        <f t="shared" si="41"/>
        <v>0</v>
      </c>
      <c r="J218" s="201">
        <f t="shared" si="41"/>
        <v>2991</v>
      </c>
      <c r="K218" s="201">
        <f t="shared" si="41"/>
        <v>0</v>
      </c>
      <c r="L218" s="201">
        <f t="shared" si="41"/>
        <v>3212</v>
      </c>
      <c r="M218" s="201">
        <f t="shared" si="41"/>
        <v>42</v>
      </c>
      <c r="N218" s="201">
        <f t="shared" si="41"/>
        <v>3484</v>
      </c>
      <c r="O218" s="201">
        <f t="shared" si="41"/>
        <v>0</v>
      </c>
      <c r="P218" s="201">
        <f t="shared" si="41"/>
        <v>3564</v>
      </c>
      <c r="Q218" s="201">
        <f t="shared" si="41"/>
        <v>0</v>
      </c>
      <c r="R218" s="201">
        <f t="shared" si="41"/>
        <v>3958</v>
      </c>
      <c r="S218" s="201">
        <f t="shared" si="41"/>
        <v>0</v>
      </c>
      <c r="T218" s="201">
        <f t="shared" si="41"/>
        <v>4002</v>
      </c>
      <c r="U218" s="201">
        <f t="shared" si="41"/>
        <v>0</v>
      </c>
    </row>
    <row r="219" spans="1:21" ht="12.75">
      <c r="A219" s="26"/>
      <c r="B219" s="18"/>
      <c r="C219" s="18" t="s">
        <v>43</v>
      </c>
      <c r="D219" s="30"/>
      <c r="F219" s="200">
        <f>ROUND(127*1000/1936.27,0)-1</f>
        <v>65</v>
      </c>
      <c r="G219" s="200"/>
      <c r="H219" s="200">
        <f>ROUND(325*1000/1936.27,0)</f>
        <v>168</v>
      </c>
      <c r="I219" s="200"/>
      <c r="J219" s="200">
        <f>ROUND(550*1000/1936.27,0)</f>
        <v>284</v>
      </c>
      <c r="K219" s="200"/>
      <c r="L219" s="200">
        <f>ROUND(305*1000/1936.27,0)</f>
        <v>158</v>
      </c>
      <c r="M219" s="200"/>
      <c r="N219" s="200">
        <f>ROUND((307000/1936.27),0)</f>
        <v>159</v>
      </c>
      <c r="O219" s="200"/>
      <c r="P219" s="200">
        <v>192</v>
      </c>
      <c r="Q219" s="200"/>
      <c r="R219" s="200">
        <v>198</v>
      </c>
      <c r="S219" s="200"/>
      <c r="T219" s="200">
        <v>187</v>
      </c>
      <c r="U219" s="200"/>
    </row>
    <row r="220" spans="1:21" ht="12.75">
      <c r="A220" s="26"/>
      <c r="B220" s="18"/>
      <c r="C220" s="18" t="s">
        <v>44</v>
      </c>
      <c r="D220" s="25"/>
      <c r="F220" s="200">
        <f>ROUND(4073*1000/1936.27,0)</f>
        <v>2104</v>
      </c>
      <c r="G220" s="246"/>
      <c r="H220" s="200">
        <f>ROUND(3976*1000/1936.27,0)</f>
        <v>2053</v>
      </c>
      <c r="I220" s="246"/>
      <c r="J220" s="200">
        <f>ROUND(4057*1000/1936.27,0)</f>
        <v>2095</v>
      </c>
      <c r="K220" s="246"/>
      <c r="L220" s="200">
        <f>ROUND(4748*1000/1936.27,0)+1</f>
        <v>2453</v>
      </c>
      <c r="M220" s="152">
        <f>ROUND(81600/1936.27,0)</f>
        <v>42</v>
      </c>
      <c r="N220" s="200">
        <f>ROUND((4982000/1936.27),0)</f>
        <v>2573</v>
      </c>
      <c r="O220" s="152"/>
      <c r="P220" s="200">
        <v>2528</v>
      </c>
      <c r="Q220" s="152"/>
      <c r="R220" s="200">
        <v>2798</v>
      </c>
      <c r="S220" s="152"/>
      <c r="T220" s="200">
        <v>2787</v>
      </c>
      <c r="U220" s="152"/>
    </row>
    <row r="221" spans="1:21" ht="12.75">
      <c r="A221" s="26"/>
      <c r="B221" s="18"/>
      <c r="C221" s="18" t="s">
        <v>45</v>
      </c>
      <c r="D221" s="25"/>
      <c r="F221" s="200">
        <f>ROUND(0*1000/1936.27,0)</f>
        <v>0</v>
      </c>
      <c r="G221" s="246"/>
      <c r="H221" s="200">
        <f>ROUND(0*1000/1936.27,0)</f>
        <v>0</v>
      </c>
      <c r="I221" s="246"/>
      <c r="J221" s="200">
        <f>ROUND(0*1000/1936.27,0)</f>
        <v>0</v>
      </c>
      <c r="K221" s="246"/>
      <c r="L221" s="200">
        <v>0</v>
      </c>
      <c r="M221" s="152"/>
      <c r="N221" s="200">
        <v>0</v>
      </c>
      <c r="O221" s="152"/>
      <c r="P221" s="200">
        <v>59</v>
      </c>
      <c r="Q221" s="152"/>
      <c r="R221" s="200">
        <v>46</v>
      </c>
      <c r="S221" s="152"/>
      <c r="T221" s="200">
        <v>78</v>
      </c>
      <c r="U221" s="152"/>
    </row>
    <row r="222" spans="1:21" ht="12.75">
      <c r="A222" s="26"/>
      <c r="B222" s="18"/>
      <c r="C222" s="18" t="s">
        <v>46</v>
      </c>
      <c r="D222" s="25"/>
      <c r="F222" s="200">
        <f>ROUND(89*1000/1936.27,0)</f>
        <v>46</v>
      </c>
      <c r="G222" s="246"/>
      <c r="H222" s="200">
        <f>ROUND(25*1000/1936.27,0)</f>
        <v>13</v>
      </c>
      <c r="I222" s="246"/>
      <c r="J222" s="200">
        <f>ROUND(136*1000/1936.27,0)</f>
        <v>70</v>
      </c>
      <c r="K222" s="246"/>
      <c r="L222" s="200">
        <f>ROUND(113*1000/1936.27,0)</f>
        <v>58</v>
      </c>
      <c r="M222" s="152"/>
      <c r="N222" s="200">
        <f>ROUND((98000/1936.27),0)</f>
        <v>51</v>
      </c>
      <c r="O222" s="152"/>
      <c r="P222" s="200">
        <v>108</v>
      </c>
      <c r="Q222" s="152"/>
      <c r="R222" s="200">
        <v>83</v>
      </c>
      <c r="S222" s="152"/>
      <c r="T222" s="200">
        <v>123</v>
      </c>
      <c r="U222" s="152"/>
    </row>
    <row r="223" spans="1:21" ht="12.75">
      <c r="A223" s="26"/>
      <c r="B223" s="18"/>
      <c r="C223" s="18" t="s">
        <v>188</v>
      </c>
      <c r="D223" s="25"/>
      <c r="F223" s="200">
        <f>ROUND((825-89)*1000/1936.27,0)</f>
        <v>380</v>
      </c>
      <c r="G223" s="246"/>
      <c r="H223" s="200">
        <f>ROUND((815-25)*1000/1936.27,0)</f>
        <v>408</v>
      </c>
      <c r="I223" s="246"/>
      <c r="J223" s="200">
        <f>ROUND((989-136)*1000/1936.27,0)</f>
        <v>441</v>
      </c>
      <c r="K223" s="246"/>
      <c r="L223" s="200">
        <f>ROUND((975-113)*1000/1936.27,0)</f>
        <v>445</v>
      </c>
      <c r="M223" s="152"/>
      <c r="N223" s="200">
        <f>ROUND((1143000/1936.27),0)</f>
        <v>590</v>
      </c>
      <c r="O223" s="152"/>
      <c r="P223" s="200">
        <v>583</v>
      </c>
      <c r="Q223" s="152"/>
      <c r="R223" s="200">
        <v>718</v>
      </c>
      <c r="S223" s="152"/>
      <c r="T223" s="200">
        <v>730</v>
      </c>
      <c r="U223" s="152"/>
    </row>
    <row r="224" spans="1:21" ht="12.75">
      <c r="A224" s="132"/>
      <c r="B224" s="32"/>
      <c r="C224" s="32" t="s">
        <v>189</v>
      </c>
      <c r="D224" s="133"/>
      <c r="E224" s="296"/>
      <c r="F224" s="196">
        <v>11</v>
      </c>
      <c r="G224" s="196">
        <v>0</v>
      </c>
      <c r="H224" s="196">
        <v>83</v>
      </c>
      <c r="I224" s="196">
        <v>0</v>
      </c>
      <c r="J224" s="196">
        <v>101</v>
      </c>
      <c r="K224" s="196">
        <v>0</v>
      </c>
      <c r="L224" s="196">
        <v>98</v>
      </c>
      <c r="M224" s="196">
        <v>0</v>
      </c>
      <c r="N224" s="196">
        <v>111</v>
      </c>
      <c r="O224" s="196">
        <v>0</v>
      </c>
      <c r="P224" s="196">
        <v>94</v>
      </c>
      <c r="Q224" s="196">
        <v>0</v>
      </c>
      <c r="R224" s="196">
        <v>115</v>
      </c>
      <c r="S224" s="196">
        <v>0</v>
      </c>
      <c r="T224" s="196">
        <v>97</v>
      </c>
      <c r="U224" s="196">
        <v>0</v>
      </c>
    </row>
    <row r="225" spans="1:21" ht="12.75">
      <c r="A225" s="134"/>
      <c r="B225" s="135" t="s">
        <v>53</v>
      </c>
      <c r="C225" s="136"/>
      <c r="D225" s="137"/>
      <c r="E225" s="146"/>
      <c r="F225" s="201">
        <f aca="true" t="shared" si="42" ref="F225:M225">SUM(F226:F231)</f>
        <v>2757</v>
      </c>
      <c r="G225" s="201">
        <f t="shared" si="42"/>
        <v>0</v>
      </c>
      <c r="H225" s="201">
        <f t="shared" si="42"/>
        <v>3059</v>
      </c>
      <c r="I225" s="201">
        <f t="shared" si="42"/>
        <v>0</v>
      </c>
      <c r="J225" s="201">
        <f t="shared" si="42"/>
        <v>3122</v>
      </c>
      <c r="K225" s="201">
        <f t="shared" si="42"/>
        <v>0</v>
      </c>
      <c r="L225" s="201">
        <f t="shared" si="42"/>
        <v>3371.5</v>
      </c>
      <c r="M225" s="201">
        <f t="shared" si="42"/>
        <v>0</v>
      </c>
      <c r="N225" s="201">
        <f>SUM(N226:N231)-1</f>
        <v>3499</v>
      </c>
      <c r="O225" s="201">
        <f aca="true" t="shared" si="43" ref="O225:U225">SUM(O226:O231)</f>
        <v>0</v>
      </c>
      <c r="P225" s="201">
        <f t="shared" si="43"/>
        <v>3534</v>
      </c>
      <c r="Q225" s="201">
        <f t="shared" si="43"/>
        <v>0</v>
      </c>
      <c r="R225" s="201">
        <f t="shared" si="43"/>
        <v>3814</v>
      </c>
      <c r="S225" s="201">
        <f t="shared" si="43"/>
        <v>0</v>
      </c>
      <c r="T225" s="201">
        <f t="shared" si="43"/>
        <v>3838</v>
      </c>
      <c r="U225" s="201">
        <f t="shared" si="43"/>
        <v>0</v>
      </c>
    </row>
    <row r="226" spans="1:21" ht="12.75">
      <c r="A226" s="26"/>
      <c r="B226" s="18"/>
      <c r="C226" s="18" t="s">
        <v>43</v>
      </c>
      <c r="D226" s="25"/>
      <c r="F226" s="200">
        <f>ROUND(147*1000/1936.27,0)</f>
        <v>76</v>
      </c>
      <c r="G226" s="200"/>
      <c r="H226" s="200">
        <f>ROUND(312*1000/1936.27,0)+1</f>
        <v>162</v>
      </c>
      <c r="I226" s="200"/>
      <c r="J226" s="200">
        <f>ROUND(347*1000/1936.27,0)</f>
        <v>179</v>
      </c>
      <c r="K226" s="200"/>
      <c r="L226" s="200">
        <f>ROUND(397*1000/1936.27,0)</f>
        <v>205</v>
      </c>
      <c r="M226" s="200"/>
      <c r="N226" s="200">
        <f>ROUND((448000/1936.27),0)</f>
        <v>231</v>
      </c>
      <c r="O226" s="200"/>
      <c r="P226" s="200">
        <v>197</v>
      </c>
      <c r="Q226" s="200"/>
      <c r="R226" s="200">
        <v>211</v>
      </c>
      <c r="S226" s="200"/>
      <c r="T226" s="200">
        <v>172</v>
      </c>
      <c r="U226" s="200"/>
    </row>
    <row r="227" spans="1:21" ht="12.75">
      <c r="A227" s="26"/>
      <c r="B227" s="18"/>
      <c r="C227" s="18" t="s">
        <v>44</v>
      </c>
      <c r="D227" s="25"/>
      <c r="F227" s="200">
        <f>ROUND(3852*1000/1936.27,0)</f>
        <v>1989</v>
      </c>
      <c r="G227" s="246"/>
      <c r="H227" s="200">
        <f>ROUND(4189*1000/1936.27,0)</f>
        <v>2163</v>
      </c>
      <c r="I227" s="246"/>
      <c r="J227" s="200">
        <f>ROUND(4364*1000/1936.27,0)</f>
        <v>2254</v>
      </c>
      <c r="K227" s="246"/>
      <c r="L227" s="200">
        <f>ROUND(4632*1000/1936.27,0)+0.5</f>
        <v>2392.5</v>
      </c>
      <c r="M227" s="152"/>
      <c r="N227" s="200">
        <f>ROUND((4482000/1936.27),0)</f>
        <v>2315</v>
      </c>
      <c r="O227" s="152"/>
      <c r="P227" s="200">
        <v>2265</v>
      </c>
      <c r="Q227" s="152"/>
      <c r="R227" s="200">
        <v>2499</v>
      </c>
      <c r="S227" s="152"/>
      <c r="T227" s="200">
        <v>2503</v>
      </c>
      <c r="U227" s="152"/>
    </row>
    <row r="228" spans="1:21" ht="12.75">
      <c r="A228" s="26"/>
      <c r="B228" s="18"/>
      <c r="C228" s="18" t="s">
        <v>45</v>
      </c>
      <c r="D228" s="25"/>
      <c r="F228" s="200">
        <f>ROUND(0*1000/1936.27,0)</f>
        <v>0</v>
      </c>
      <c r="G228" s="246"/>
      <c r="H228" s="200">
        <f>ROUND(0*1000/1936.27,0)</f>
        <v>0</v>
      </c>
      <c r="I228" s="246"/>
      <c r="J228" s="200">
        <f>ROUND(0*1000/1936.27,0)</f>
        <v>0</v>
      </c>
      <c r="K228" s="246"/>
      <c r="L228" s="200">
        <v>0</v>
      </c>
      <c r="M228" s="152"/>
      <c r="N228" s="200">
        <v>0</v>
      </c>
      <c r="O228" s="152"/>
      <c r="P228" s="200">
        <v>32</v>
      </c>
      <c r="Q228" s="152"/>
      <c r="R228" s="200">
        <v>40</v>
      </c>
      <c r="S228" s="152"/>
      <c r="T228" s="200">
        <v>43</v>
      </c>
      <c r="U228" s="152"/>
    </row>
    <row r="229" spans="1:21" ht="12.75">
      <c r="A229" s="26"/>
      <c r="B229" s="18"/>
      <c r="C229" s="18" t="s">
        <v>46</v>
      </c>
      <c r="D229" s="25"/>
      <c r="F229" s="200">
        <f>ROUND(13*1000/1936.27,0)</f>
        <v>7</v>
      </c>
      <c r="G229" s="246"/>
      <c r="H229" s="200">
        <f>ROUND(0*1000/1936.27,0)</f>
        <v>0</v>
      </c>
      <c r="I229" s="246"/>
      <c r="J229" s="200">
        <v>0</v>
      </c>
      <c r="K229" s="246"/>
      <c r="L229" s="200">
        <v>0</v>
      </c>
      <c r="M229" s="152"/>
      <c r="N229" s="200">
        <f>ROUND((56000/1936.27),0)</f>
        <v>29</v>
      </c>
      <c r="O229" s="152"/>
      <c r="P229" s="200">
        <v>29</v>
      </c>
      <c r="Q229" s="152"/>
      <c r="R229" s="200">
        <v>35</v>
      </c>
      <c r="S229" s="152"/>
      <c r="T229" s="200">
        <v>44</v>
      </c>
      <c r="U229" s="152"/>
    </row>
    <row r="230" spans="1:21" ht="12.75">
      <c r="A230" s="26"/>
      <c r="B230" s="18"/>
      <c r="C230" s="18" t="s">
        <v>188</v>
      </c>
      <c r="D230" s="25"/>
      <c r="F230" s="200">
        <f>ROUND((1200)*1000/1936.27,0)</f>
        <v>620</v>
      </c>
      <c r="G230" s="246"/>
      <c r="H230" s="200">
        <f>ROUND(1272*1000/1936.27,0)</f>
        <v>657</v>
      </c>
      <c r="I230" s="246"/>
      <c r="J230" s="200">
        <f>ROUND(1271*1000/1936.27,0)</f>
        <v>656</v>
      </c>
      <c r="K230" s="246"/>
      <c r="L230" s="200">
        <f>ROUND(1301*1000/1936.27,0)</f>
        <v>672</v>
      </c>
      <c r="M230" s="152"/>
      <c r="N230" s="200">
        <f>ROUND((1587000/1936.27),0)</f>
        <v>820</v>
      </c>
      <c r="O230" s="152"/>
      <c r="P230" s="200">
        <v>849</v>
      </c>
      <c r="Q230" s="152"/>
      <c r="R230" s="200">
        <v>898</v>
      </c>
      <c r="S230" s="152"/>
      <c r="T230" s="200">
        <v>984</v>
      </c>
      <c r="U230" s="152"/>
    </row>
    <row r="231" spans="1:21" ht="12.75">
      <c r="A231" s="26"/>
      <c r="B231" s="18"/>
      <c r="C231" s="18" t="s">
        <v>189</v>
      </c>
      <c r="D231" s="25"/>
      <c r="F231" s="200">
        <v>65</v>
      </c>
      <c r="G231" s="200">
        <v>0</v>
      </c>
      <c r="H231" s="200">
        <v>77</v>
      </c>
      <c r="I231" s="200">
        <v>0</v>
      </c>
      <c r="J231" s="200">
        <v>33</v>
      </c>
      <c r="K231" s="200">
        <v>0</v>
      </c>
      <c r="L231" s="200">
        <v>102</v>
      </c>
      <c r="M231" s="200">
        <v>0</v>
      </c>
      <c r="N231" s="200">
        <v>105</v>
      </c>
      <c r="O231" s="200">
        <v>0</v>
      </c>
      <c r="P231" s="200">
        <v>162</v>
      </c>
      <c r="Q231" s="200">
        <v>0</v>
      </c>
      <c r="R231" s="200">
        <v>131</v>
      </c>
      <c r="S231" s="200">
        <v>0</v>
      </c>
      <c r="T231" s="200">
        <v>92</v>
      </c>
      <c r="U231" s="200">
        <v>0</v>
      </c>
    </row>
    <row r="232" spans="1:21" ht="12.75">
      <c r="A232" s="134"/>
      <c r="B232" s="135" t="s">
        <v>54</v>
      </c>
      <c r="C232" s="136"/>
      <c r="D232" s="137"/>
      <c r="F232" s="201">
        <f aca="true" t="shared" si="44" ref="F232:U232">SUM(F233:F238)</f>
        <v>3033</v>
      </c>
      <c r="G232" s="201">
        <f t="shared" si="44"/>
        <v>0</v>
      </c>
      <c r="H232" s="201">
        <f t="shared" si="44"/>
        <v>3315</v>
      </c>
      <c r="I232" s="201">
        <f t="shared" si="44"/>
        <v>0</v>
      </c>
      <c r="J232" s="201">
        <f t="shared" si="44"/>
        <v>3641</v>
      </c>
      <c r="K232" s="201">
        <f t="shared" si="44"/>
        <v>0</v>
      </c>
      <c r="L232" s="201">
        <f t="shared" si="44"/>
        <v>3968</v>
      </c>
      <c r="M232" s="201">
        <f t="shared" si="44"/>
        <v>15</v>
      </c>
      <c r="N232" s="201">
        <f t="shared" si="44"/>
        <v>4162</v>
      </c>
      <c r="O232" s="201">
        <f t="shared" si="44"/>
        <v>15.493706972684596</v>
      </c>
      <c r="P232" s="201">
        <f t="shared" si="44"/>
        <v>4559</v>
      </c>
      <c r="Q232" s="201">
        <f t="shared" si="44"/>
        <v>5</v>
      </c>
      <c r="R232" s="201">
        <f t="shared" si="44"/>
        <v>4505</v>
      </c>
      <c r="S232" s="201">
        <f t="shared" si="44"/>
        <v>0</v>
      </c>
      <c r="T232" s="201">
        <f t="shared" si="44"/>
        <v>4629</v>
      </c>
      <c r="U232" s="201">
        <f t="shared" si="44"/>
        <v>15</v>
      </c>
    </row>
    <row r="233" spans="1:21" ht="12.75">
      <c r="A233" s="26"/>
      <c r="B233" s="31"/>
      <c r="C233" s="18" t="s">
        <v>43</v>
      </c>
      <c r="D233" s="25"/>
      <c r="F233" s="200">
        <f>ROUND(306*1000/1936.27,0)-1</f>
        <v>157</v>
      </c>
      <c r="G233" s="200"/>
      <c r="H233" s="200">
        <f>ROUND(673*1000/1936.27,0)</f>
        <v>348</v>
      </c>
      <c r="I233" s="200"/>
      <c r="J233" s="200">
        <f>ROUND(714*1000/1936.27,0)+1</f>
        <v>370</v>
      </c>
      <c r="K233" s="200"/>
      <c r="L233" s="200">
        <f>ROUND(674*1000/1936.27,0)+1</f>
        <v>349</v>
      </c>
      <c r="M233" s="200"/>
      <c r="N233" s="200">
        <f>ROUND((598000/1936.27),0)</f>
        <v>309</v>
      </c>
      <c r="O233" s="200"/>
      <c r="P233" s="200">
        <v>289</v>
      </c>
      <c r="Q233" s="200"/>
      <c r="R233" s="200">
        <v>199</v>
      </c>
      <c r="S233" s="200"/>
      <c r="T233" s="200">
        <v>263</v>
      </c>
      <c r="U233" s="200"/>
    </row>
    <row r="234" spans="1:21" ht="12.75">
      <c r="A234" s="26"/>
      <c r="B234" s="31"/>
      <c r="C234" s="18" t="s">
        <v>44</v>
      </c>
      <c r="D234" s="25"/>
      <c r="F234" s="200">
        <f>ROUND(4292*1000/1936.27,0)</f>
        <v>2217</v>
      </c>
      <c r="G234" s="154"/>
      <c r="H234" s="200">
        <f>ROUND(4398*1000/1936.27,0)</f>
        <v>2271</v>
      </c>
      <c r="I234" s="154"/>
      <c r="J234" s="200">
        <f>ROUND(4726*1000/1936.27,0)</f>
        <v>2441</v>
      </c>
      <c r="K234" s="154"/>
      <c r="L234" s="200">
        <f>ROUND(5196*1000/1936.27,0)</f>
        <v>2684</v>
      </c>
      <c r="M234" s="154"/>
      <c r="N234" s="200">
        <f>ROUND((5430000/1936.27),0)</f>
        <v>2804</v>
      </c>
      <c r="O234" s="154">
        <f>30/1.93627</f>
        <v>15.493706972684596</v>
      </c>
      <c r="P234" s="200">
        <v>2883</v>
      </c>
      <c r="Q234" s="154"/>
      <c r="R234" s="200">
        <v>2919</v>
      </c>
      <c r="S234" s="154"/>
      <c r="T234" s="200">
        <v>2929</v>
      </c>
      <c r="U234" s="154"/>
    </row>
    <row r="235" spans="1:21" ht="12.75">
      <c r="A235" s="26"/>
      <c r="B235" s="31"/>
      <c r="C235" s="18" t="s">
        <v>45</v>
      </c>
      <c r="D235" s="25"/>
      <c r="F235" s="200">
        <f>ROUND(0*1000/1936.27,0)</f>
        <v>0</v>
      </c>
      <c r="G235" s="154"/>
      <c r="H235" s="200">
        <f>ROUND(0*1000/1936.27,0)</f>
        <v>0</v>
      </c>
      <c r="I235" s="154"/>
      <c r="J235" s="200">
        <f>ROUND(0*1000/1936.27,0)</f>
        <v>0</v>
      </c>
      <c r="K235" s="154"/>
      <c r="L235" s="200">
        <v>0</v>
      </c>
      <c r="M235" s="154"/>
      <c r="N235" s="200">
        <v>0</v>
      </c>
      <c r="O235" s="154"/>
      <c r="P235" s="200">
        <v>58</v>
      </c>
      <c r="Q235" s="154"/>
      <c r="R235" s="200">
        <v>79</v>
      </c>
      <c r="S235" s="154"/>
      <c r="T235" s="200">
        <v>50</v>
      </c>
      <c r="U235" s="154"/>
    </row>
    <row r="236" spans="1:21" ht="12.75">
      <c r="A236" s="26"/>
      <c r="B236" s="31"/>
      <c r="C236" s="18" t="s">
        <v>46</v>
      </c>
      <c r="D236" s="25"/>
      <c r="F236" s="200">
        <f>ROUND(127*1000/1936.27,0)</f>
        <v>66</v>
      </c>
      <c r="G236" s="154"/>
      <c r="H236" s="200">
        <f>ROUND(34*1000/1936.27,0)</f>
        <v>18</v>
      </c>
      <c r="I236" s="154"/>
      <c r="J236" s="200">
        <f>ROUND(134*1000/1936.27,0)</f>
        <v>69</v>
      </c>
      <c r="K236" s="154"/>
      <c r="L236" s="200">
        <f>ROUND(110*1000/1936.27,0)</f>
        <v>57</v>
      </c>
      <c r="M236" s="154"/>
      <c r="N236" s="200">
        <f>ROUND((139000/1936.27),0)</f>
        <v>72</v>
      </c>
      <c r="O236" s="154"/>
      <c r="P236" s="200">
        <v>72</v>
      </c>
      <c r="Q236" s="154"/>
      <c r="R236" s="200">
        <v>85</v>
      </c>
      <c r="S236" s="154"/>
      <c r="T236" s="200">
        <v>118</v>
      </c>
      <c r="U236" s="154"/>
    </row>
    <row r="237" spans="1:21" ht="12.75">
      <c r="A237" s="26"/>
      <c r="B237" s="31"/>
      <c r="C237" s="18" t="s">
        <v>188</v>
      </c>
      <c r="D237" s="25"/>
      <c r="F237" s="200">
        <f>ROUND((1038-127)*1000/1936.27,0)</f>
        <v>470</v>
      </c>
      <c r="G237" s="154"/>
      <c r="H237" s="200">
        <f>ROUND((1049-34)*1000/1936.27,0)</f>
        <v>524</v>
      </c>
      <c r="I237" s="154"/>
      <c r="J237" s="200">
        <f>ROUND((1251-134)*1000/1936.27,0)</f>
        <v>577</v>
      </c>
      <c r="K237" s="154"/>
      <c r="L237" s="200">
        <f>ROUND((1487-110)*1000/1936.27,0)</f>
        <v>711</v>
      </c>
      <c r="M237" s="154"/>
      <c r="N237" s="200">
        <f>ROUND((1589000/1936.27),0)</f>
        <v>821</v>
      </c>
      <c r="O237" s="154"/>
      <c r="P237" s="200">
        <v>924</v>
      </c>
      <c r="Q237" s="154"/>
      <c r="R237" s="200">
        <v>853</v>
      </c>
      <c r="S237" s="154"/>
      <c r="T237" s="200">
        <v>949</v>
      </c>
      <c r="U237" s="154"/>
    </row>
    <row r="238" spans="1:21" ht="12.75">
      <c r="A238" s="26"/>
      <c r="B238" s="31"/>
      <c r="C238" s="18" t="s">
        <v>189</v>
      </c>
      <c r="D238" s="25"/>
      <c r="F238" s="196">
        <v>123</v>
      </c>
      <c r="G238" s="196">
        <v>0</v>
      </c>
      <c r="H238" s="196">
        <v>154</v>
      </c>
      <c r="I238" s="196">
        <v>0</v>
      </c>
      <c r="J238" s="196">
        <v>184</v>
      </c>
      <c r="K238" s="196">
        <v>0</v>
      </c>
      <c r="L238" s="196">
        <v>167</v>
      </c>
      <c r="M238" s="196">
        <v>15</v>
      </c>
      <c r="N238" s="196">
        <v>156</v>
      </c>
      <c r="O238" s="196">
        <v>0</v>
      </c>
      <c r="P238" s="196">
        <v>333</v>
      </c>
      <c r="Q238" s="196">
        <v>5</v>
      </c>
      <c r="R238" s="196">
        <v>370</v>
      </c>
      <c r="S238" s="196">
        <v>0</v>
      </c>
      <c r="T238" s="196">
        <v>320</v>
      </c>
      <c r="U238" s="196">
        <v>15</v>
      </c>
    </row>
    <row r="239" spans="1:21" ht="15.75">
      <c r="A239" s="283" t="s">
        <v>58</v>
      </c>
      <c r="B239" s="284"/>
      <c r="C239" s="284"/>
      <c r="D239" s="285"/>
      <c r="E239" s="125"/>
      <c r="F239" s="202">
        <f>+F175+F168+F156+F132+F99+F76+F54+F50+F43+F40+F36+F30+F27+F26+F25+F24+F12+F9+F18+F28+F59+F58+F29</f>
        <v>93007</v>
      </c>
      <c r="G239" s="202">
        <f aca="true" t="shared" si="45" ref="G239:O239">+G175+G168+G156+G132+G99+G76+G54+G50+G43+G40+G36+G30+G27+G26+G25+G24+G12+G9+G18+G28+G59+G58</f>
        <v>5712</v>
      </c>
      <c r="H239" s="202">
        <f t="shared" si="45"/>
        <v>113908</v>
      </c>
      <c r="I239" s="202">
        <f t="shared" si="45"/>
        <v>8376</v>
      </c>
      <c r="J239" s="202">
        <f t="shared" si="45"/>
        <v>113933</v>
      </c>
      <c r="K239" s="202">
        <f t="shared" si="45"/>
        <v>14721</v>
      </c>
      <c r="L239" s="202">
        <f t="shared" si="45"/>
        <v>128265</v>
      </c>
      <c r="M239" s="202">
        <f t="shared" si="45"/>
        <v>19397</v>
      </c>
      <c r="N239" s="202">
        <f t="shared" si="45"/>
        <v>127825</v>
      </c>
      <c r="O239" s="202">
        <f t="shared" si="45"/>
        <v>15915.873571351103</v>
      </c>
      <c r="P239" s="202">
        <f aca="true" t="shared" si="46" ref="P239:U239">+P175+P168+P156+P132+P99+P76+P54+P50+P43+P40+P36+P30+P27+P26+P25+P24+P12+P9+P18+P28+P59+P58+P29</f>
        <v>138404</v>
      </c>
      <c r="Q239" s="202">
        <f t="shared" si="46"/>
        <v>21084</v>
      </c>
      <c r="R239" s="202">
        <f t="shared" si="46"/>
        <v>144124</v>
      </c>
      <c r="S239" s="202">
        <f t="shared" si="46"/>
        <v>22419</v>
      </c>
      <c r="T239" s="202">
        <f t="shared" si="46"/>
        <v>151822</v>
      </c>
      <c r="U239" s="202">
        <f t="shared" si="46"/>
        <v>23539</v>
      </c>
    </row>
    <row r="240" ht="6" customHeight="1">
      <c r="A240" s="58"/>
    </row>
    <row r="241" spans="1:21" ht="12.75">
      <c r="A241" s="37" t="s">
        <v>120</v>
      </c>
      <c r="P241" s="71"/>
      <c r="Q241" s="71"/>
      <c r="R241" s="71"/>
      <c r="S241" s="71"/>
      <c r="T241" s="71"/>
      <c r="U241" s="71"/>
    </row>
    <row r="242" ht="12.75">
      <c r="A242" s="37" t="s">
        <v>206</v>
      </c>
    </row>
    <row r="243" ht="3" customHeight="1"/>
    <row r="244" ht="12.75">
      <c r="A244" s="75" t="s">
        <v>162</v>
      </c>
    </row>
    <row r="245" ht="12.75">
      <c r="A245" s="58"/>
    </row>
    <row r="246" spans="1:14" ht="12.75">
      <c r="A246" s="58"/>
      <c r="N246" s="177"/>
    </row>
    <row r="247" ht="12.75">
      <c r="A247" s="37"/>
    </row>
    <row r="248" ht="12.75">
      <c r="A248" s="37"/>
    </row>
    <row r="249" spans="1:44" s="1" customFormat="1" ht="12.75">
      <c r="A249" s="37"/>
      <c r="B249" s="4"/>
      <c r="C249" s="4"/>
      <c r="D249" s="5"/>
      <c r="E249"/>
      <c r="F249" s="177"/>
      <c r="G249" s="177"/>
      <c r="H249" s="177"/>
      <c r="I249" s="177"/>
      <c r="J249" s="177"/>
      <c r="K249" s="177"/>
      <c r="L249" s="177"/>
      <c r="M249" s="177"/>
      <c r="N249" s="203"/>
      <c r="O249" s="203"/>
      <c r="P249" s="177"/>
      <c r="Q249" s="203"/>
      <c r="R249" s="177"/>
      <c r="S249" s="203"/>
      <c r="T249" s="177"/>
      <c r="U249" s="203"/>
      <c r="V249" s="203"/>
      <c r="W249" s="203"/>
      <c r="X249" s="203"/>
      <c r="Y249" s="203"/>
      <c r="Z249" s="203"/>
      <c r="AA249" s="203"/>
      <c r="AB249" s="203"/>
      <c r="AC249" s="203"/>
      <c r="AD249" s="203"/>
      <c r="AE249" s="203"/>
      <c r="AF249" s="203"/>
      <c r="AG249" s="203"/>
      <c r="AH249" s="203"/>
      <c r="AI249" s="203"/>
      <c r="AJ249" s="203"/>
      <c r="AK249" s="203"/>
      <c r="AL249" s="203"/>
      <c r="AM249" s="203"/>
      <c r="AN249" s="203"/>
      <c r="AO249" s="203"/>
      <c r="AP249" s="203"/>
      <c r="AQ249" s="203"/>
      <c r="AR249" s="203"/>
    </row>
    <row r="250" ht="12.75">
      <c r="A250" s="37"/>
    </row>
    <row r="251" ht="12.75">
      <c r="A251" s="37"/>
    </row>
    <row r="252" ht="12.75">
      <c r="A252" s="37"/>
    </row>
    <row r="253" ht="12.75">
      <c r="A253" s="37"/>
    </row>
    <row r="254" ht="12.75">
      <c r="A254" s="37"/>
    </row>
    <row r="255" ht="12.75">
      <c r="A255" s="37"/>
    </row>
    <row r="256" ht="12.75">
      <c r="A256" s="37"/>
    </row>
    <row r="257" ht="12.75">
      <c r="A257" s="37"/>
    </row>
    <row r="258" ht="12.75">
      <c r="A258" s="37"/>
    </row>
    <row r="259" ht="12.75">
      <c r="A259" s="37"/>
    </row>
    <row r="260" ht="12.75">
      <c r="A260" s="37"/>
    </row>
    <row r="261" ht="12.75">
      <c r="A261" s="37"/>
    </row>
    <row r="262" ht="12.75">
      <c r="A262" s="37"/>
    </row>
    <row r="263" ht="12.75">
      <c r="A263" s="37"/>
    </row>
    <row r="264" ht="12.75">
      <c r="A264" s="37"/>
    </row>
    <row r="265" ht="12.75">
      <c r="A265" s="37"/>
    </row>
    <row r="266" ht="12.75">
      <c r="A266" s="37"/>
    </row>
    <row r="267" ht="12.75">
      <c r="A267" s="37"/>
    </row>
    <row r="268" ht="12.75">
      <c r="A268" s="37"/>
    </row>
    <row r="269" ht="12.75">
      <c r="A269" s="37"/>
    </row>
    <row r="271" ht="12.75">
      <c r="A271" s="37"/>
    </row>
    <row r="425" ht="12.75">
      <c r="G425" s="177">
        <f>133000</f>
        <v>133000</v>
      </c>
    </row>
    <row r="427" ht="12.75">
      <c r="G427" s="177">
        <v>1936.27</v>
      </c>
    </row>
    <row r="428" ht="12.75">
      <c r="G428" s="177">
        <f>+G425/G427</f>
        <v>68.6887675789017</v>
      </c>
    </row>
    <row r="458" ht="12.75">
      <c r="F458" s="177" t="s">
        <v>59</v>
      </c>
    </row>
  </sheetData>
  <mergeCells count="4">
    <mergeCell ref="P7:Q7"/>
    <mergeCell ref="N7:O7"/>
    <mergeCell ref="R7:S7"/>
    <mergeCell ref="T7:U7"/>
  </mergeCells>
  <hyperlinks>
    <hyperlink ref="B92:D92" location="ISTRUZIONE!D1" display="ISTRUZIONE!D1"/>
    <hyperlink ref="B92" location="ISTRUZIONE!E1" display="ISTRUZIONE!E1"/>
    <hyperlink ref="C92" location="ISTRUZIONE!V1" display="ISTRUZIONE!V1"/>
    <hyperlink ref="B123:D123" location="'SPORT E GIOVANI'!V1" display="'SPORT E GIOVANI'!V1"/>
    <hyperlink ref="A59:D59" location="INGEGNERIA!P1" display="INGEGNERIA!P1"/>
    <hyperlink ref="D59" location="INGEGNERIA!P1" display="INGEGNERIA!P1"/>
    <hyperlink ref="B153:D153" location="MANUTENZIONE!S1" display="MANUTENZIONE!S1"/>
    <hyperlink ref="A43:D43" location="PERSONALE!R1" display="PERSONALE!R1"/>
    <hyperlink ref="A50:D50" location="'P&amp;C'!S1" display="'P&amp;C'!S1"/>
    <hyperlink ref="A54:D54" location="'SISTEMI INFO'!S1" display="'SISTEMI INFO'!S1"/>
    <hyperlink ref="B118:D118" location="ECONOMIA!T1" display="ECONOMIA!T1"/>
    <hyperlink ref="B102:D102" location="CULTURA!R1" display="CULTURA!R1"/>
    <hyperlink ref="B140:D140" location="MOBILITA!T1" display="MOBILITA!T1"/>
    <hyperlink ref="B134:D134" location="TERRITORIO!S1" display="TERRITORIO!S1"/>
    <hyperlink ref="B101:D101" location="PROGXCOMUNICARE!P1" display="PROGXCOMUNICARE!P1"/>
    <hyperlink ref="B78:D78" location="SALUTE!T1" display="SALUTE!T1"/>
    <hyperlink ref="B82:D82" location="'SERVIZI SOCIALI'!T1" display="'SERVIZI SOCIALI'!T1"/>
    <hyperlink ref="A12:D12" location="GABINETTO!S1" display="GABINETTO!S1"/>
    <hyperlink ref="A27:D27" location="SEGR.GEN!t1" display="SEGR.GEN!t1"/>
    <hyperlink ref="A168:D168" location="PM!S1" display="PM!S1"/>
    <hyperlink ref="A24:D24" location="'STAFF CONS'!S1" display="'STAFF CONS'!S1"/>
    <hyperlink ref="A25:D25" location="'PART. SOCIETARIE'!A1" display="'PART. SOCIETARIE'!A1"/>
    <hyperlink ref="A26:D26" location="LEGALE!S1" display="LEGALE!S1"/>
    <hyperlink ref="A36:D36" location="FINANZA!S1" display="FINANZA!S1"/>
    <hyperlink ref="B157:D157" location="'SPORTELLO CIT'!S1" display="'SPORTELLO CIT'!S1"/>
    <hyperlink ref="A175" location="QUARTIERI!S1" display="QUARTIERI!S1"/>
    <hyperlink ref="A30:D30" location="'AFFARI IST'!S1" display="'AFFARI IST'!S1"/>
    <hyperlink ref="A40:D40" location="ACQUISTI!S1" display="ACQUISTI!S1"/>
    <hyperlink ref="B160:D160" location="'SPORTELLO IMPR'!P1" display="'SPORTELLO IMPR'!P1"/>
    <hyperlink ref="A9:D9" location="'DIREZIONE GEN'!S1" display="'DIREZIONE GEN'!S1"/>
    <hyperlink ref="A76:D76" location="'AREA servizi persone'!A1" display="'AREA servizi persone'!A1"/>
    <hyperlink ref="A99:D99" location="'AREA SVILUPPO SOCIO-EC'!T1" display="'AREA SVILUPPO SOCIO-EC'!T1"/>
    <hyperlink ref="A132:D132" location="'AREA QUALITA'' URBANA'!t1" display="'AREA QUALITA'' URBANA'!t1"/>
    <hyperlink ref="A156:D156" location="'AREA COM. E RAP. CON CIT'!T1" display="'AREA COM. E RAP. CON CIT'!T1"/>
    <hyperlink ref="A239:D239" location="TOTALE!T1" display="TOTALE!T1"/>
    <hyperlink ref="A18" location="SICUREZZA!A5" display="SICUREZZA!A5"/>
    <hyperlink ref="A28:C28" location="SEGRETARIO!A1" display="SEGRETARIO!A1"/>
    <hyperlink ref="A29:C29" location="'STAFF AMM.'!A1" display="'STAFF AMM.'!A1"/>
    <hyperlink ref="B37:C37" location="RAGIONERIA!A1" display="RAGIONERIA!A1"/>
    <hyperlink ref="B38:C38" location="ENTRATE!A1" display="ENTRATE!A1"/>
    <hyperlink ref="B39:C39" location="PATRIMONIO!A1" display="PATRIMONIO!A1"/>
    <hyperlink ref="A58:C58" location="'PROGETTO PIAZZE'!A1" display="'PROGETTO PIAZZE'!A1"/>
    <hyperlink ref="B101:C101" location="'PROGnuove ist museali'!A1" display="'PROGnuove ist museali'!A1"/>
    <hyperlink ref="B134:C134" location="'Programmi urbanistici'!A1" display="'Programmi urbanistici'!A1"/>
    <hyperlink ref="B152:C152" location="'Interventi per casa'!A1" display="'Interventi per casa'!A1"/>
    <hyperlink ref="B153:C153" location="'Ambiente e verde'!A1" display="'Ambiente e verde'!A1"/>
    <hyperlink ref="B157:C157" location="Comunicazione!A1" display="Comunicazione!A1"/>
    <hyperlink ref="B163:C163" location="DEMOGRAFICI!A1" display="DEMOGRAFICI!A1"/>
    <hyperlink ref="B163" location="DEMOGRAFICI!A1" display="DEMOGRAFICI!A1"/>
    <hyperlink ref="A36:C36" location="'AREA FINANZA'!A1" display="'AREA FINANZA'!A1"/>
    <hyperlink ref="A59:C59" location="'Lavori pubblici'!A1" display="'Lavori pubblici'!A1"/>
    <hyperlink ref="A99:C99" location="'AREA SAPERI ED EC'!A1" display="'AREA SAPERI ED EC'!A1"/>
    <hyperlink ref="A132:C132" location="'AREA Urbanistica, amb, mob'!A1" display="'AREA Urbanistica, amb, mob'!A1"/>
  </hyperlinks>
  <printOptions/>
  <pageMargins left="0.18" right="0.18" top="0.21" bottom="0.13" header="0.14" footer="0.12"/>
  <pageSetup horizontalDpi="600" verticalDpi="600" orientation="landscape" paperSize="9" scale="60" r:id="rId1"/>
  <rowBreaks count="4" manualBreakCount="4">
    <brk id="58" max="20" man="1"/>
    <brk id="98" max="20" man="1"/>
    <brk id="155" max="20" man="1"/>
    <brk id="224" max="2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workbookViewId="0" topLeftCell="F1">
      <selection activeCell="L26" sqref="L26"/>
    </sheetView>
  </sheetViews>
  <sheetFormatPr defaultColWidth="9.140625" defaultRowHeight="12.75"/>
  <cols>
    <col min="1" max="1" width="15.28125" style="0" customWidth="1"/>
    <col min="2" max="2" width="15.8515625" style="0" customWidth="1"/>
    <col min="3" max="3" width="15.7109375" style="0" customWidth="1"/>
    <col min="4" max="4" width="12.8515625" style="0" customWidth="1"/>
  </cols>
  <sheetData>
    <row r="1" ht="12.75">
      <c r="A1" t="s">
        <v>67</v>
      </c>
    </row>
    <row r="2" spans="2:3" ht="12.75">
      <c r="B2" t="s">
        <v>63</v>
      </c>
      <c r="C2" t="s">
        <v>76</v>
      </c>
    </row>
    <row r="3" spans="1:4" ht="12.75">
      <c r="A3">
        <v>1997</v>
      </c>
      <c r="B3" s="127">
        <f>+'Cons spec netti'!F51</f>
        <v>7274</v>
      </c>
      <c r="C3" s="7">
        <f>+'Cons spec tot e finalizzati'!G54</f>
        <v>0</v>
      </c>
      <c r="D3" s="7"/>
    </row>
    <row r="4" spans="1:4" ht="12.75">
      <c r="A4">
        <v>1998</v>
      </c>
      <c r="B4" s="127">
        <f>+'Cons spec netti'!G51</f>
        <v>8829</v>
      </c>
      <c r="C4" s="7">
        <f>+'Cons spec tot e finalizzati'!I54</f>
        <v>0</v>
      </c>
      <c r="D4" s="7"/>
    </row>
    <row r="5" spans="1:4" ht="12.75">
      <c r="A5">
        <v>1999</v>
      </c>
      <c r="B5" s="127">
        <f>+'Cons spec netti'!H51</f>
        <v>7879</v>
      </c>
      <c r="C5" s="7">
        <f>+'Cons spec tot e finalizzati'!K54</f>
        <v>0</v>
      </c>
      <c r="D5" s="7"/>
    </row>
    <row r="6" spans="1:4" ht="12.75">
      <c r="A6">
        <v>2000</v>
      </c>
      <c r="B6" s="127">
        <f>+'Cons spec netti'!I51</f>
        <v>9104</v>
      </c>
      <c r="C6" s="7">
        <f>+'Cons spec tot e finalizzati'!M54</f>
        <v>0</v>
      </c>
      <c r="D6" s="7"/>
    </row>
    <row r="7" spans="1:4" ht="12.75">
      <c r="A7">
        <v>2001</v>
      </c>
      <c r="B7" s="127">
        <f>+'Cons spec netti'!J51</f>
        <v>7903.412395998492</v>
      </c>
      <c r="C7" s="7">
        <f>+'Cons spec tot e finalizzati'!O54</f>
        <v>112.58760400150805</v>
      </c>
      <c r="D7" s="7"/>
    </row>
    <row r="8" spans="1:4" ht="12.75">
      <c r="A8">
        <v>2002</v>
      </c>
      <c r="B8" s="127">
        <f>+'Cons spec netti'!K51</f>
        <v>7893</v>
      </c>
      <c r="C8" s="7">
        <f>+'Cons spec tot e finalizzati'!Q54</f>
        <v>620</v>
      </c>
      <c r="D8" s="7"/>
    </row>
    <row r="9" spans="1:4" ht="12.75">
      <c r="A9">
        <v>2003</v>
      </c>
      <c r="B9" s="127">
        <f>+'Cons spec netti'!L51</f>
        <v>8031</v>
      </c>
      <c r="C9" s="7">
        <f>+'Cons spec tot e finalizzati'!S54</f>
        <v>404</v>
      </c>
      <c r="D9" s="7"/>
    </row>
    <row r="10" spans="1:4" ht="12.75">
      <c r="A10">
        <v>2004</v>
      </c>
      <c r="B10" s="127">
        <f>+'Cons spec netti'!M51</f>
        <v>8218</v>
      </c>
      <c r="C10" s="7">
        <f>+'Cons spec tot e finalizzati'!U54</f>
        <v>78</v>
      </c>
      <c r="D10" s="7"/>
    </row>
    <row r="11" spans="2:3" ht="12.75">
      <c r="B11" t="s">
        <v>77</v>
      </c>
      <c r="C11" t="s">
        <v>65</v>
      </c>
    </row>
    <row r="12" spans="1:3" ht="12.75">
      <c r="A12">
        <v>1997</v>
      </c>
      <c r="B12" s="128">
        <v>100</v>
      </c>
      <c r="C12" s="128">
        <v>100</v>
      </c>
    </row>
    <row r="13" spans="1:3" ht="12.75">
      <c r="A13">
        <v>1998</v>
      </c>
      <c r="B13" s="128">
        <f aca="true" t="shared" si="0" ref="B13:B19">+B4/$B$3*100</f>
        <v>121.37750893593622</v>
      </c>
      <c r="C13" s="128">
        <v>102.2</v>
      </c>
    </row>
    <row r="14" spans="1:3" ht="12.75">
      <c r="A14">
        <v>1999</v>
      </c>
      <c r="B14" s="128">
        <f t="shared" si="0"/>
        <v>108.31729447346714</v>
      </c>
      <c r="C14" s="128">
        <v>104</v>
      </c>
    </row>
    <row r="15" spans="1:3" ht="12.75">
      <c r="A15">
        <v>2000</v>
      </c>
      <c r="B15" s="128">
        <f t="shared" si="0"/>
        <v>125.15809733296672</v>
      </c>
      <c r="C15" s="128">
        <v>106.5</v>
      </c>
    </row>
    <row r="16" spans="1:3" ht="12.75">
      <c r="A16">
        <v>2001</v>
      </c>
      <c r="B16" s="128">
        <f t="shared" si="0"/>
        <v>108.65290618639665</v>
      </c>
      <c r="C16">
        <v>109.3</v>
      </c>
    </row>
    <row r="17" spans="1:3" ht="12.75">
      <c r="A17">
        <v>2002</v>
      </c>
      <c r="B17" s="128">
        <f t="shared" si="0"/>
        <v>108.50976079186142</v>
      </c>
      <c r="C17" s="128">
        <v>112</v>
      </c>
    </row>
    <row r="18" spans="1:3" ht="12.75">
      <c r="A18">
        <v>2003</v>
      </c>
      <c r="B18" s="128">
        <f t="shared" si="0"/>
        <v>110.40692878746219</v>
      </c>
      <c r="C18">
        <v>114.2</v>
      </c>
    </row>
    <row r="19" spans="1:3" ht="12.75">
      <c r="A19">
        <v>2004</v>
      </c>
      <c r="B19" s="128">
        <f t="shared" si="0"/>
        <v>112.97772889744296</v>
      </c>
      <c r="C19">
        <v>115.9</v>
      </c>
    </row>
  </sheetData>
  <printOptions/>
  <pageMargins left="0.75" right="0.75" top="1.37" bottom="1" header="0.5" footer="0.5"/>
  <pageSetup fitToHeight="1" fitToWidth="1" horizontalDpi="600" verticalDpi="600" orientation="landscape" paperSize="9" r:id="rId2"/>
  <headerFooter alignWithMargins="0">
    <oddHeader>&amp;CCONSUNTIVO 2004
SERIE STORICA CONSUMI SPECIFICI 1997 - 2004
SETTORE SISTEMI INFORMATIVI E TELEMATICI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workbookViewId="0" topLeftCell="C1">
      <selection activeCell="L27" sqref="L27"/>
    </sheetView>
  </sheetViews>
  <sheetFormatPr defaultColWidth="9.140625" defaultRowHeight="12.75"/>
  <cols>
    <col min="1" max="1" width="15.28125" style="0" customWidth="1"/>
    <col min="2" max="2" width="15.8515625" style="0" customWidth="1"/>
    <col min="3" max="3" width="15.7109375" style="0" customWidth="1"/>
  </cols>
  <sheetData>
    <row r="1" ht="12.75">
      <c r="A1" t="s">
        <v>68</v>
      </c>
    </row>
    <row r="2" spans="2:3" ht="12.75">
      <c r="B2" t="s">
        <v>63</v>
      </c>
      <c r="C2" t="s">
        <v>76</v>
      </c>
    </row>
    <row r="3" spans="1:3" ht="12.75">
      <c r="A3">
        <v>1997</v>
      </c>
      <c r="B3" s="127">
        <f>+'Cons spec netti'!F115</f>
        <v>543</v>
      </c>
      <c r="C3" s="7">
        <f>+'Cons spec tot e finalizzati'!G118</f>
        <v>1078</v>
      </c>
    </row>
    <row r="4" spans="1:3" ht="12.75">
      <c r="A4">
        <v>1998</v>
      </c>
      <c r="B4" s="127">
        <f>+'Cons spec netti'!G115</f>
        <v>638</v>
      </c>
      <c r="C4" s="7">
        <f>+'Cons spec tot e finalizzati'!I118</f>
        <v>1057</v>
      </c>
    </row>
    <row r="5" spans="1:3" ht="12.75">
      <c r="A5">
        <v>1999</v>
      </c>
      <c r="B5" s="127">
        <f>+'Cons spec netti'!H115</f>
        <v>774</v>
      </c>
      <c r="C5" s="7">
        <f>+'Cons spec tot e finalizzati'!K118</f>
        <v>2561</v>
      </c>
    </row>
    <row r="6" spans="1:3" ht="12.75">
      <c r="A6">
        <v>2000</v>
      </c>
      <c r="B6" s="127">
        <f>+'Cons spec netti'!I115</f>
        <v>1239</v>
      </c>
      <c r="C6" s="7">
        <f>+'Cons spec tot e finalizzati'!M118</f>
        <v>1425</v>
      </c>
    </row>
    <row r="7" spans="1:3" ht="12.75">
      <c r="A7">
        <v>2001</v>
      </c>
      <c r="B7" s="127">
        <f>+'Cons spec netti'!J115</f>
        <v>1251</v>
      </c>
      <c r="C7" s="7">
        <f>+'Cons spec tot e finalizzati'!O118</f>
        <v>2909</v>
      </c>
    </row>
    <row r="8" spans="1:3" ht="12.75">
      <c r="A8">
        <v>2002</v>
      </c>
      <c r="B8" s="127">
        <f>+'Cons spec netti'!K115</f>
        <v>1632</v>
      </c>
      <c r="C8" s="7">
        <f>+'Cons spec tot e finalizzati'!Q118</f>
        <v>2482</v>
      </c>
    </row>
    <row r="9" spans="1:3" ht="12.75">
      <c r="A9">
        <v>2003</v>
      </c>
      <c r="B9" s="127">
        <f>+'Cons spec netti'!L115</f>
        <v>1973</v>
      </c>
      <c r="C9" s="7">
        <f>+'Cons spec tot e finalizzati'!S118</f>
        <v>2883</v>
      </c>
    </row>
    <row r="10" spans="1:3" ht="12.75">
      <c r="A10">
        <v>2004</v>
      </c>
      <c r="B10" s="127">
        <f>+'Cons spec netti'!M115</f>
        <v>1948</v>
      </c>
      <c r="C10" s="7">
        <f>+'Cons spec tot e finalizzati'!U118</f>
        <v>521</v>
      </c>
    </row>
    <row r="11" spans="2:3" ht="12.75">
      <c r="B11" t="s">
        <v>64</v>
      </c>
      <c r="C11" t="s">
        <v>65</v>
      </c>
    </row>
    <row r="12" spans="1:3" ht="12.75">
      <c r="A12">
        <v>1997</v>
      </c>
      <c r="B12" s="128">
        <v>100</v>
      </c>
      <c r="C12" s="128">
        <v>100</v>
      </c>
    </row>
    <row r="13" spans="1:3" ht="12.75">
      <c r="A13">
        <v>1998</v>
      </c>
      <c r="B13" s="128">
        <f aca="true" t="shared" si="0" ref="B13:B19">+B4/$B$3*100</f>
        <v>117.49539594843463</v>
      </c>
      <c r="C13" s="128">
        <v>102.2</v>
      </c>
    </row>
    <row r="14" spans="1:3" ht="12.75">
      <c r="A14">
        <v>1999</v>
      </c>
      <c r="B14" s="128">
        <f t="shared" si="0"/>
        <v>142.54143646408838</v>
      </c>
      <c r="C14" s="128">
        <v>104</v>
      </c>
    </row>
    <row r="15" spans="1:3" ht="12.75">
      <c r="A15">
        <v>2000</v>
      </c>
      <c r="B15" s="128">
        <f t="shared" si="0"/>
        <v>228.17679558011048</v>
      </c>
      <c r="C15" s="128">
        <v>106.5</v>
      </c>
    </row>
    <row r="16" spans="1:3" ht="12.75">
      <c r="A16">
        <v>2001</v>
      </c>
      <c r="B16" s="128">
        <f t="shared" si="0"/>
        <v>230.3867403314917</v>
      </c>
      <c r="C16">
        <v>109.3</v>
      </c>
    </row>
    <row r="17" spans="1:3" ht="12.75">
      <c r="A17">
        <v>2002</v>
      </c>
      <c r="B17" s="128">
        <f t="shared" si="0"/>
        <v>300.5524861878453</v>
      </c>
      <c r="C17" s="128">
        <v>112</v>
      </c>
    </row>
    <row r="18" spans="1:3" ht="12.75">
      <c r="A18">
        <v>2003</v>
      </c>
      <c r="B18" s="128">
        <f t="shared" si="0"/>
        <v>363.35174953959483</v>
      </c>
      <c r="C18">
        <v>114.2</v>
      </c>
    </row>
    <row r="19" spans="1:3" ht="12.75">
      <c r="A19">
        <v>2004</v>
      </c>
      <c r="B19" s="128">
        <f t="shared" si="0"/>
        <v>358.7476979742173</v>
      </c>
      <c r="C19">
        <v>115.9</v>
      </c>
    </row>
  </sheetData>
  <printOptions/>
  <pageMargins left="0.75" right="0.75" top="1.39" bottom="1" header="0.5" footer="0.5"/>
  <pageSetup fitToHeight="1" fitToWidth="1" horizontalDpi="600" verticalDpi="600" orientation="landscape" paperSize="9" scale="88" r:id="rId2"/>
  <headerFooter alignWithMargins="0">
    <oddHeader>&amp;CCONSUNTIVO 2004
SERIE STORICA CONSUMI SPECIFICI 1997 - 2004
SETTORE ECONOMIA ED ATTIVITA' TURISTICHE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workbookViewId="0" topLeftCell="E1">
      <selection activeCell="Q29" sqref="Q29"/>
    </sheetView>
  </sheetViews>
  <sheetFormatPr defaultColWidth="9.140625" defaultRowHeight="12.75"/>
  <cols>
    <col min="1" max="1" width="15.28125" style="0" customWidth="1"/>
    <col min="2" max="2" width="15.8515625" style="0" customWidth="1"/>
    <col min="3" max="3" width="25.57421875" style="0" bestFit="1" customWidth="1"/>
  </cols>
  <sheetData>
    <row r="1" ht="12.75">
      <c r="A1" t="s">
        <v>69</v>
      </c>
    </row>
    <row r="2" spans="2:3" ht="12.75">
      <c r="B2" t="s">
        <v>63</v>
      </c>
      <c r="C2" t="s">
        <v>76</v>
      </c>
    </row>
    <row r="3" spans="1:4" ht="12.75">
      <c r="A3">
        <v>1997</v>
      </c>
      <c r="B3" s="127">
        <f>+'Cons spec netti'!F99</f>
        <v>7589</v>
      </c>
      <c r="C3" s="7">
        <f>+'Cons spec tot e finalizzati'!G102</f>
        <v>93</v>
      </c>
      <c r="D3" s="7"/>
    </row>
    <row r="4" spans="1:4" ht="12.75">
      <c r="A4">
        <v>1998</v>
      </c>
      <c r="B4" s="127">
        <f>+'Cons spec netti'!G99</f>
        <v>12740</v>
      </c>
      <c r="C4" s="7">
        <f>+'Cons spec tot e finalizzati'!I102</f>
        <v>303</v>
      </c>
      <c r="D4" s="7"/>
    </row>
    <row r="5" spans="1:4" ht="12.75">
      <c r="A5">
        <v>1999</v>
      </c>
      <c r="B5" s="127">
        <f>+'Cons spec netti'!H99</f>
        <v>8824</v>
      </c>
      <c r="C5" s="7">
        <f>+'Cons spec tot e finalizzati'!K102</f>
        <v>7319</v>
      </c>
      <c r="D5" s="7"/>
    </row>
    <row r="6" spans="1:4" ht="12.75">
      <c r="A6">
        <v>2000</v>
      </c>
      <c r="B6" s="127">
        <f>+'Cons spec netti'!I99</f>
        <v>10763</v>
      </c>
      <c r="C6" s="7">
        <f>+'Cons spec tot e finalizzati'!M102</f>
        <v>3888</v>
      </c>
      <c r="D6" s="7"/>
    </row>
    <row r="7" spans="1:4" ht="12.75">
      <c r="A7">
        <v>2001</v>
      </c>
      <c r="B7" s="127">
        <f>+'Cons spec netti'!J99</f>
        <v>9711</v>
      </c>
      <c r="C7" s="7">
        <f>+'Cons spec tot e finalizzati'!O102</f>
        <v>1616</v>
      </c>
      <c r="D7" s="7"/>
    </row>
    <row r="8" spans="1:4" ht="12.75">
      <c r="A8">
        <v>2002</v>
      </c>
      <c r="B8" s="127">
        <f>+'Cons spec netti'!K99</f>
        <v>10248</v>
      </c>
      <c r="C8" s="7">
        <f>+'Cons spec tot e finalizzati'!Q102</f>
        <v>542</v>
      </c>
      <c r="D8" s="7"/>
    </row>
    <row r="9" spans="1:4" ht="12.75">
      <c r="A9">
        <v>2003</v>
      </c>
      <c r="B9" s="127">
        <f>+'Cons spec netti'!L99</f>
        <v>12422</v>
      </c>
      <c r="C9" s="7">
        <f>+'Cons spec tot e finalizzati'!S102</f>
        <v>1856</v>
      </c>
      <c r="D9" s="7"/>
    </row>
    <row r="10" spans="1:4" ht="12.75">
      <c r="A10">
        <v>2004</v>
      </c>
      <c r="B10" s="127">
        <f>+'Cons spec netti'!M99</f>
        <v>12404</v>
      </c>
      <c r="C10" s="7">
        <f>+'Cons spec tot e finalizzati'!U102</f>
        <v>1419</v>
      </c>
      <c r="D10" s="7"/>
    </row>
    <row r="11" spans="2:3" ht="12.75">
      <c r="B11" t="s">
        <v>77</v>
      </c>
      <c r="C11" t="s">
        <v>65</v>
      </c>
    </row>
    <row r="12" spans="1:3" ht="12.75">
      <c r="A12">
        <v>1997</v>
      </c>
      <c r="B12" s="128">
        <v>100</v>
      </c>
      <c r="C12" s="128">
        <v>100</v>
      </c>
    </row>
    <row r="13" spans="1:3" ht="12.75">
      <c r="A13">
        <v>1998</v>
      </c>
      <c r="B13" s="128">
        <f aca="true" t="shared" si="0" ref="B13:B19">+B4/$B$3*100</f>
        <v>167.87455527737515</v>
      </c>
      <c r="C13" s="128">
        <v>102.2</v>
      </c>
    </row>
    <row r="14" spans="1:3" ht="12.75">
      <c r="A14">
        <v>1999</v>
      </c>
      <c r="B14" s="128">
        <f t="shared" si="0"/>
        <v>116.2735538279088</v>
      </c>
      <c r="C14" s="128">
        <v>104</v>
      </c>
    </row>
    <row r="15" spans="1:3" ht="12.75">
      <c r="A15">
        <v>2000</v>
      </c>
      <c r="B15" s="128">
        <f t="shared" si="0"/>
        <v>141.82369218605876</v>
      </c>
      <c r="C15" s="128">
        <v>106.5</v>
      </c>
    </row>
    <row r="16" spans="1:3" ht="12.75">
      <c r="A16">
        <v>2001</v>
      </c>
      <c r="B16" s="128">
        <f t="shared" si="0"/>
        <v>127.96152325734616</v>
      </c>
      <c r="C16">
        <v>109.3</v>
      </c>
    </row>
    <row r="17" spans="1:3" ht="12.75">
      <c r="A17">
        <v>2002</v>
      </c>
      <c r="B17" s="128">
        <f t="shared" si="0"/>
        <v>135.03755435498746</v>
      </c>
      <c r="C17" s="128">
        <v>112</v>
      </c>
    </row>
    <row r="18" spans="1:3" ht="12.75">
      <c r="A18">
        <v>2003</v>
      </c>
      <c r="B18" s="128">
        <f t="shared" si="0"/>
        <v>163.6842798787719</v>
      </c>
      <c r="C18">
        <v>114.2</v>
      </c>
    </row>
    <row r="19" spans="1:3" ht="12.75">
      <c r="A19">
        <v>2004</v>
      </c>
      <c r="B19" s="128">
        <f t="shared" si="0"/>
        <v>163.44709447885097</v>
      </c>
      <c r="C19">
        <v>115.9</v>
      </c>
    </row>
  </sheetData>
  <printOptions/>
  <pageMargins left="0.75" right="0.75" top="1.49" bottom="1" header="0.5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CULTURA E RAPPORTI CON L'UNIVERSITA'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workbookViewId="0" topLeftCell="C1">
      <selection activeCell="M28" sqref="M28"/>
    </sheetView>
  </sheetViews>
  <sheetFormatPr defaultColWidth="9.140625" defaultRowHeight="12.75"/>
  <cols>
    <col min="1" max="1" width="15.28125" style="0" customWidth="1"/>
    <col min="2" max="2" width="15.8515625" style="0" customWidth="1"/>
    <col min="3" max="3" width="15.7109375" style="0" customWidth="1"/>
  </cols>
  <sheetData>
    <row r="1" ht="12.75">
      <c r="A1" t="s">
        <v>201</v>
      </c>
    </row>
    <row r="2" spans="2:3" ht="12.75">
      <c r="B2" t="s">
        <v>63</v>
      </c>
      <c r="C2" t="s">
        <v>76</v>
      </c>
    </row>
    <row r="3" spans="1:3" ht="12.75">
      <c r="A3">
        <v>1997</v>
      </c>
      <c r="B3" s="127">
        <f>+'Cons spec netti'!F137</f>
        <v>1197</v>
      </c>
      <c r="C3" s="7">
        <f>+'Cons spec tot e finalizzati'!G140</f>
        <v>0</v>
      </c>
    </row>
    <row r="4" spans="1:3" ht="12.75">
      <c r="A4">
        <v>1998</v>
      </c>
      <c r="B4" s="127">
        <f>+'Cons spec netti'!G137</f>
        <v>1155</v>
      </c>
      <c r="C4" s="7">
        <f>+'Cons spec tot e finalizzati'!I140</f>
        <v>0</v>
      </c>
    </row>
    <row r="5" spans="1:3" ht="12.75">
      <c r="A5">
        <v>1999</v>
      </c>
      <c r="B5" s="127">
        <f>+'Cons spec netti'!H137</f>
        <v>1559</v>
      </c>
      <c r="C5" s="7">
        <f>+'Cons spec tot e finalizzati'!K140</f>
        <v>0</v>
      </c>
    </row>
    <row r="6" spans="1:3" ht="12.75">
      <c r="A6">
        <v>2000</v>
      </c>
      <c r="B6" s="127">
        <f>+'Cons spec netti'!I137</f>
        <v>2720.5</v>
      </c>
      <c r="C6" s="7">
        <f>+'Cons spec tot e finalizzati'!M140</f>
        <v>580</v>
      </c>
    </row>
    <row r="7" spans="1:3" ht="12.75">
      <c r="A7" s="298" t="s">
        <v>123</v>
      </c>
      <c r="B7" s="127">
        <f>+'Cons spec netti'!J137</f>
        <v>2095</v>
      </c>
      <c r="C7" s="7">
        <f>+'Cons spec tot e finalizzati'!O140</f>
        <v>0</v>
      </c>
    </row>
    <row r="8" spans="1:3" ht="12.75">
      <c r="A8">
        <v>2002</v>
      </c>
      <c r="B8" s="127">
        <f>+'Cons spec netti'!K137</f>
        <v>3629</v>
      </c>
      <c r="C8" s="7">
        <f>+'Cons spec tot e finalizzati'!Q140</f>
        <v>137</v>
      </c>
    </row>
    <row r="9" spans="1:3" ht="12.75">
      <c r="A9">
        <v>2003</v>
      </c>
      <c r="B9" s="127">
        <f>+'Cons spec netti'!L137</f>
        <v>2231</v>
      </c>
      <c r="C9" s="7">
        <f>+'Cons spec tot e finalizzati'!S140</f>
        <v>1285</v>
      </c>
    </row>
    <row r="10" spans="1:3" ht="12.75">
      <c r="A10">
        <v>2004</v>
      </c>
      <c r="B10" s="127">
        <f>+'Cons spec netti'!M137</f>
        <v>1745</v>
      </c>
      <c r="C10" s="7">
        <f>+'Cons spec tot e finalizzati'!U140</f>
        <v>951</v>
      </c>
    </row>
    <row r="11" spans="2:3" ht="12.75">
      <c r="B11" t="s">
        <v>77</v>
      </c>
      <c r="C11" t="s">
        <v>65</v>
      </c>
    </row>
    <row r="12" spans="1:3" ht="12.75">
      <c r="A12">
        <v>1997</v>
      </c>
      <c r="B12" s="128">
        <v>100</v>
      </c>
      <c r="C12" s="128">
        <v>100</v>
      </c>
    </row>
    <row r="13" spans="1:3" ht="12.75">
      <c r="A13">
        <v>1998</v>
      </c>
      <c r="B13" s="128">
        <f aca="true" t="shared" si="0" ref="B13:B19">+B4/$B$3*100</f>
        <v>96.49122807017544</v>
      </c>
      <c r="C13" s="128">
        <v>102.2</v>
      </c>
    </row>
    <row r="14" spans="1:3" ht="12.75">
      <c r="A14">
        <v>1999</v>
      </c>
      <c r="B14" s="128">
        <f t="shared" si="0"/>
        <v>130.2422723475355</v>
      </c>
      <c r="C14" s="128">
        <v>104</v>
      </c>
    </row>
    <row r="15" spans="1:3" ht="12.75">
      <c r="A15">
        <v>2000</v>
      </c>
      <c r="B15" s="128">
        <f t="shared" si="0"/>
        <v>227.2765246449457</v>
      </c>
      <c r="C15" s="128">
        <v>106.5</v>
      </c>
    </row>
    <row r="16" spans="1:3" ht="12.75">
      <c r="A16">
        <v>2001</v>
      </c>
      <c r="B16" s="128">
        <f t="shared" si="0"/>
        <v>175.02088554720135</v>
      </c>
      <c r="C16">
        <v>109.3</v>
      </c>
    </row>
    <row r="17" spans="1:3" ht="12.75">
      <c r="A17">
        <v>2002</v>
      </c>
      <c r="B17" s="128">
        <f t="shared" si="0"/>
        <v>303.17460317460313</v>
      </c>
      <c r="C17" s="128">
        <v>112</v>
      </c>
    </row>
    <row r="18" spans="1:3" ht="12.75">
      <c r="A18">
        <v>2003</v>
      </c>
      <c r="B18" s="128">
        <f t="shared" si="0"/>
        <v>186.3826232247285</v>
      </c>
      <c r="C18">
        <v>114.2</v>
      </c>
    </row>
    <row r="19" spans="1:3" ht="12.75">
      <c r="A19">
        <v>2004</v>
      </c>
      <c r="B19" s="128">
        <f t="shared" si="0"/>
        <v>145.78111946533</v>
      </c>
      <c r="C19">
        <v>115.9</v>
      </c>
    </row>
  </sheetData>
  <printOptions/>
  <pageMargins left="0.37" right="0.27" top="1.34" bottom="1" header="0.5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MOBILITA' URBANA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workbookViewId="0" topLeftCell="D1">
      <selection activeCell="K26" sqref="K26"/>
    </sheetView>
  </sheetViews>
  <sheetFormatPr defaultColWidth="9.140625" defaultRowHeight="12.75"/>
  <cols>
    <col min="1" max="1" width="15.28125" style="0" customWidth="1"/>
    <col min="2" max="2" width="15.8515625" style="0" customWidth="1"/>
    <col min="3" max="3" width="15.7109375" style="0" customWidth="1"/>
    <col min="4" max="4" width="22.421875" style="0" bestFit="1" customWidth="1"/>
    <col min="5" max="5" width="11.00390625" style="0" customWidth="1"/>
  </cols>
  <sheetData>
    <row r="1" ht="12.75">
      <c r="A1" t="s">
        <v>200</v>
      </c>
    </row>
    <row r="2" spans="2:3" ht="12.75">
      <c r="B2" t="s">
        <v>63</v>
      </c>
      <c r="C2" t="s">
        <v>76</v>
      </c>
    </row>
    <row r="3" spans="1:5" ht="12.75">
      <c r="A3">
        <v>1997</v>
      </c>
      <c r="B3" s="127">
        <f>+'Cons spec netti'!F131</f>
        <v>2527</v>
      </c>
      <c r="C3" s="7">
        <f>+'Cons spec tot e finalizzati'!G134</f>
        <v>0</v>
      </c>
      <c r="E3" s="7"/>
    </row>
    <row r="4" spans="1:5" ht="12.75">
      <c r="A4">
        <v>1998</v>
      </c>
      <c r="B4" s="127">
        <f>+'Cons spec netti'!G131</f>
        <v>2279</v>
      </c>
      <c r="C4" s="7">
        <f>+'Cons spec tot e finalizzati'!I134</f>
        <v>0</v>
      </c>
      <c r="E4" s="7"/>
    </row>
    <row r="5" spans="1:5" ht="12.75">
      <c r="A5">
        <v>1999</v>
      </c>
      <c r="B5" s="127">
        <f>+'Cons spec netti'!H131</f>
        <v>2046</v>
      </c>
      <c r="C5" s="7">
        <f>+'Cons spec tot e finalizzati'!K134</f>
        <v>0</v>
      </c>
      <c r="E5" s="7"/>
    </row>
    <row r="6" spans="1:5" ht="12.75">
      <c r="A6">
        <v>2000</v>
      </c>
      <c r="B6" s="127">
        <f>+'Cons spec netti'!I131</f>
        <v>1648</v>
      </c>
      <c r="C6" s="7">
        <f>+'Cons spec tot e finalizzati'!M134</f>
        <v>52</v>
      </c>
      <c r="D6" s="127"/>
      <c r="E6" s="7"/>
    </row>
    <row r="7" spans="1:5" ht="12.75">
      <c r="A7">
        <v>2001</v>
      </c>
      <c r="B7" s="127">
        <f>+'Cons spec netti'!J131</f>
        <v>1349</v>
      </c>
      <c r="C7" s="7">
        <f>+'Cons spec tot e finalizzati'!O134</f>
        <v>0</v>
      </c>
      <c r="D7" s="71"/>
      <c r="E7" s="7"/>
    </row>
    <row r="8" spans="1:5" ht="12.75">
      <c r="A8">
        <v>2002</v>
      </c>
      <c r="B8" s="127">
        <f>+'Cons spec netti'!K131</f>
        <v>1787</v>
      </c>
      <c r="C8" s="7">
        <f>+'Cons spec tot e finalizzati'!Q134</f>
        <v>0</v>
      </c>
      <c r="D8" s="71"/>
      <c r="E8" s="7"/>
    </row>
    <row r="9" spans="1:5" ht="12.75">
      <c r="A9">
        <v>2003</v>
      </c>
      <c r="B9" s="127">
        <f>+'Cons spec netti'!L131</f>
        <v>1254</v>
      </c>
      <c r="C9" s="7">
        <f>+'Cons spec tot e finalizzati'!S134</f>
        <v>136</v>
      </c>
      <c r="D9" s="71"/>
      <c r="E9" s="7"/>
    </row>
    <row r="10" spans="1:5" ht="12.75">
      <c r="A10">
        <v>2004</v>
      </c>
      <c r="B10" s="127">
        <f>+'Cons spec netti'!M131</f>
        <v>839</v>
      </c>
      <c r="C10" s="7">
        <f>+'Cons spec tot e finalizzati'!U134</f>
        <v>393</v>
      </c>
      <c r="D10" s="71"/>
      <c r="E10" s="7"/>
    </row>
    <row r="11" spans="2:3" ht="12.75">
      <c r="B11" t="s">
        <v>77</v>
      </c>
      <c r="C11" t="s">
        <v>65</v>
      </c>
    </row>
    <row r="12" spans="1:5" ht="12.75">
      <c r="A12">
        <v>1997</v>
      </c>
      <c r="B12" s="128">
        <v>100</v>
      </c>
      <c r="C12" s="128">
        <v>100</v>
      </c>
      <c r="D12" s="130"/>
      <c r="E12" s="130"/>
    </row>
    <row r="13" spans="1:3" ht="12.75">
      <c r="A13">
        <v>1998</v>
      </c>
      <c r="B13" s="128">
        <f aca="true" t="shared" si="0" ref="B13:B19">+B4/$B$3*100</f>
        <v>90.18599129402453</v>
      </c>
      <c r="C13" s="128">
        <v>102.2</v>
      </c>
    </row>
    <row r="14" spans="1:3" ht="12.75">
      <c r="A14">
        <v>1999</v>
      </c>
      <c r="B14" s="128">
        <f t="shared" si="0"/>
        <v>80.96557182429758</v>
      </c>
      <c r="C14" s="128">
        <v>104</v>
      </c>
    </row>
    <row r="15" spans="1:3" ht="12.75">
      <c r="A15">
        <v>2000</v>
      </c>
      <c r="B15" s="128">
        <f t="shared" si="0"/>
        <v>65.21567075583697</v>
      </c>
      <c r="C15" s="128">
        <v>106.5</v>
      </c>
    </row>
    <row r="16" spans="1:3" ht="12.75">
      <c r="A16">
        <v>2001</v>
      </c>
      <c r="B16" s="128">
        <f t="shared" si="0"/>
        <v>53.383458646616546</v>
      </c>
      <c r="C16">
        <v>109.3</v>
      </c>
    </row>
    <row r="17" spans="1:3" ht="12.75">
      <c r="A17">
        <v>2002</v>
      </c>
      <c r="B17" s="128">
        <f t="shared" si="0"/>
        <v>70.71626434507321</v>
      </c>
      <c r="C17" s="128">
        <v>112</v>
      </c>
    </row>
    <row r="18" spans="1:3" ht="12.75">
      <c r="A18">
        <v>2003</v>
      </c>
      <c r="B18" s="128">
        <f t="shared" si="0"/>
        <v>49.62406015037594</v>
      </c>
      <c r="C18">
        <v>114.2</v>
      </c>
    </row>
    <row r="19" spans="1:3" ht="12.75">
      <c r="A19">
        <v>2004</v>
      </c>
      <c r="B19" s="128">
        <f t="shared" si="0"/>
        <v>33.201424614166996</v>
      </c>
      <c r="C19">
        <v>115.9</v>
      </c>
    </row>
  </sheetData>
  <printOptions/>
  <pageMargins left="0.47" right="0.39" top="1.59" bottom="1" header="0.72" footer="0.5"/>
  <pageSetup fitToHeight="1" fitToWidth="1" horizontalDpi="600" verticalDpi="600" orientation="landscape" paperSize="9" scale="94" r:id="rId2"/>
  <headerFooter alignWithMargins="0">
    <oddHeader>&amp;CCONSUNTIVO 2004
SERIE STORICA CONSUMI SPECIFICI 1997 - 2004
SETTORE PROGRAMMI URBANISTICI-EDILIZI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K27" sqref="K27"/>
    </sheetView>
  </sheetViews>
  <sheetFormatPr defaultColWidth="9.140625" defaultRowHeight="12.75"/>
  <cols>
    <col min="1" max="1" width="15.28125" style="0" customWidth="1"/>
    <col min="2" max="2" width="15.8515625" style="0" customWidth="1"/>
    <col min="3" max="3" width="15.7109375" style="0" customWidth="1"/>
  </cols>
  <sheetData>
    <row r="1" ht="12.75">
      <c r="A1" t="s">
        <v>197</v>
      </c>
    </row>
    <row r="2" spans="2:3" ht="12.75">
      <c r="B2" t="s">
        <v>63</v>
      </c>
      <c r="C2" t="s">
        <v>76</v>
      </c>
    </row>
    <row r="3" spans="1:3" ht="12.75">
      <c r="A3">
        <v>1997</v>
      </c>
      <c r="B3" s="127">
        <f>+'Cons spec netti'!F98</f>
        <v>0</v>
      </c>
      <c r="C3" s="7">
        <f>+'Cons spec tot e finalizzati'!G101</f>
        <v>0</v>
      </c>
    </row>
    <row r="4" spans="1:3" ht="12.75">
      <c r="A4">
        <v>1998</v>
      </c>
      <c r="B4" s="127">
        <f>+'Cons spec netti'!G98</f>
        <v>0</v>
      </c>
      <c r="C4" s="7">
        <f>+'Cons spec tot e finalizzati'!I101</f>
        <v>0</v>
      </c>
    </row>
    <row r="5" spans="1:3" ht="12.75">
      <c r="A5">
        <v>1999</v>
      </c>
      <c r="B5" s="127">
        <f>+'Cons spec netti'!H98</f>
        <v>0</v>
      </c>
      <c r="C5" s="7">
        <f>+'Cons spec tot e finalizzati'!K101</f>
        <v>0</v>
      </c>
    </row>
    <row r="6" spans="1:3" ht="12.75">
      <c r="A6">
        <v>2000</v>
      </c>
      <c r="B6" s="127">
        <f>+'Cons spec netti'!I98</f>
        <v>21</v>
      </c>
      <c r="C6" s="7">
        <f>+'Cons spec tot e finalizzati'!M101</f>
        <v>0</v>
      </c>
    </row>
    <row r="7" spans="1:3" ht="12.75">
      <c r="A7">
        <v>2001</v>
      </c>
      <c r="B7" s="127">
        <f>+'Cons spec netti'!J98</f>
        <v>231</v>
      </c>
      <c r="C7" s="7">
        <f>+'Cons spec tot e finalizzati'!O101</f>
        <v>0</v>
      </c>
    </row>
    <row r="8" spans="1:3" ht="12.75">
      <c r="A8">
        <v>2002</v>
      </c>
      <c r="B8" s="127">
        <f>+'Cons spec netti'!K98</f>
        <v>71</v>
      </c>
      <c r="C8" s="7">
        <f>+'Cons spec tot e finalizzati'!Q101</f>
        <v>0</v>
      </c>
    </row>
    <row r="9" spans="1:3" ht="12.75">
      <c r="A9">
        <v>2003</v>
      </c>
      <c r="B9" s="127">
        <f>+'Cons spec netti'!L98</f>
        <v>269</v>
      </c>
      <c r="C9" s="7">
        <f>+'Cons spec tot e finalizzati'!S101</f>
        <v>203</v>
      </c>
    </row>
    <row r="10" spans="1:3" ht="12.75">
      <c r="A10">
        <v>2004</v>
      </c>
      <c r="B10" s="127">
        <f>+'Cons spec netti'!M98</f>
        <v>225</v>
      </c>
      <c r="C10" s="7">
        <f>+'Cons spec tot e finalizzati'!U101</f>
        <v>211</v>
      </c>
    </row>
    <row r="11" ht="12.75">
      <c r="B11" s="129"/>
    </row>
    <row r="12" spans="2:3" ht="12.75">
      <c r="B12" s="129"/>
      <c r="C12" s="128"/>
    </row>
  </sheetData>
  <printOptions/>
  <pageMargins left="1.86" right="1.3" top="1.42" bottom="1" header="0.5" footer="0.5"/>
  <pageSetup horizontalDpi="600" verticalDpi="600" orientation="landscape" paperSize="9" r:id="rId2"/>
  <headerFooter alignWithMargins="0">
    <oddHeader>&amp;CCONSUNTIVO 2004
SERIE STORICA CONSUMI SPECIFICI 1997 - 2004
SETTORE PROGETTO NUOVE ISTITUZIONI MUSEALI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workbookViewId="0" topLeftCell="G1">
      <selection activeCell="U29" sqref="U29"/>
    </sheetView>
  </sheetViews>
  <sheetFormatPr defaultColWidth="9.140625" defaultRowHeight="12.75"/>
  <cols>
    <col min="1" max="1" width="15.28125" style="0" customWidth="1"/>
    <col min="2" max="2" width="15.8515625" style="0" customWidth="1"/>
    <col min="3" max="3" width="15.7109375" style="0" customWidth="1"/>
  </cols>
  <sheetData>
    <row r="1" ht="12.75">
      <c r="A1" t="s">
        <v>196</v>
      </c>
    </row>
    <row r="2" spans="2:3" ht="12.75">
      <c r="B2" t="s">
        <v>63</v>
      </c>
      <c r="C2" t="s">
        <v>76</v>
      </c>
    </row>
    <row r="3" spans="1:3" ht="12.75">
      <c r="A3">
        <v>1997</v>
      </c>
      <c r="B3" s="127">
        <f>+'Cons spec netti'!F55</f>
        <v>831</v>
      </c>
      <c r="C3" s="7">
        <f>+'Cons spec tot e finalizzati'!G58</f>
        <v>0</v>
      </c>
    </row>
    <row r="4" spans="1:3" ht="12.75">
      <c r="A4">
        <v>1998</v>
      </c>
      <c r="B4" s="127">
        <f>+'Cons spec netti'!G55</f>
        <v>330</v>
      </c>
      <c r="C4" s="7">
        <f>+'Cons spec tot e finalizzati'!I58</f>
        <v>0</v>
      </c>
    </row>
    <row r="5" spans="1:3" ht="12.75">
      <c r="A5">
        <v>1999</v>
      </c>
      <c r="B5" s="127">
        <f>+'Cons spec netti'!H55</f>
        <v>77</v>
      </c>
      <c r="C5" s="7">
        <f>+'Cons spec tot e finalizzati'!K58</f>
        <v>0</v>
      </c>
    </row>
    <row r="6" spans="1:3" ht="12.75">
      <c r="A6">
        <v>2000</v>
      </c>
      <c r="B6" s="127">
        <f>+'Cons spec netti'!I55</f>
        <v>134</v>
      </c>
      <c r="C6" s="7">
        <f>+'Cons spec tot e finalizzati'!O58</f>
        <v>0</v>
      </c>
    </row>
    <row r="7" spans="1:3" ht="12.75">
      <c r="A7">
        <v>2001</v>
      </c>
      <c r="B7" s="127">
        <f>+'Cons spec netti'!J55</f>
        <v>38</v>
      </c>
      <c r="C7" s="7">
        <f>+'Cons spec tot e finalizzati'!Q58</f>
        <v>0</v>
      </c>
    </row>
    <row r="8" spans="1:3" ht="12.75">
      <c r="A8">
        <v>2002</v>
      </c>
      <c r="B8" s="127">
        <f>+'Cons spec netti'!K55</f>
        <v>29</v>
      </c>
      <c r="C8" s="7">
        <f>+'Cons spec tot e finalizzati'!Q58</f>
        <v>0</v>
      </c>
    </row>
    <row r="9" spans="1:3" ht="12.75">
      <c r="A9">
        <v>2003</v>
      </c>
      <c r="B9" s="127">
        <f>+'Cons spec netti'!L55</f>
        <v>136</v>
      </c>
      <c r="C9" s="7">
        <f>+'Cons spec tot e finalizzati'!S58</f>
        <v>0</v>
      </c>
    </row>
    <row r="10" spans="1:3" ht="12.75">
      <c r="A10">
        <v>2004</v>
      </c>
      <c r="B10" s="127">
        <f>+'Cons spec netti'!M55</f>
        <v>104</v>
      </c>
      <c r="C10" s="7">
        <f>+'Cons spec tot e finalizzati'!U58</f>
        <v>0</v>
      </c>
    </row>
    <row r="11" spans="2:3" ht="12.75">
      <c r="B11" t="s">
        <v>77</v>
      </c>
      <c r="C11" t="s">
        <v>65</v>
      </c>
    </row>
    <row r="12" spans="1:3" ht="12.75">
      <c r="A12">
        <v>1997</v>
      </c>
      <c r="B12" s="128">
        <v>100</v>
      </c>
      <c r="C12" s="128">
        <v>100</v>
      </c>
    </row>
    <row r="13" spans="1:3" ht="12.75">
      <c r="A13">
        <v>1998</v>
      </c>
      <c r="B13" s="128">
        <f aca="true" t="shared" si="0" ref="B13:B19">+B4/$B$3*100</f>
        <v>39.71119133574007</v>
      </c>
      <c r="C13" s="128">
        <v>102.2</v>
      </c>
    </row>
    <row r="14" spans="1:3" ht="12.75">
      <c r="A14">
        <v>1999</v>
      </c>
      <c r="B14" s="128">
        <f t="shared" si="0"/>
        <v>9.265944645006016</v>
      </c>
      <c r="C14" s="128">
        <v>104</v>
      </c>
    </row>
    <row r="15" spans="1:3" ht="12.75">
      <c r="A15">
        <v>2000</v>
      </c>
      <c r="B15" s="128">
        <f t="shared" si="0"/>
        <v>16.125150421179303</v>
      </c>
      <c r="C15" s="128">
        <v>106.5</v>
      </c>
    </row>
    <row r="16" spans="1:3" ht="12.75">
      <c r="A16">
        <v>2001</v>
      </c>
      <c r="B16" s="128">
        <f t="shared" si="0"/>
        <v>4.57280385078219</v>
      </c>
      <c r="C16">
        <v>109.3</v>
      </c>
    </row>
    <row r="17" spans="1:3" ht="12.75">
      <c r="A17">
        <v>2002</v>
      </c>
      <c r="B17" s="128">
        <f t="shared" si="0"/>
        <v>3.489771359807461</v>
      </c>
      <c r="C17" s="128">
        <v>112</v>
      </c>
    </row>
    <row r="18" spans="1:3" ht="12.75">
      <c r="A18">
        <v>2003</v>
      </c>
      <c r="B18" s="128">
        <f t="shared" si="0"/>
        <v>16.365824308062578</v>
      </c>
      <c r="C18">
        <v>114.2</v>
      </c>
    </row>
    <row r="19" spans="1:3" ht="12.75">
      <c r="A19">
        <v>2004</v>
      </c>
      <c r="B19" s="128">
        <f t="shared" si="0"/>
        <v>12.515042117930205</v>
      </c>
      <c r="C19">
        <v>115.9</v>
      </c>
    </row>
  </sheetData>
  <printOptions/>
  <pageMargins left="0.75" right="0.75" top="1.41" bottom="1" header="0.5" footer="0.5"/>
  <pageSetup fitToHeight="1" fitToWidth="1" horizontalDpi="600" verticalDpi="600" orientation="landscape" paperSize="9" r:id="rId2"/>
  <headerFooter alignWithMargins="0">
    <oddHeader>&amp;CCONSUNTIVO 2004
SERIE STORICA CONSUMI SPECIFICI 1997 - 2004
SETTORE PROGETTO ATTUAZIONE PROGRAMMA PIAZZE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workbookViewId="0" topLeftCell="A7">
      <selection activeCell="L15" sqref="L15"/>
    </sheetView>
  </sheetViews>
  <sheetFormatPr defaultColWidth="9.140625" defaultRowHeight="12.75"/>
  <cols>
    <col min="1" max="1" width="15.28125" style="0" customWidth="1"/>
    <col min="2" max="2" width="15.8515625" style="0" customWidth="1"/>
    <col min="3" max="3" width="15.7109375" style="0" customWidth="1"/>
  </cols>
  <sheetData>
    <row r="1" ht="12.75">
      <c r="A1" t="s">
        <v>204</v>
      </c>
    </row>
    <row r="2" spans="2:3" ht="12.75">
      <c r="B2" t="s">
        <v>63</v>
      </c>
      <c r="C2" t="s">
        <v>76</v>
      </c>
    </row>
    <row r="3" spans="1:3" ht="12.75">
      <c r="A3">
        <v>1997</v>
      </c>
      <c r="B3" s="127">
        <f>+'Cons spec netti'!F15</f>
        <v>688</v>
      </c>
      <c r="C3" s="7">
        <f>+'Cons spec tot e finalizzati'!G18</f>
        <v>0</v>
      </c>
    </row>
    <row r="4" spans="1:3" ht="12.75">
      <c r="A4">
        <v>1998</v>
      </c>
      <c r="B4" s="127">
        <f>+'Cons spec netti'!G15</f>
        <v>510</v>
      </c>
      <c r="C4" s="7">
        <f>+'Cons spec tot e finalizzati'!I18</f>
        <v>227</v>
      </c>
    </row>
    <row r="5" spans="1:3" ht="12.75">
      <c r="A5">
        <v>1999</v>
      </c>
      <c r="B5" s="127">
        <f>+'Cons spec netti'!H15</f>
        <v>774</v>
      </c>
      <c r="C5" s="7">
        <f>+'Cons spec tot e finalizzati'!K18</f>
        <v>300</v>
      </c>
    </row>
    <row r="6" spans="1:3" ht="12.75">
      <c r="A6">
        <v>2000</v>
      </c>
      <c r="B6" s="127">
        <f>+'Cons spec netti'!I15</f>
        <v>524</v>
      </c>
      <c r="C6" s="7">
        <f>+'Cons spec tot e finalizzati'!M18</f>
        <v>350</v>
      </c>
    </row>
    <row r="7" spans="1:3" ht="12.75">
      <c r="A7">
        <v>2001</v>
      </c>
      <c r="B7" s="127">
        <f>+'Cons spec netti'!J15</f>
        <v>918</v>
      </c>
      <c r="C7" s="7">
        <f>+'Cons spec tot e finalizzati'!O18</f>
        <v>150</v>
      </c>
    </row>
    <row r="8" spans="1:3" ht="12.75">
      <c r="A8">
        <v>2002</v>
      </c>
      <c r="B8" s="127">
        <f>+'Cons spec netti'!K15</f>
        <v>1426</v>
      </c>
      <c r="C8" s="7">
        <f>+'Cons spec tot e finalizzati'!Q18</f>
        <v>294</v>
      </c>
    </row>
    <row r="9" spans="1:3" ht="12.75">
      <c r="A9">
        <v>2003</v>
      </c>
      <c r="B9" s="127">
        <f>+'Cons spec netti'!L15</f>
        <v>1383</v>
      </c>
      <c r="C9" s="7">
        <f>+'Cons spec tot e finalizzati'!S18</f>
        <v>345</v>
      </c>
    </row>
    <row r="10" spans="1:3" ht="12.75">
      <c r="A10">
        <v>2004</v>
      </c>
      <c r="B10" s="127">
        <f>+'Cons spec netti'!M15</f>
        <v>1234</v>
      </c>
      <c r="C10" s="7">
        <f>+'Cons spec tot e finalizzati'!U18</f>
        <v>157</v>
      </c>
    </row>
    <row r="11" spans="2:3" ht="12.75">
      <c r="B11" t="s">
        <v>77</v>
      </c>
      <c r="C11" t="s">
        <v>65</v>
      </c>
    </row>
    <row r="12" spans="1:3" ht="12.75">
      <c r="A12">
        <v>1997</v>
      </c>
      <c r="B12" s="128">
        <v>100</v>
      </c>
      <c r="C12" s="128">
        <v>100</v>
      </c>
    </row>
    <row r="13" spans="1:3" ht="12.75">
      <c r="A13">
        <v>1998</v>
      </c>
      <c r="B13" s="128">
        <f aca="true" t="shared" si="0" ref="B13:B19">+B4/$B$3*100</f>
        <v>74.12790697674419</v>
      </c>
      <c r="C13" s="128">
        <v>102.2</v>
      </c>
    </row>
    <row r="14" spans="1:3" ht="12.75">
      <c r="A14">
        <v>1999</v>
      </c>
      <c r="B14" s="128">
        <f t="shared" si="0"/>
        <v>112.5</v>
      </c>
      <c r="C14" s="128">
        <v>104</v>
      </c>
    </row>
    <row r="15" spans="1:3" ht="12.75">
      <c r="A15">
        <v>2000</v>
      </c>
      <c r="B15" s="128">
        <f t="shared" si="0"/>
        <v>76.16279069767442</v>
      </c>
      <c r="C15" s="128">
        <v>106.5</v>
      </c>
    </row>
    <row r="16" spans="1:3" ht="12.75">
      <c r="A16">
        <v>2001</v>
      </c>
      <c r="B16" s="128">
        <f t="shared" si="0"/>
        <v>133.43023255813952</v>
      </c>
      <c r="C16">
        <v>109.3</v>
      </c>
    </row>
    <row r="17" spans="1:3" ht="12.75">
      <c r="A17">
        <v>2002</v>
      </c>
      <c r="B17" s="128">
        <f t="shared" si="0"/>
        <v>207.2674418604651</v>
      </c>
      <c r="C17" s="128">
        <v>112</v>
      </c>
    </row>
    <row r="18" spans="1:3" ht="12.75">
      <c r="A18">
        <v>2003</v>
      </c>
      <c r="B18" s="128">
        <f t="shared" si="0"/>
        <v>201.0174418604651</v>
      </c>
      <c r="C18">
        <v>114.2</v>
      </c>
    </row>
    <row r="19" spans="1:3" ht="12.75">
      <c r="A19">
        <v>2004</v>
      </c>
      <c r="B19" s="128">
        <f t="shared" si="0"/>
        <v>179.36046511627907</v>
      </c>
      <c r="C19">
        <v>115.9</v>
      </c>
    </row>
  </sheetData>
  <printOptions/>
  <pageMargins left="1.34" right="0.27" top="1.59" bottom="1" header="0.5" footer="0.5"/>
  <pageSetup fitToHeight="1" fitToWidth="1" horizontalDpi="600" verticalDpi="600" orientation="landscape" paperSize="9" r:id="rId2"/>
  <headerFooter alignWithMargins="0">
    <oddHeader>&amp;CCONSUNTIVO 2004
SERIE STORICA CONSUMI SPECIFICI 1997 - 2004
SETTORE POLITICHE PER LA SICUREZZA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8515625" style="0" customWidth="1"/>
    <col min="3" max="3" width="15.7109375" style="0" customWidth="1"/>
  </cols>
  <sheetData>
    <row r="1" ht="12.75">
      <c r="A1" t="s">
        <v>70</v>
      </c>
    </row>
    <row r="2" spans="2:3" ht="12.75">
      <c r="B2" t="s">
        <v>63</v>
      </c>
      <c r="C2" t="s">
        <v>76</v>
      </c>
    </row>
    <row r="3" spans="1:3" ht="12.75">
      <c r="A3">
        <v>1997</v>
      </c>
      <c r="B3" s="127">
        <f>+'Cons spec netti'!F75</f>
        <v>2550</v>
      </c>
      <c r="C3" s="7">
        <f>+'Cons spec tot e finalizzati'!G78</f>
        <v>0</v>
      </c>
    </row>
    <row r="4" spans="1:3" ht="12.75">
      <c r="A4">
        <v>1998</v>
      </c>
      <c r="B4" s="127">
        <f>+'Cons spec netti'!G75</f>
        <v>2378</v>
      </c>
      <c r="C4" s="7">
        <f>+'Cons spec tot e finalizzati'!I78</f>
        <v>0</v>
      </c>
    </row>
    <row r="5" spans="1:3" ht="12.75">
      <c r="A5">
        <v>1999</v>
      </c>
      <c r="B5" s="127">
        <f>+'Cons spec netti'!H75</f>
        <v>2467</v>
      </c>
      <c r="C5" s="7">
        <f>+'Cons spec tot e finalizzati'!K78</f>
        <v>0</v>
      </c>
    </row>
    <row r="6" spans="1:3" ht="12.75">
      <c r="A6">
        <v>2000</v>
      </c>
      <c r="B6" s="127">
        <f>+'Cons spec netti'!I75</f>
        <v>2865</v>
      </c>
      <c r="C6" s="7">
        <f>+'Cons spec tot e finalizzati'!M78</f>
        <v>0</v>
      </c>
    </row>
    <row r="7" spans="1:3" ht="12.75">
      <c r="A7">
        <v>2001</v>
      </c>
      <c r="B7" s="127">
        <f>+'Cons spec netti'!J75</f>
        <v>3710.2986463664674</v>
      </c>
      <c r="C7" s="7">
        <f>+'Cons spec tot e finalizzati'!O78</f>
        <v>37.70135363353251</v>
      </c>
    </row>
    <row r="8" spans="1:3" ht="12.75">
      <c r="A8">
        <v>2002</v>
      </c>
      <c r="B8" s="127">
        <f>+'Cons spec netti'!K75</f>
        <v>3385</v>
      </c>
      <c r="C8" s="7">
        <f>+'Cons spec tot e finalizzati'!Q78</f>
        <v>34</v>
      </c>
    </row>
    <row r="9" spans="1:3" ht="12.75">
      <c r="A9">
        <v>2003</v>
      </c>
      <c r="B9" s="127">
        <f>+'Cons spec netti'!L75</f>
        <v>2981</v>
      </c>
      <c r="C9" s="7">
        <f>+'Cons spec tot e finalizzati'!S78</f>
        <v>56</v>
      </c>
    </row>
    <row r="10" spans="1:3" ht="12.75">
      <c r="A10">
        <v>2004</v>
      </c>
      <c r="B10" s="127">
        <f>+'Cons spec netti'!M75</f>
        <v>2759</v>
      </c>
      <c r="C10" s="7">
        <f>+'Cons spec tot e finalizzati'!U78</f>
        <v>23</v>
      </c>
    </row>
    <row r="11" spans="2:3" ht="12.75">
      <c r="B11" t="s">
        <v>77</v>
      </c>
      <c r="C11" t="s">
        <v>65</v>
      </c>
    </row>
    <row r="12" spans="1:3" ht="12.75">
      <c r="A12">
        <v>1997</v>
      </c>
      <c r="B12" s="128">
        <v>100</v>
      </c>
      <c r="C12" s="128">
        <v>100</v>
      </c>
    </row>
    <row r="13" spans="1:3" ht="12.75">
      <c r="A13">
        <v>1998</v>
      </c>
      <c r="B13" s="128">
        <f aca="true" t="shared" si="0" ref="B13:B19">+B4/$B$3*100</f>
        <v>93.25490196078431</v>
      </c>
      <c r="C13" s="128">
        <v>102.2</v>
      </c>
    </row>
    <row r="14" spans="1:3" ht="12.75">
      <c r="A14">
        <v>1999</v>
      </c>
      <c r="B14" s="128">
        <f t="shared" si="0"/>
        <v>96.74509803921568</v>
      </c>
      <c r="C14" s="128">
        <v>104</v>
      </c>
    </row>
    <row r="15" spans="1:3" ht="12.75">
      <c r="A15">
        <v>2000</v>
      </c>
      <c r="B15" s="128">
        <f t="shared" si="0"/>
        <v>112.3529411764706</v>
      </c>
      <c r="C15" s="128">
        <v>106.5</v>
      </c>
    </row>
    <row r="16" spans="1:3" ht="12.75">
      <c r="A16">
        <v>2001</v>
      </c>
      <c r="B16" s="128">
        <f t="shared" si="0"/>
        <v>145.50190770064577</v>
      </c>
      <c r="C16">
        <v>109.3</v>
      </c>
    </row>
    <row r="17" spans="1:3" ht="12.75">
      <c r="A17">
        <v>2002</v>
      </c>
      <c r="B17" s="128">
        <f t="shared" si="0"/>
        <v>132.7450980392157</v>
      </c>
      <c r="C17" s="128">
        <v>112</v>
      </c>
    </row>
    <row r="18" spans="1:3" ht="12.75">
      <c r="A18">
        <v>2003</v>
      </c>
      <c r="B18" s="128">
        <f t="shared" si="0"/>
        <v>116.90196078431372</v>
      </c>
      <c r="C18">
        <v>114.2</v>
      </c>
    </row>
    <row r="19" spans="1:3" ht="12.75">
      <c r="A19">
        <v>2004</v>
      </c>
      <c r="B19" s="128">
        <f t="shared" si="0"/>
        <v>108.19607843137256</v>
      </c>
      <c r="C19">
        <v>115.9</v>
      </c>
    </row>
  </sheetData>
  <printOptions/>
  <pageMargins left="0.75" right="0.75" top="1.56" bottom="1" header="0.62" footer="0.5"/>
  <pageSetup fitToHeight="1" fitToWidth="1" horizontalDpi="600" verticalDpi="600" orientation="landscape" paperSize="9" r:id="rId2"/>
  <headerFooter alignWithMargins="0">
    <oddHeader>&amp;CCONSUNTIVO 2004
SERIE STORICA CONSUMI SPECIFICI 1997 - 2004
SETTORE SALUTE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workbookViewId="0" topLeftCell="G1">
      <selection activeCell="G1" sqref="G1:T20"/>
    </sheetView>
  </sheetViews>
  <sheetFormatPr defaultColWidth="9.140625" defaultRowHeight="12.75"/>
  <cols>
    <col min="1" max="1" width="15.28125" style="0" customWidth="1"/>
    <col min="2" max="2" width="17.28125" style="0" customWidth="1"/>
    <col min="3" max="3" width="15.7109375" style="0" customWidth="1"/>
  </cols>
  <sheetData>
    <row r="1" ht="12.75">
      <c r="A1" t="s">
        <v>71</v>
      </c>
    </row>
    <row r="2" spans="2:3" ht="12.75">
      <c r="B2" t="s">
        <v>63</v>
      </c>
      <c r="C2" t="s">
        <v>76</v>
      </c>
    </row>
    <row r="3" spans="1:4" ht="12.75">
      <c r="A3">
        <v>1997</v>
      </c>
      <c r="B3" s="127">
        <f>+'Cons spec netti'!F79</f>
        <v>10709</v>
      </c>
      <c r="C3" s="7">
        <f>+'Cons spec tot e finalizzati'!G82</f>
        <v>2085</v>
      </c>
      <c r="D3" s="7"/>
    </row>
    <row r="4" spans="1:4" ht="12.75">
      <c r="A4">
        <v>1998</v>
      </c>
      <c r="B4" s="127">
        <f>+'Cons spec netti'!G79</f>
        <v>11502</v>
      </c>
      <c r="C4" s="7">
        <f>+'Cons spec tot e finalizzati'!I82</f>
        <v>4093</v>
      </c>
      <c r="D4" s="7"/>
    </row>
    <row r="5" spans="1:4" ht="12.75">
      <c r="A5">
        <v>1999</v>
      </c>
      <c r="B5" s="127">
        <f>+'Cons spec netti'!H79</f>
        <v>13645</v>
      </c>
      <c r="C5" s="7">
        <f>+'Cons spec tot e finalizzati'!K82</f>
        <v>1523</v>
      </c>
      <c r="D5" s="7"/>
    </row>
    <row r="6" spans="1:4" ht="12.75">
      <c r="A6">
        <v>2000</v>
      </c>
      <c r="B6" s="127">
        <f>+'Cons spec netti'!I79</f>
        <v>14867</v>
      </c>
      <c r="C6" s="7">
        <f>+'Cons spec tot e finalizzati'!M82</f>
        <v>2163</v>
      </c>
      <c r="D6" s="7"/>
    </row>
    <row r="7" spans="1:4" ht="12.75">
      <c r="A7">
        <v>2001</v>
      </c>
      <c r="B7" s="127">
        <f>+'Cons spec netti'!J79</f>
        <v>16019</v>
      </c>
      <c r="C7" s="7">
        <f>+'Cons spec tot e finalizzati'!O82</f>
        <v>1813</v>
      </c>
      <c r="D7" s="7"/>
    </row>
    <row r="8" spans="1:4" ht="12.75">
      <c r="A8">
        <v>2002</v>
      </c>
      <c r="B8" s="127">
        <f>+'Cons spec netti'!K79</f>
        <v>15977</v>
      </c>
      <c r="C8" s="7">
        <f>+'Cons spec tot e finalizzati'!Q82</f>
        <v>3960</v>
      </c>
      <c r="D8" s="7"/>
    </row>
    <row r="9" spans="1:3" ht="12.75">
      <c r="A9">
        <v>2003</v>
      </c>
      <c r="B9" s="127">
        <f>+'Cons spec netti'!L79</f>
        <v>17151</v>
      </c>
      <c r="C9" s="7">
        <f>+'Cons spec tot e finalizzati'!S82</f>
        <v>5246</v>
      </c>
    </row>
    <row r="10" spans="1:3" ht="12.75">
      <c r="A10">
        <v>2004</v>
      </c>
      <c r="B10" s="127">
        <f>+'Cons spec netti'!M79</f>
        <v>21756</v>
      </c>
      <c r="C10" s="7">
        <f>+'Cons spec tot e finalizzati'!U82</f>
        <v>8663</v>
      </c>
    </row>
    <row r="11" spans="2:3" ht="12.75">
      <c r="B11" t="s">
        <v>77</v>
      </c>
      <c r="C11" t="s">
        <v>65</v>
      </c>
    </row>
    <row r="12" spans="1:3" ht="12.75">
      <c r="A12">
        <v>1997</v>
      </c>
      <c r="B12" s="128">
        <v>100</v>
      </c>
      <c r="C12" s="128">
        <v>100</v>
      </c>
    </row>
    <row r="13" spans="1:3" ht="12.75">
      <c r="A13">
        <v>1998</v>
      </c>
      <c r="B13" s="128">
        <f aca="true" t="shared" si="0" ref="B13:B19">+B4/$B$3*100</f>
        <v>107.40498645998693</v>
      </c>
      <c r="C13" s="128">
        <v>102.2</v>
      </c>
    </row>
    <row r="14" spans="1:3" ht="12.75">
      <c r="A14">
        <v>1999</v>
      </c>
      <c r="B14" s="128">
        <f t="shared" si="0"/>
        <v>127.41619198804743</v>
      </c>
      <c r="C14" s="128">
        <v>104</v>
      </c>
    </row>
    <row r="15" spans="1:3" ht="12.75">
      <c r="A15">
        <v>2000</v>
      </c>
      <c r="B15" s="128">
        <f t="shared" si="0"/>
        <v>138.82715472966666</v>
      </c>
      <c r="C15" s="128">
        <v>106.5</v>
      </c>
    </row>
    <row r="16" spans="1:3" ht="12.75">
      <c r="A16">
        <v>2001</v>
      </c>
      <c r="B16" s="128">
        <f t="shared" si="0"/>
        <v>149.5844616677561</v>
      </c>
      <c r="C16">
        <v>109.3</v>
      </c>
    </row>
    <row r="17" spans="1:3" ht="12.75">
      <c r="A17">
        <v>2002</v>
      </c>
      <c r="B17" s="128">
        <f t="shared" si="0"/>
        <v>149.19226818563826</v>
      </c>
      <c r="C17" s="128">
        <v>112</v>
      </c>
    </row>
    <row r="18" spans="1:3" ht="12.75">
      <c r="A18">
        <v>2003</v>
      </c>
      <c r="B18" s="128">
        <f t="shared" si="0"/>
        <v>160.15500980483705</v>
      </c>
      <c r="C18">
        <v>114.2</v>
      </c>
    </row>
    <row r="19" spans="1:3" ht="12.75">
      <c r="A19">
        <v>2004</v>
      </c>
      <c r="B19" s="128">
        <f t="shared" si="0"/>
        <v>203.15622373704363</v>
      </c>
      <c r="C19">
        <v>115.9</v>
      </c>
    </row>
  </sheetData>
  <printOptions/>
  <pageMargins left="0.75" right="0.75" top="1.22" bottom="1" header="0.5" footer="0.5"/>
  <pageSetup fitToHeight="1" fitToWidth="1" horizontalDpi="600" verticalDpi="600" orientation="landscape" paperSize="9" r:id="rId2"/>
  <headerFooter alignWithMargins="0">
    <oddHeader>&amp;CCONSUNTIVO 2004
SERIE STORICA CONSUMI SPECIFICI 1997 - 2004
SETTORE SERVIZI SOCIALI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452"/>
  <sheetViews>
    <sheetView zoomScale="85" zoomScaleNormal="85" workbookViewId="0" topLeftCell="A70">
      <selection activeCell="D103" sqref="D103"/>
    </sheetView>
  </sheetViews>
  <sheetFormatPr defaultColWidth="9.140625" defaultRowHeight="12.75"/>
  <cols>
    <col min="1" max="1" width="3.7109375" style="4" customWidth="1"/>
    <col min="2" max="2" width="5.00390625" style="4" customWidth="1"/>
    <col min="3" max="3" width="4.57421875" style="4" customWidth="1"/>
    <col min="4" max="4" width="61.140625" style="5" customWidth="1"/>
    <col min="5" max="5" width="0.71875" style="0" customWidth="1"/>
    <col min="6" max="13" width="11.28125" style="6" customWidth="1"/>
    <col min="14" max="14" width="7.7109375" style="0" customWidth="1"/>
    <col min="31" max="31" width="9.57421875" style="6" customWidth="1"/>
    <col min="32" max="32" width="8.7109375" style="6" customWidth="1"/>
  </cols>
  <sheetData>
    <row r="1" ht="20.25">
      <c r="A1" s="147" t="s">
        <v>191</v>
      </c>
    </row>
    <row r="2" spans="1:4" ht="20.25">
      <c r="A2" s="8"/>
      <c r="B2" s="8"/>
      <c r="C2" s="8"/>
      <c r="D2" s="9" t="s">
        <v>56</v>
      </c>
    </row>
    <row r="3" spans="1:32" ht="12.75">
      <c r="A3" s="14"/>
      <c r="B3" s="21"/>
      <c r="C3" s="14"/>
      <c r="D3" s="14"/>
      <c r="F3" s="60">
        <v>1997</v>
      </c>
      <c r="G3" s="60">
        <v>1998</v>
      </c>
      <c r="H3" s="60">
        <v>1999</v>
      </c>
      <c r="I3" s="60">
        <v>2000</v>
      </c>
      <c r="J3" s="139">
        <v>2001</v>
      </c>
      <c r="K3" s="139">
        <v>2002</v>
      </c>
      <c r="L3" s="139">
        <v>2003</v>
      </c>
      <c r="M3" s="139">
        <v>2004</v>
      </c>
      <c r="AE3" s="15"/>
      <c r="AF3" s="16"/>
    </row>
    <row r="4" spans="1:32" ht="12.75">
      <c r="A4" s="150"/>
      <c r="B4" s="14"/>
      <c r="C4" s="14"/>
      <c r="D4" s="14"/>
      <c r="F4" s="61" t="s">
        <v>75</v>
      </c>
      <c r="G4" s="61" t="s">
        <v>75</v>
      </c>
      <c r="H4" s="61" t="s">
        <v>75</v>
      </c>
      <c r="I4" s="61" t="s">
        <v>75</v>
      </c>
      <c r="J4" s="61" t="s">
        <v>75</v>
      </c>
      <c r="K4" s="140" t="s">
        <v>75</v>
      </c>
      <c r="L4" s="140" t="s">
        <v>75</v>
      </c>
      <c r="M4" s="140" t="s">
        <v>75</v>
      </c>
      <c r="AD4" s="15"/>
      <c r="AE4" s="16"/>
      <c r="AF4"/>
    </row>
    <row r="5" spans="1:32" ht="12.75">
      <c r="A5" s="14"/>
      <c r="B5" s="14"/>
      <c r="C5" s="14"/>
      <c r="D5" s="14"/>
      <c r="F5" s="62" t="s">
        <v>102</v>
      </c>
      <c r="G5" s="62" t="s">
        <v>102</v>
      </c>
      <c r="H5" s="62" t="s">
        <v>102</v>
      </c>
      <c r="I5" s="62" t="s">
        <v>102</v>
      </c>
      <c r="J5" s="62" t="s">
        <v>102</v>
      </c>
      <c r="K5" s="64" t="s">
        <v>102</v>
      </c>
      <c r="L5" s="64" t="s">
        <v>102</v>
      </c>
      <c r="M5" s="64" t="s">
        <v>102</v>
      </c>
      <c r="AC5" s="15"/>
      <c r="AD5" s="16"/>
      <c r="AE5"/>
      <c r="AF5"/>
    </row>
    <row r="6" spans="1:29" s="3" customFormat="1" ht="12.75">
      <c r="A6" s="44" t="s">
        <v>0</v>
      </c>
      <c r="B6" s="45"/>
      <c r="C6" s="45"/>
      <c r="D6" s="46"/>
      <c r="E6" s="59"/>
      <c r="F6" s="47">
        <f aca="true" t="shared" si="0" ref="F6:L6">SUM(F7:F8)</f>
        <v>3</v>
      </c>
      <c r="G6" s="47">
        <f t="shared" si="0"/>
        <v>5</v>
      </c>
      <c r="H6" s="47">
        <f t="shared" si="0"/>
        <v>2</v>
      </c>
      <c r="I6" s="47">
        <f t="shared" si="0"/>
        <v>5</v>
      </c>
      <c r="J6" s="47">
        <f t="shared" si="0"/>
        <v>56</v>
      </c>
      <c r="K6" s="47">
        <f t="shared" si="0"/>
        <v>168</v>
      </c>
      <c r="L6" s="47">
        <f t="shared" si="0"/>
        <v>199</v>
      </c>
      <c r="M6" s="47">
        <f>SUM(M7:M8)</f>
        <v>86</v>
      </c>
      <c r="N6" s="171"/>
      <c r="O6" s="292"/>
      <c r="AB6" s="73"/>
      <c r="AC6" s="74"/>
    </row>
    <row r="7" spans="1:29" s="3" customFormat="1" ht="12.75">
      <c r="A7" s="17"/>
      <c r="B7" s="10" t="s">
        <v>0</v>
      </c>
      <c r="C7" s="38"/>
      <c r="D7" s="39"/>
      <c r="E7" s="75"/>
      <c r="F7" s="41">
        <f>+'Cons spec tot e finalizzati'!F10-'Cons spec tot e finalizzati'!G10</f>
        <v>3</v>
      </c>
      <c r="G7" s="41">
        <f>+'Cons spec tot e finalizzati'!H10-'Cons spec tot e finalizzati'!I10</f>
        <v>5</v>
      </c>
      <c r="H7" s="41">
        <f>+'Cons spec tot e finalizzati'!J10-'Cons spec tot e finalizzati'!K10</f>
        <v>2</v>
      </c>
      <c r="I7" s="41">
        <f>+'Cons spec tot e finalizzati'!L10-'Cons spec tot e finalizzati'!M10</f>
        <v>5</v>
      </c>
      <c r="J7" s="41">
        <f>+'Cons spec tot e finalizzati'!N10-'Cons spec tot e finalizzati'!O10</f>
        <v>56</v>
      </c>
      <c r="K7" s="41">
        <f>+'Cons spec tot e finalizzati'!P10-'Cons spec tot e finalizzati'!Q10</f>
        <v>80</v>
      </c>
      <c r="L7" s="41">
        <f>+'Cons spec tot e finalizzati'!R10-'Cons spec tot e finalizzati'!S10</f>
        <v>44</v>
      </c>
      <c r="M7" s="41">
        <f>+'Cons spec tot e finalizzati'!T10-'Cons spec tot e finalizzati'!U10</f>
        <v>31</v>
      </c>
      <c r="N7" s="171"/>
      <c r="O7" s="292"/>
      <c r="AB7" s="76"/>
      <c r="AC7" s="77"/>
    </row>
    <row r="8" spans="1:29" s="3" customFormat="1" ht="12.75">
      <c r="A8" s="68"/>
      <c r="B8" s="56" t="s">
        <v>87</v>
      </c>
      <c r="C8" s="56"/>
      <c r="D8" s="69"/>
      <c r="F8" s="41">
        <f>+'Cons spec tot e finalizzati'!F11-'Cons spec tot e finalizzati'!G11</f>
        <v>0</v>
      </c>
      <c r="G8" s="41">
        <f>+'Cons spec tot e finalizzati'!H11-'Cons spec tot e finalizzati'!I11</f>
        <v>0</v>
      </c>
      <c r="H8" s="41">
        <f>+'Cons spec tot e finalizzati'!J11-'Cons spec tot e finalizzati'!K11</f>
        <v>0</v>
      </c>
      <c r="I8" s="41">
        <f>+'Cons spec tot e finalizzati'!L11-'Cons spec tot e finalizzati'!M11</f>
        <v>0</v>
      </c>
      <c r="J8" s="41">
        <f>+'Cons spec tot e finalizzati'!N11-'Cons spec tot e finalizzati'!O11</f>
        <v>0</v>
      </c>
      <c r="K8" s="41">
        <f>+'Cons spec tot e finalizzati'!P11-'Cons spec tot e finalizzati'!Q11</f>
        <v>88</v>
      </c>
      <c r="L8" s="41">
        <f>+'Cons spec tot e finalizzati'!R11-'Cons spec tot e finalizzati'!S11</f>
        <v>155</v>
      </c>
      <c r="M8" s="41">
        <f>+'Cons spec tot e finalizzati'!T11-'Cons spec tot e finalizzati'!U11</f>
        <v>55</v>
      </c>
      <c r="N8" s="171"/>
      <c r="O8" s="292"/>
      <c r="AB8" s="79"/>
      <c r="AC8" s="80"/>
    </row>
    <row r="9" spans="1:29" s="3" customFormat="1" ht="12.75">
      <c r="A9" s="44" t="s">
        <v>1</v>
      </c>
      <c r="B9" s="45"/>
      <c r="C9" s="45"/>
      <c r="D9" s="46"/>
      <c r="F9" s="47">
        <f aca="true" t="shared" si="1" ref="F9:L9">SUM(F10:F14)</f>
        <v>1157</v>
      </c>
      <c r="G9" s="47">
        <f t="shared" si="1"/>
        <v>1378</v>
      </c>
      <c r="H9" s="47">
        <f t="shared" si="1"/>
        <v>1251</v>
      </c>
      <c r="I9" s="47">
        <f t="shared" si="1"/>
        <v>1170</v>
      </c>
      <c r="J9" s="47">
        <f t="shared" si="1"/>
        <v>1747</v>
      </c>
      <c r="K9" s="47">
        <f t="shared" si="1"/>
        <v>1534</v>
      </c>
      <c r="L9" s="47">
        <f t="shared" si="1"/>
        <v>1500</v>
      </c>
      <c r="M9" s="47">
        <f>SUM(M10:M14)</f>
        <v>1327</v>
      </c>
      <c r="N9" s="171"/>
      <c r="O9" s="292"/>
      <c r="AB9" s="79"/>
      <c r="AC9" s="80"/>
    </row>
    <row r="10" spans="1:29" s="3" customFormat="1" ht="12.75">
      <c r="A10" s="70"/>
      <c r="B10" s="56" t="s">
        <v>105</v>
      </c>
      <c r="C10" s="56"/>
      <c r="D10" s="69"/>
      <c r="F10" s="41">
        <f>+'Cons spec tot e finalizzati'!F13-'Cons spec tot e finalizzati'!G13</f>
        <v>716</v>
      </c>
      <c r="G10" s="41">
        <f>+'Cons spec tot e finalizzati'!H13-'Cons spec tot e finalizzati'!I13</f>
        <v>692</v>
      </c>
      <c r="H10" s="41">
        <f>+'Cons spec tot e finalizzati'!J13-'Cons spec tot e finalizzati'!K13</f>
        <v>568</v>
      </c>
      <c r="I10" s="41">
        <f>+'Cons spec tot e finalizzati'!L13-'Cons spec tot e finalizzati'!M13</f>
        <v>504</v>
      </c>
      <c r="J10" s="41">
        <f>+'Cons spec tot e finalizzati'!N13-'Cons spec tot e finalizzati'!O13</f>
        <v>817</v>
      </c>
      <c r="K10" s="41">
        <f>+'Cons spec tot e finalizzati'!P13-'Cons spec tot e finalizzati'!Q13</f>
        <v>537</v>
      </c>
      <c r="L10" s="41">
        <f>+'Cons spec tot e finalizzati'!R13-'Cons spec tot e finalizzati'!S13</f>
        <v>321</v>
      </c>
      <c r="M10" s="41">
        <f>+'Cons spec tot e finalizzati'!T13-'Cons spec tot e finalizzati'!U13</f>
        <v>186</v>
      </c>
      <c r="N10" s="171"/>
      <c r="O10" s="292"/>
      <c r="AB10" s="79"/>
      <c r="AC10" s="80"/>
    </row>
    <row r="11" spans="1:29" s="3" customFormat="1" ht="12.75">
      <c r="A11" s="70"/>
      <c r="B11" s="55" t="s">
        <v>117</v>
      </c>
      <c r="C11" s="58"/>
      <c r="D11" s="81"/>
      <c r="F11" s="41">
        <f>+'Cons spec tot e finalizzati'!F14-'Cons spec tot e finalizzati'!G14</f>
        <v>232</v>
      </c>
      <c r="G11" s="41">
        <f>+'Cons spec tot e finalizzati'!H14-'Cons spec tot e finalizzati'!I14</f>
        <v>247</v>
      </c>
      <c r="H11" s="41">
        <f>+'Cons spec tot e finalizzati'!J14-'Cons spec tot e finalizzati'!K14</f>
        <v>258</v>
      </c>
      <c r="I11" s="41">
        <f>+'Cons spec tot e finalizzati'!L14-'Cons spec tot e finalizzati'!M14</f>
        <v>278</v>
      </c>
      <c r="J11" s="41">
        <f>+'Cons spec tot e finalizzati'!N14-'Cons spec tot e finalizzati'!O14</f>
        <v>233</v>
      </c>
      <c r="K11" s="41">
        <f>+'Cons spec tot e finalizzati'!P14-'Cons spec tot e finalizzati'!Q14</f>
        <v>231</v>
      </c>
      <c r="L11" s="41">
        <f>+'Cons spec tot e finalizzati'!R14-'Cons spec tot e finalizzati'!S14</f>
        <v>271</v>
      </c>
      <c r="M11" s="41">
        <f>+'Cons spec tot e finalizzati'!T14-'Cons spec tot e finalizzati'!U14</f>
        <v>234</v>
      </c>
      <c r="N11" s="171"/>
      <c r="O11" s="292"/>
      <c r="AB11" s="79"/>
      <c r="AC11" s="80"/>
    </row>
    <row r="12" spans="1:29" s="3" customFormat="1" ht="12.75">
      <c r="A12" s="70"/>
      <c r="B12" s="56" t="s">
        <v>2</v>
      </c>
      <c r="C12" s="56"/>
      <c r="D12" s="69"/>
      <c r="E12" s="82"/>
      <c r="F12" s="41">
        <f>+'Cons spec tot e finalizzati'!F15-'Cons spec tot e finalizzati'!G15</f>
        <v>209</v>
      </c>
      <c r="G12" s="41">
        <f>+'Cons spec tot e finalizzati'!H15-'Cons spec tot e finalizzati'!I15</f>
        <v>439</v>
      </c>
      <c r="H12" s="41">
        <f>+'Cons spec tot e finalizzati'!J15-'Cons spec tot e finalizzati'!K15</f>
        <v>290</v>
      </c>
      <c r="I12" s="41">
        <f>+'Cons spec tot e finalizzati'!L15-'Cons spec tot e finalizzati'!M15</f>
        <v>177</v>
      </c>
      <c r="J12" s="41">
        <f>+'Cons spec tot e finalizzati'!N15-'Cons spec tot e finalizzati'!O15</f>
        <v>315</v>
      </c>
      <c r="K12" s="41">
        <f>+'Cons spec tot e finalizzati'!P15-'Cons spec tot e finalizzati'!Q15</f>
        <v>318</v>
      </c>
      <c r="L12" s="41">
        <f>+'Cons spec tot e finalizzati'!R15-'Cons spec tot e finalizzati'!S15</f>
        <v>271</v>
      </c>
      <c r="M12" s="41">
        <f>+'Cons spec tot e finalizzati'!T15-'Cons spec tot e finalizzati'!U15</f>
        <v>249</v>
      </c>
      <c r="N12" s="171"/>
      <c r="O12" s="292"/>
      <c r="AB12" s="83"/>
      <c r="AC12" s="84"/>
    </row>
    <row r="13" spans="1:29" s="3" customFormat="1" ht="12.75">
      <c r="A13" s="24"/>
      <c r="B13" s="18" t="s">
        <v>3</v>
      </c>
      <c r="C13" s="18"/>
      <c r="D13" s="25"/>
      <c r="F13" s="41">
        <f>+'Cons spec tot e finalizzati'!F16-'Cons spec tot e finalizzati'!G16</f>
        <v>0</v>
      </c>
      <c r="G13" s="41">
        <f>+'Cons spec tot e finalizzati'!H16-'Cons spec tot e finalizzati'!I16</f>
        <v>0</v>
      </c>
      <c r="H13" s="41">
        <f>+'Cons spec tot e finalizzati'!J16-'Cons spec tot e finalizzati'!K16</f>
        <v>135</v>
      </c>
      <c r="I13" s="41">
        <f>+'Cons spec tot e finalizzati'!L16-'Cons spec tot e finalizzati'!M16</f>
        <v>211</v>
      </c>
      <c r="J13" s="41">
        <f>+'Cons spec tot e finalizzati'!N16-'Cons spec tot e finalizzati'!O16</f>
        <v>382</v>
      </c>
      <c r="K13" s="41">
        <f>+'Cons spec tot e finalizzati'!P16-'Cons spec tot e finalizzati'!Q16</f>
        <v>234</v>
      </c>
      <c r="L13" s="41">
        <f>+'Cons spec tot e finalizzati'!R16-'Cons spec tot e finalizzati'!S16</f>
        <v>442</v>
      </c>
      <c r="M13" s="41">
        <f>+'Cons spec tot e finalizzati'!T16-'Cons spec tot e finalizzati'!U16</f>
        <v>481</v>
      </c>
      <c r="N13" s="171"/>
      <c r="O13" s="292"/>
      <c r="AB13" s="73"/>
      <c r="AC13" s="85"/>
    </row>
    <row r="14" spans="1:29" s="59" customFormat="1" ht="12.75">
      <c r="A14" s="24"/>
      <c r="B14" s="18" t="s">
        <v>88</v>
      </c>
      <c r="C14" s="18"/>
      <c r="D14" s="25"/>
      <c r="E14" s="3"/>
      <c r="F14" s="41">
        <f>+'Cons spec tot e finalizzati'!F17-'Cons spec tot e finalizzati'!G17</f>
        <v>0</v>
      </c>
      <c r="G14" s="41">
        <f>+'Cons spec tot e finalizzati'!H17-'Cons spec tot e finalizzati'!I17</f>
        <v>0</v>
      </c>
      <c r="H14" s="41">
        <f>+'Cons spec tot e finalizzati'!J17-'Cons spec tot e finalizzati'!K17</f>
        <v>0</v>
      </c>
      <c r="I14" s="41">
        <f>+'Cons spec tot e finalizzati'!L17-'Cons spec tot e finalizzati'!M17</f>
        <v>0</v>
      </c>
      <c r="J14" s="41">
        <f>+'Cons spec tot e finalizzati'!N17-'Cons spec tot e finalizzati'!O17</f>
        <v>0</v>
      </c>
      <c r="K14" s="41">
        <f>+'Cons spec tot e finalizzati'!P17-'Cons spec tot e finalizzati'!Q17</f>
        <v>214</v>
      </c>
      <c r="L14" s="41">
        <f>+'Cons spec tot e finalizzati'!R17-'Cons spec tot e finalizzati'!S17</f>
        <v>195</v>
      </c>
      <c r="M14" s="41">
        <f>+'Cons spec tot e finalizzati'!T17-'Cons spec tot e finalizzati'!U17</f>
        <v>177</v>
      </c>
      <c r="N14" s="171"/>
      <c r="O14" s="292"/>
      <c r="AB14" s="86"/>
      <c r="AC14" s="87"/>
    </row>
    <row r="15" spans="1:29" s="3" customFormat="1" ht="12.75">
      <c r="A15" s="44" t="s">
        <v>166</v>
      </c>
      <c r="B15" s="45"/>
      <c r="C15" s="45"/>
      <c r="D15" s="46"/>
      <c r="F15" s="47">
        <f>+'Cons spec tot e finalizzati'!F18-'Cons spec tot e finalizzati'!G18</f>
        <v>688</v>
      </c>
      <c r="G15" s="47">
        <f>+'Cons spec tot e finalizzati'!H18-'Cons spec tot e finalizzati'!I18</f>
        <v>510</v>
      </c>
      <c r="H15" s="47">
        <f>+'Cons spec tot e finalizzati'!J18-'Cons spec tot e finalizzati'!K18</f>
        <v>774</v>
      </c>
      <c r="I15" s="47">
        <f>+'Cons spec tot e finalizzati'!L18-'Cons spec tot e finalizzati'!M18</f>
        <v>524</v>
      </c>
      <c r="J15" s="47">
        <f>+'Cons spec tot e finalizzati'!N18-'Cons spec tot e finalizzati'!O18</f>
        <v>918</v>
      </c>
      <c r="K15" s="47">
        <f>SUM(K16:K20)</f>
        <v>1426</v>
      </c>
      <c r="L15" s="47">
        <f>SUM(L16:L20)</f>
        <v>1383</v>
      </c>
      <c r="M15" s="47">
        <f>SUM(M16:M20)</f>
        <v>1234</v>
      </c>
      <c r="N15" s="171"/>
      <c r="O15" s="292"/>
      <c r="AB15" s="79"/>
      <c r="AC15" s="80"/>
    </row>
    <row r="16" spans="1:29" s="59" customFormat="1" ht="12.75">
      <c r="A16" s="24"/>
      <c r="B16" s="56" t="s">
        <v>9</v>
      </c>
      <c r="D16" s="34"/>
      <c r="E16" s="3"/>
      <c r="F16" s="41"/>
      <c r="G16" s="41"/>
      <c r="H16" s="41"/>
      <c r="I16" s="41"/>
      <c r="J16" s="41"/>
      <c r="K16" s="41">
        <f>+'Cons spec tot e finalizzati'!P19-'Cons spec tot e finalizzati'!Q19</f>
        <v>222</v>
      </c>
      <c r="L16" s="41">
        <f>+'Cons spec tot e finalizzati'!R19-'Cons spec tot e finalizzati'!S19</f>
        <v>45</v>
      </c>
      <c r="M16" s="41">
        <f>+'Cons spec tot e finalizzati'!T19-'Cons spec tot e finalizzati'!U19</f>
        <v>123</v>
      </c>
      <c r="N16" s="171"/>
      <c r="O16" s="292"/>
      <c r="AB16" s="86"/>
      <c r="AC16" s="87"/>
    </row>
    <row r="17" spans="1:29" s="59" customFormat="1" ht="12.75">
      <c r="A17" s="24"/>
      <c r="B17" s="56" t="s">
        <v>153</v>
      </c>
      <c r="D17" s="34"/>
      <c r="E17" s="3"/>
      <c r="F17" s="41"/>
      <c r="G17" s="41"/>
      <c r="H17" s="41"/>
      <c r="I17" s="41"/>
      <c r="J17" s="41"/>
      <c r="K17" s="41">
        <f>+'Cons spec tot e finalizzati'!P20-'Cons spec tot e finalizzati'!Q20</f>
        <v>190</v>
      </c>
      <c r="L17" s="41">
        <f>+'Cons spec tot e finalizzati'!R20-'Cons spec tot e finalizzati'!S20</f>
        <v>431</v>
      </c>
      <c r="M17" s="41">
        <f>+'Cons spec tot e finalizzati'!T20-'Cons spec tot e finalizzati'!U20</f>
        <v>364</v>
      </c>
      <c r="N17" s="171"/>
      <c r="O17" s="292"/>
      <c r="AB17" s="86"/>
      <c r="AC17" s="87"/>
    </row>
    <row r="18" spans="1:29" s="59" customFormat="1" ht="12.75">
      <c r="A18" s="24"/>
      <c r="B18" s="56" t="s">
        <v>154</v>
      </c>
      <c r="D18" s="34"/>
      <c r="E18" s="3"/>
      <c r="F18" s="41"/>
      <c r="G18" s="41"/>
      <c r="H18" s="41"/>
      <c r="I18" s="41"/>
      <c r="J18" s="41"/>
      <c r="K18" s="41">
        <f>+'Cons spec tot e finalizzati'!P21-'Cons spec tot e finalizzati'!Q21</f>
        <v>479</v>
      </c>
      <c r="L18" s="41">
        <f>+'Cons spec tot e finalizzati'!R21-'Cons spec tot e finalizzati'!S21</f>
        <v>393</v>
      </c>
      <c r="M18" s="41">
        <f>+'Cons spec tot e finalizzati'!T21-'Cons spec tot e finalizzati'!U21</f>
        <v>256</v>
      </c>
      <c r="N18" s="171"/>
      <c r="O18" s="292"/>
      <c r="AB18" s="86"/>
      <c r="AC18" s="87"/>
    </row>
    <row r="19" spans="1:29" s="59" customFormat="1" ht="12.75">
      <c r="A19" s="24"/>
      <c r="B19" s="56" t="s">
        <v>155</v>
      </c>
      <c r="D19" s="34"/>
      <c r="E19" s="3"/>
      <c r="F19" s="41"/>
      <c r="G19" s="41"/>
      <c r="H19" s="41"/>
      <c r="I19" s="41"/>
      <c r="J19" s="41"/>
      <c r="K19" s="41">
        <f>+'Cons spec tot e finalizzati'!P22-'Cons spec tot e finalizzati'!Q22</f>
        <v>52</v>
      </c>
      <c r="L19" s="41">
        <f>+'Cons spec tot e finalizzati'!R22-'Cons spec tot e finalizzati'!S22</f>
        <v>69</v>
      </c>
      <c r="M19" s="41">
        <f>+'Cons spec tot e finalizzati'!T22-'Cons spec tot e finalizzati'!U22</f>
        <v>0</v>
      </c>
      <c r="N19" s="171"/>
      <c r="O19" s="292"/>
      <c r="AB19" s="86"/>
      <c r="AC19" s="87"/>
    </row>
    <row r="20" spans="1:29" s="59" customFormat="1" ht="12.75">
      <c r="A20" s="24"/>
      <c r="B20" s="56" t="s">
        <v>156</v>
      </c>
      <c r="D20" s="34"/>
      <c r="E20" s="3"/>
      <c r="F20" s="42"/>
      <c r="G20" s="42"/>
      <c r="H20" s="42"/>
      <c r="I20" s="42"/>
      <c r="J20" s="42"/>
      <c r="K20" s="42">
        <f>+'Cons spec tot e finalizzati'!P23-'Cons spec tot e finalizzati'!Q23</f>
        <v>483</v>
      </c>
      <c r="L20" s="42">
        <f>+'Cons spec tot e finalizzati'!R23-'Cons spec tot e finalizzati'!S23</f>
        <v>445</v>
      </c>
      <c r="M20" s="42">
        <f>+'Cons spec tot e finalizzati'!T23-'Cons spec tot e finalizzati'!U23</f>
        <v>491</v>
      </c>
      <c r="N20" s="171"/>
      <c r="O20" s="292"/>
      <c r="AB20" s="86"/>
      <c r="AC20" s="87"/>
    </row>
    <row r="21" spans="1:29" s="3" customFormat="1" ht="12.75">
      <c r="A21" s="44" t="s">
        <v>4</v>
      </c>
      <c r="B21" s="45"/>
      <c r="C21" s="50"/>
      <c r="D21" s="51"/>
      <c r="F21" s="52">
        <f>+'Cons spec tot e finalizzati'!F24-'Cons spec tot e finalizzati'!G24</f>
        <v>303</v>
      </c>
      <c r="G21" s="52">
        <f>+'Cons spec tot e finalizzati'!H24-'Cons spec tot e finalizzati'!I24</f>
        <v>334</v>
      </c>
      <c r="H21" s="52">
        <f>+'Cons spec tot e finalizzati'!J24-'Cons spec tot e finalizzati'!K24</f>
        <v>315</v>
      </c>
      <c r="I21" s="52">
        <f>+'Cons spec tot e finalizzati'!L24-'Cons spec tot e finalizzati'!M24</f>
        <v>361</v>
      </c>
      <c r="J21" s="52">
        <f>+'Cons spec tot e finalizzati'!N24-'Cons spec tot e finalizzati'!O24</f>
        <v>339</v>
      </c>
      <c r="K21" s="52">
        <f>+'Cons spec tot e finalizzati'!P24-'Cons spec tot e finalizzati'!Q24</f>
        <v>265</v>
      </c>
      <c r="L21" s="52">
        <f>+'Cons spec tot e finalizzati'!R24-'Cons spec tot e finalizzati'!S24</f>
        <v>250</v>
      </c>
      <c r="M21" s="52">
        <f>+'Cons spec tot e finalizzati'!T24-'Cons spec tot e finalizzati'!U24</f>
        <v>359</v>
      </c>
      <c r="N21" s="171"/>
      <c r="O21" s="292"/>
      <c r="AB21" s="73"/>
      <c r="AC21" s="85"/>
    </row>
    <row r="22" spans="1:29" s="3" customFormat="1" ht="12.75">
      <c r="A22" s="44" t="s">
        <v>165</v>
      </c>
      <c r="B22" s="45"/>
      <c r="C22" s="50"/>
      <c r="D22" s="51"/>
      <c r="F22" s="52">
        <f>+'Cons spec tot e finalizzati'!F25-'Cons spec tot e finalizzati'!G25</f>
        <v>468</v>
      </c>
      <c r="G22" s="52">
        <f>+'Cons spec tot e finalizzati'!H25-'Cons spec tot e finalizzati'!I25</f>
        <v>159</v>
      </c>
      <c r="H22" s="52">
        <f>+'Cons spec tot e finalizzati'!J25-'Cons spec tot e finalizzati'!K25</f>
        <v>258</v>
      </c>
      <c r="I22" s="52">
        <f>+'Cons spec tot e finalizzati'!L25-'Cons spec tot e finalizzati'!M25</f>
        <v>150</v>
      </c>
      <c r="J22" s="52">
        <f>+'Cons spec tot e finalizzati'!N25-'Cons spec tot e finalizzati'!O25</f>
        <v>127</v>
      </c>
      <c r="K22" s="52">
        <f>+'Cons spec tot e finalizzati'!P25-'Cons spec tot e finalizzati'!Q25</f>
        <v>73</v>
      </c>
      <c r="L22" s="52">
        <f>+'Cons spec tot e finalizzati'!R25-'Cons spec tot e finalizzati'!S25</f>
        <v>71</v>
      </c>
      <c r="M22" s="52">
        <f>+'Cons spec tot e finalizzati'!T25-'Cons spec tot e finalizzati'!U25</f>
        <v>124</v>
      </c>
      <c r="N22" s="171"/>
      <c r="O22" s="292"/>
      <c r="AB22" s="73"/>
      <c r="AC22" s="85"/>
    </row>
    <row r="23" spans="1:29" s="3" customFormat="1" ht="12.75">
      <c r="A23" s="44" t="s">
        <v>106</v>
      </c>
      <c r="B23" s="45"/>
      <c r="C23" s="50"/>
      <c r="D23" s="51"/>
      <c r="F23" s="52">
        <f>+'Cons spec tot e finalizzati'!F26-'Cons spec tot e finalizzati'!G26</f>
        <v>187</v>
      </c>
      <c r="G23" s="52">
        <f>+'Cons spec tot e finalizzati'!H26-'Cons spec tot e finalizzati'!I26</f>
        <v>278</v>
      </c>
      <c r="H23" s="52">
        <f>+'Cons spec tot e finalizzati'!J26-'Cons spec tot e finalizzati'!K26</f>
        <v>315</v>
      </c>
      <c r="I23" s="52">
        <f>+'Cons spec tot e finalizzati'!L26-'Cons spec tot e finalizzati'!M26</f>
        <v>227</v>
      </c>
      <c r="J23" s="52">
        <f>+'Cons spec tot e finalizzati'!N26-'Cons spec tot e finalizzati'!O26</f>
        <v>239</v>
      </c>
      <c r="K23" s="52">
        <f>+'Cons spec tot e finalizzati'!P26-'Cons spec tot e finalizzati'!Q26</f>
        <v>280</v>
      </c>
      <c r="L23" s="52">
        <f>+'Cons spec tot e finalizzati'!R26-'Cons spec tot e finalizzati'!S26</f>
        <v>265</v>
      </c>
      <c r="M23" s="52">
        <f>+'Cons spec tot e finalizzati'!T26-'Cons spec tot e finalizzati'!U26</f>
        <v>215</v>
      </c>
      <c r="N23" s="171"/>
      <c r="O23" s="292"/>
      <c r="AB23" s="73"/>
      <c r="AC23" s="85"/>
    </row>
    <row r="24" spans="1:29" s="3" customFormat="1" ht="12.75">
      <c r="A24" s="44" t="s">
        <v>107</v>
      </c>
      <c r="B24" s="45"/>
      <c r="C24" s="50"/>
      <c r="D24" s="51"/>
      <c r="F24" s="52">
        <f>+'Cons spec tot e finalizzati'!F27-'Cons spec tot e finalizzati'!G27</f>
        <v>0</v>
      </c>
      <c r="G24" s="52">
        <f>+'Cons spec tot e finalizzati'!H27-'Cons spec tot e finalizzati'!I27</f>
        <v>0</v>
      </c>
      <c r="H24" s="52">
        <f>+'Cons spec tot e finalizzati'!J27-'Cons spec tot e finalizzati'!K27</f>
        <v>0</v>
      </c>
      <c r="I24" s="52">
        <f>+'Cons spec tot e finalizzati'!L27-'Cons spec tot e finalizzati'!M27</f>
        <v>250</v>
      </c>
      <c r="J24" s="52">
        <f>+'Cons spec tot e finalizzati'!N27-'Cons spec tot e finalizzati'!O27</f>
        <v>874</v>
      </c>
      <c r="K24" s="52">
        <f>+'Cons spec tot e finalizzati'!P27-'Cons spec tot e finalizzati'!Q27</f>
        <v>810</v>
      </c>
      <c r="L24" s="52">
        <f>+'Cons spec tot e finalizzati'!R27-'Cons spec tot e finalizzati'!S27</f>
        <v>916</v>
      </c>
      <c r="M24" s="52">
        <f>+'Cons spec tot e finalizzati'!T27-'Cons spec tot e finalizzati'!U27</f>
        <v>844</v>
      </c>
      <c r="N24" s="171"/>
      <c r="O24" s="292"/>
      <c r="AB24" s="73"/>
      <c r="AC24" s="85"/>
    </row>
    <row r="25" spans="1:29" s="3" customFormat="1" ht="12.75">
      <c r="A25" s="44" t="s">
        <v>167</v>
      </c>
      <c r="B25" s="45"/>
      <c r="C25" s="50"/>
      <c r="D25" s="51"/>
      <c r="F25" s="52">
        <f>+'Cons spec tot e finalizzati'!F28-'Cons spec tot e finalizzati'!G28</f>
        <v>0</v>
      </c>
      <c r="G25" s="52">
        <f>+'Cons spec tot e finalizzati'!H28-'Cons spec tot e finalizzati'!I28</f>
        <v>0</v>
      </c>
      <c r="H25" s="52">
        <f>+'Cons spec tot e finalizzati'!J28-'Cons spec tot e finalizzati'!K28</f>
        <v>0</v>
      </c>
      <c r="I25" s="52">
        <f>+'Cons spec tot e finalizzati'!L28-'Cons spec tot e finalizzati'!M28</f>
        <v>0</v>
      </c>
      <c r="J25" s="52">
        <f>+'Cons spec tot e finalizzati'!N28-'Cons spec tot e finalizzati'!O28</f>
        <v>0</v>
      </c>
      <c r="K25" s="52">
        <f>+'Cons spec tot e finalizzati'!P28-'Cons spec tot e finalizzati'!Q28</f>
        <v>0</v>
      </c>
      <c r="L25" s="52">
        <f>+'Cons spec tot e finalizzati'!R28-'Cons spec tot e finalizzati'!S28</f>
        <v>0</v>
      </c>
      <c r="M25" s="52">
        <f>+'Cons spec tot e finalizzati'!T28-'Cons spec tot e finalizzati'!U28</f>
        <v>35</v>
      </c>
      <c r="N25" s="171"/>
      <c r="O25" s="292"/>
      <c r="AB25" s="73"/>
      <c r="AC25" s="85"/>
    </row>
    <row r="26" spans="1:29" s="3" customFormat="1" ht="12.75">
      <c r="A26" s="44" t="s">
        <v>169</v>
      </c>
      <c r="B26" s="45"/>
      <c r="C26" s="50"/>
      <c r="D26" s="51"/>
      <c r="F26" s="52">
        <f>+'Cons spec tot e finalizzati'!F29-'Cons spec tot e finalizzati'!G29</f>
        <v>0</v>
      </c>
      <c r="G26" s="52">
        <f>+'Cons spec tot e finalizzati'!H29-'Cons spec tot e finalizzati'!I29</f>
        <v>0</v>
      </c>
      <c r="H26" s="52">
        <f>+'Cons spec tot e finalizzati'!J29-'Cons spec tot e finalizzati'!K29</f>
        <v>0</v>
      </c>
      <c r="I26" s="52">
        <f>+'Cons spec tot e finalizzati'!L29-'Cons spec tot e finalizzati'!M29</f>
        <v>0</v>
      </c>
      <c r="J26" s="52">
        <f>+'Cons spec tot e finalizzati'!N29-'Cons spec tot e finalizzati'!O29</f>
        <v>0</v>
      </c>
      <c r="K26" s="52">
        <f>+'Cons spec tot e finalizzati'!P29-'Cons spec tot e finalizzati'!Q29</f>
        <v>0</v>
      </c>
      <c r="L26" s="52">
        <f>+'Cons spec tot e finalizzati'!R29-'Cons spec tot e finalizzati'!S29</f>
        <v>0</v>
      </c>
      <c r="M26" s="52">
        <f>+'Cons spec tot e finalizzati'!T29-'Cons spec tot e finalizzati'!U29</f>
        <v>7</v>
      </c>
      <c r="N26" s="171"/>
      <c r="O26" s="292"/>
      <c r="AB26" s="76"/>
      <c r="AC26" s="106"/>
    </row>
    <row r="27" spans="1:29" s="3" customFormat="1" ht="12.75">
      <c r="A27" s="44" t="s">
        <v>168</v>
      </c>
      <c r="B27" s="45"/>
      <c r="C27" s="45"/>
      <c r="D27" s="46"/>
      <c r="F27" s="54">
        <f aca="true" t="shared" si="2" ref="F27:L27">SUM(F28:F32)</f>
        <v>784</v>
      </c>
      <c r="G27" s="54">
        <f t="shared" si="2"/>
        <v>722</v>
      </c>
      <c r="H27" s="54">
        <f t="shared" si="2"/>
        <v>999</v>
      </c>
      <c r="I27" s="54">
        <f t="shared" si="2"/>
        <v>1194</v>
      </c>
      <c r="J27" s="54">
        <f t="shared" si="2"/>
        <v>1101</v>
      </c>
      <c r="K27" s="54">
        <f t="shared" si="2"/>
        <v>737</v>
      </c>
      <c r="L27" s="54">
        <f t="shared" si="2"/>
        <v>220</v>
      </c>
      <c r="M27" s="54">
        <f>SUM(M28:M32)</f>
        <v>372</v>
      </c>
      <c r="N27" s="171"/>
      <c r="O27" s="292"/>
      <c r="AB27" s="76"/>
      <c r="AC27" s="77"/>
    </row>
    <row r="28" spans="1:29" s="3" customFormat="1" ht="12.75">
      <c r="A28" s="68"/>
      <c r="B28" s="56" t="s">
        <v>6</v>
      </c>
      <c r="C28" s="56"/>
      <c r="D28" s="69"/>
      <c r="F28" s="41">
        <f>+'Cons spec tot e finalizzati'!F31-'Cons spec tot e finalizzati'!G31</f>
        <v>199</v>
      </c>
      <c r="G28" s="41">
        <f>+'Cons spec tot e finalizzati'!H31-'Cons spec tot e finalizzati'!I31</f>
        <v>154</v>
      </c>
      <c r="H28" s="41">
        <f>+'Cons spec tot e finalizzati'!J31-'Cons spec tot e finalizzati'!K31</f>
        <v>200</v>
      </c>
      <c r="I28" s="41">
        <f>+'Cons spec tot e finalizzati'!L31-'Cons spec tot e finalizzati'!M31</f>
        <v>79</v>
      </c>
      <c r="J28" s="41">
        <f>+'Cons spec tot e finalizzati'!N31-'Cons spec tot e finalizzati'!O31</f>
        <v>98</v>
      </c>
      <c r="K28" s="41">
        <f>+'Cons spec tot e finalizzati'!P31-'Cons spec tot e finalizzati'!Q31</f>
        <v>44</v>
      </c>
      <c r="L28" s="41">
        <f>+'Cons spec tot e finalizzati'!R31-'Cons spec tot e finalizzati'!S31</f>
        <v>36</v>
      </c>
      <c r="M28" s="41">
        <f>+'Cons spec tot e finalizzati'!T31-'Cons spec tot e finalizzati'!U31</f>
        <v>39</v>
      </c>
      <c r="N28" s="171"/>
      <c r="O28" s="292"/>
      <c r="AB28" s="79"/>
      <c r="AC28" s="80"/>
    </row>
    <row r="29" spans="1:29" s="3" customFormat="1" ht="12.75">
      <c r="A29" s="68"/>
      <c r="B29" s="58" t="s">
        <v>7</v>
      </c>
      <c r="C29" s="56"/>
      <c r="D29" s="69"/>
      <c r="F29" s="41">
        <f>+'Cons spec tot e finalizzati'!F32-'Cons spec tot e finalizzati'!G32</f>
        <v>4</v>
      </c>
      <c r="G29" s="41">
        <f>+'Cons spec tot e finalizzati'!H32-'Cons spec tot e finalizzati'!I32</f>
        <v>10</v>
      </c>
      <c r="H29" s="41">
        <f>+'Cons spec tot e finalizzati'!J32-'Cons spec tot e finalizzati'!K32</f>
        <v>24</v>
      </c>
      <c r="I29" s="41">
        <f>+'Cons spec tot e finalizzati'!L32-'Cons spec tot e finalizzati'!M32</f>
        <v>23</v>
      </c>
      <c r="J29" s="41">
        <f>+'Cons spec tot e finalizzati'!N32-'Cons spec tot e finalizzati'!O32</f>
        <v>0</v>
      </c>
      <c r="K29" s="41">
        <f>+'Cons spec tot e finalizzati'!P32-'Cons spec tot e finalizzati'!Q32</f>
        <v>0</v>
      </c>
      <c r="L29" s="41">
        <f>+'Cons spec tot e finalizzati'!R32-'Cons spec tot e finalizzati'!S32</f>
        <v>0</v>
      </c>
      <c r="M29" s="41">
        <f>+'Cons spec tot e finalizzati'!T32-'Cons spec tot e finalizzati'!U32</f>
        <v>0</v>
      </c>
      <c r="N29" s="171"/>
      <c r="O29" s="292"/>
      <c r="AB29" s="79"/>
      <c r="AC29" s="80"/>
    </row>
    <row r="30" spans="1:29" s="3" customFormat="1" ht="12.75">
      <c r="A30" s="68"/>
      <c r="B30" s="58" t="s">
        <v>108</v>
      </c>
      <c r="C30" s="58"/>
      <c r="D30" s="81"/>
      <c r="F30" s="41">
        <f>+'Cons spec tot e finalizzati'!F33-'Cons spec tot e finalizzati'!G33</f>
        <v>144</v>
      </c>
      <c r="G30" s="41">
        <f>+'Cons spec tot e finalizzati'!H33-'Cons spec tot e finalizzati'!I33</f>
        <v>103</v>
      </c>
      <c r="H30" s="41">
        <f>+'Cons spec tot e finalizzati'!J33-'Cons spec tot e finalizzati'!K33</f>
        <v>96</v>
      </c>
      <c r="I30" s="41">
        <f>+'Cons spec tot e finalizzati'!L33-'Cons spec tot e finalizzati'!M33</f>
        <v>0</v>
      </c>
      <c r="J30" s="41">
        <f>+'Cons spec tot e finalizzati'!N33-'Cons spec tot e finalizzati'!O33</f>
        <v>0</v>
      </c>
      <c r="K30" s="41">
        <f>+'Cons spec tot e finalizzati'!P33-'Cons spec tot e finalizzati'!Q33</f>
        <v>0</v>
      </c>
      <c r="L30" s="41">
        <f>+'Cons spec tot e finalizzati'!R33-'Cons spec tot e finalizzati'!S33</f>
        <v>0</v>
      </c>
      <c r="M30" s="41">
        <f>+'Cons spec tot e finalizzati'!T33-'Cons spec tot e finalizzati'!U33</f>
        <v>0</v>
      </c>
      <c r="N30" s="171"/>
      <c r="O30" s="292"/>
      <c r="AB30" s="79"/>
      <c r="AC30" s="80"/>
    </row>
    <row r="31" spans="1:29" s="3" customFormat="1" ht="12.75">
      <c r="A31" s="68"/>
      <c r="B31" s="56" t="s">
        <v>122</v>
      </c>
      <c r="C31" s="56"/>
      <c r="D31" s="69"/>
      <c r="F31" s="41">
        <f>+'Cons spec tot e finalizzati'!F34-'Cons spec tot e finalizzati'!G34</f>
        <v>98</v>
      </c>
      <c r="G31" s="41">
        <f>+'Cons spec tot e finalizzati'!H34-'Cons spec tot e finalizzati'!I34</f>
        <v>223</v>
      </c>
      <c r="H31" s="41">
        <f>+'Cons spec tot e finalizzati'!J34-'Cons spec tot e finalizzati'!K34</f>
        <v>139</v>
      </c>
      <c r="I31" s="41">
        <f>+'Cons spec tot e finalizzati'!L34-'Cons spec tot e finalizzati'!M34</f>
        <v>133</v>
      </c>
      <c r="J31" s="41">
        <f>+'Cons spec tot e finalizzati'!N34-'Cons spec tot e finalizzati'!O34</f>
        <v>127</v>
      </c>
      <c r="K31" s="41">
        <f>+'Cons spec tot e finalizzati'!P34-'Cons spec tot e finalizzati'!Q34</f>
        <v>116</v>
      </c>
      <c r="L31" s="41">
        <f>+'Cons spec tot e finalizzati'!R34-'Cons spec tot e finalizzati'!S34</f>
        <v>131</v>
      </c>
      <c r="M31" s="41">
        <f>+'Cons spec tot e finalizzati'!T34-'Cons spec tot e finalizzati'!U34</f>
        <v>83</v>
      </c>
      <c r="N31" s="171"/>
      <c r="O31" s="292"/>
      <c r="AB31" s="79"/>
      <c r="AC31" s="80"/>
    </row>
    <row r="32" spans="1:29" s="3" customFormat="1" ht="12.75">
      <c r="A32" s="95"/>
      <c r="B32" s="96" t="s">
        <v>89</v>
      </c>
      <c r="C32" s="96"/>
      <c r="D32" s="97"/>
      <c r="E32" s="167"/>
      <c r="F32" s="42">
        <f>+'Cons spec tot e finalizzati'!F35-'Cons spec tot e finalizzati'!G35</f>
        <v>339</v>
      </c>
      <c r="G32" s="42">
        <f>+'Cons spec tot e finalizzati'!H35-'Cons spec tot e finalizzati'!I35</f>
        <v>232</v>
      </c>
      <c r="H32" s="42">
        <f>+'Cons spec tot e finalizzati'!J35-'Cons spec tot e finalizzati'!K35</f>
        <v>540</v>
      </c>
      <c r="I32" s="42">
        <f>+'Cons spec tot e finalizzati'!L35-'Cons spec tot e finalizzati'!M35</f>
        <v>959</v>
      </c>
      <c r="J32" s="42">
        <f>+'Cons spec tot e finalizzati'!N35-'Cons spec tot e finalizzati'!O35</f>
        <v>876</v>
      </c>
      <c r="K32" s="42">
        <f>+'Cons spec tot e finalizzati'!P35-'Cons spec tot e finalizzati'!Q35</f>
        <v>577</v>
      </c>
      <c r="L32" s="42">
        <f>+'Cons spec tot e finalizzati'!R35-'Cons spec tot e finalizzati'!S35</f>
        <v>53</v>
      </c>
      <c r="M32" s="42">
        <f>+'Cons spec tot e finalizzati'!T35-'Cons spec tot e finalizzati'!U35</f>
        <v>250</v>
      </c>
      <c r="N32" s="171"/>
      <c r="O32" s="292"/>
      <c r="AB32" s="79"/>
      <c r="AC32" s="80"/>
    </row>
    <row r="33" spans="1:29" s="3" customFormat="1" ht="12.75">
      <c r="A33" s="164" t="s">
        <v>170</v>
      </c>
      <c r="B33" s="159"/>
      <c r="C33" s="159"/>
      <c r="D33" s="160"/>
      <c r="F33" s="163">
        <f>SUM(F34:F36)</f>
        <v>903</v>
      </c>
      <c r="G33" s="163">
        <f aca="true" t="shared" si="3" ref="G33:L33">SUM(G34:G36)</f>
        <v>1076</v>
      </c>
      <c r="H33" s="163">
        <f t="shared" si="3"/>
        <v>1106</v>
      </c>
      <c r="I33" s="163">
        <f t="shared" si="3"/>
        <v>1288</v>
      </c>
      <c r="J33" s="163">
        <f t="shared" si="3"/>
        <v>1604</v>
      </c>
      <c r="K33" s="163">
        <f t="shared" si="3"/>
        <v>2285</v>
      </c>
      <c r="L33" s="163">
        <f t="shared" si="3"/>
        <v>3590</v>
      </c>
      <c r="M33" s="163">
        <f>SUM(M34:M36)</f>
        <v>5007</v>
      </c>
      <c r="N33" s="171"/>
      <c r="O33" s="292"/>
      <c r="AB33" s="76"/>
      <c r="AC33" s="77"/>
    </row>
    <row r="34" spans="1:29" s="3" customFormat="1" ht="12.75">
      <c r="A34" s="158"/>
      <c r="B34" s="78" t="s">
        <v>91</v>
      </c>
      <c r="C34" s="66"/>
      <c r="D34" s="67"/>
      <c r="F34" s="148">
        <f>+'Cons spec tot e finalizzati'!F37-'Cons spec tot e finalizzati'!G37</f>
        <v>41</v>
      </c>
      <c r="G34" s="148">
        <f>+'Cons spec tot e finalizzati'!H37-'Cons spec tot e finalizzati'!I37</f>
        <v>132</v>
      </c>
      <c r="H34" s="148">
        <f>+'Cons spec tot e finalizzati'!J37-'Cons spec tot e finalizzati'!K37</f>
        <v>150</v>
      </c>
      <c r="I34" s="148">
        <f>+'Cons spec tot e finalizzati'!L37-'Cons spec tot e finalizzati'!M37</f>
        <v>162</v>
      </c>
      <c r="J34" s="148">
        <f>+'Cons spec tot e finalizzati'!N37-'Cons spec tot e finalizzati'!O37</f>
        <v>169</v>
      </c>
      <c r="K34" s="148">
        <f>+'Cons spec tot e finalizzati'!P37-'Cons spec tot e finalizzati'!Q37</f>
        <v>244</v>
      </c>
      <c r="L34" s="148">
        <f>+'Cons spec tot e finalizzati'!R37-'Cons spec tot e finalizzati'!S37</f>
        <v>304</v>
      </c>
      <c r="M34" s="148">
        <f>+'Cons spec tot e finalizzati'!T37-'Cons spec tot e finalizzati'!U37</f>
        <v>227</v>
      </c>
      <c r="N34" s="171"/>
      <c r="O34" s="292"/>
      <c r="AB34" s="79"/>
      <c r="AC34" s="80"/>
    </row>
    <row r="35" spans="1:29" s="3" customFormat="1" ht="12.75">
      <c r="A35" s="158"/>
      <c r="B35" s="78" t="s">
        <v>92</v>
      </c>
      <c r="C35" s="66"/>
      <c r="D35" s="67"/>
      <c r="F35" s="148">
        <f>+'Cons spec tot e finalizzati'!F38-'Cons spec tot e finalizzati'!G38</f>
        <v>719</v>
      </c>
      <c r="G35" s="148">
        <f>+'Cons spec tot e finalizzati'!H38-'Cons spec tot e finalizzati'!I38</f>
        <v>771</v>
      </c>
      <c r="H35" s="148">
        <f>+'Cons spec tot e finalizzati'!J38-'Cons spec tot e finalizzati'!K38</f>
        <v>784</v>
      </c>
      <c r="I35" s="148">
        <f>+'Cons spec tot e finalizzati'!L38-'Cons spec tot e finalizzati'!M38</f>
        <v>954</v>
      </c>
      <c r="J35" s="148">
        <f>+'Cons spec tot e finalizzati'!N38-'Cons spec tot e finalizzati'!O38</f>
        <v>1304</v>
      </c>
      <c r="K35" s="148">
        <f>+'Cons spec tot e finalizzati'!P38-'Cons spec tot e finalizzati'!Q38</f>
        <v>1852</v>
      </c>
      <c r="L35" s="148">
        <f>+'Cons spec tot e finalizzati'!R38-'Cons spec tot e finalizzati'!S38</f>
        <v>3046</v>
      </c>
      <c r="M35" s="148">
        <f>+'Cons spec tot e finalizzati'!T38-'Cons spec tot e finalizzati'!U38</f>
        <v>4516</v>
      </c>
      <c r="N35" s="171"/>
      <c r="O35" s="292"/>
      <c r="AB35" s="79"/>
      <c r="AC35" s="80"/>
    </row>
    <row r="36" spans="1:29" s="3" customFormat="1" ht="12.75">
      <c r="A36" s="95"/>
      <c r="B36" s="162" t="s">
        <v>171</v>
      </c>
      <c r="C36" s="96"/>
      <c r="D36" s="97"/>
      <c r="F36" s="148">
        <f>+'Cons spec tot e finalizzati'!F39-'Cons spec tot e finalizzati'!G39</f>
        <v>143</v>
      </c>
      <c r="G36" s="148">
        <f>+'Cons spec tot e finalizzati'!H39-'Cons spec tot e finalizzati'!I39</f>
        <v>173</v>
      </c>
      <c r="H36" s="148">
        <f>+'Cons spec tot e finalizzati'!J39-'Cons spec tot e finalizzati'!K39</f>
        <v>172</v>
      </c>
      <c r="I36" s="148">
        <f>+'Cons spec tot e finalizzati'!L39-'Cons spec tot e finalizzati'!M39</f>
        <v>172</v>
      </c>
      <c r="J36" s="148">
        <f>+'Cons spec tot e finalizzati'!N39-'Cons spec tot e finalizzati'!O39</f>
        <v>131</v>
      </c>
      <c r="K36" s="148">
        <f>+'Cons spec tot e finalizzati'!P39-'Cons spec tot e finalizzati'!Q39</f>
        <v>189</v>
      </c>
      <c r="L36" s="148">
        <f>+'Cons spec tot e finalizzati'!R39-'Cons spec tot e finalizzati'!S39</f>
        <v>240</v>
      </c>
      <c r="M36" s="148">
        <f>+'Cons spec tot e finalizzati'!T39-'Cons spec tot e finalizzati'!U39</f>
        <v>264</v>
      </c>
      <c r="N36" s="171"/>
      <c r="O36" s="292"/>
      <c r="AB36" s="79"/>
      <c r="AC36" s="80"/>
    </row>
    <row r="37" spans="1:29" s="3" customFormat="1" ht="12.75">
      <c r="A37" s="155" t="s">
        <v>8</v>
      </c>
      <c r="B37" s="156"/>
      <c r="C37" s="156"/>
      <c r="D37" s="157"/>
      <c r="F37" s="53">
        <f aca="true" t="shared" si="4" ref="F37:L37">SUM(F38:F39)</f>
        <v>28</v>
      </c>
      <c r="G37" s="53">
        <f t="shared" si="4"/>
        <v>44</v>
      </c>
      <c r="H37" s="53">
        <f t="shared" si="4"/>
        <v>46</v>
      </c>
      <c r="I37" s="53">
        <f t="shared" si="4"/>
        <v>46</v>
      </c>
      <c r="J37" s="53">
        <f t="shared" si="4"/>
        <v>30</v>
      </c>
      <c r="K37" s="53">
        <f t="shared" si="4"/>
        <v>4</v>
      </c>
      <c r="L37" s="53">
        <f t="shared" si="4"/>
        <v>26</v>
      </c>
      <c r="M37" s="53">
        <f>SUM(M38:M39)</f>
        <v>39</v>
      </c>
      <c r="N37" s="171"/>
      <c r="O37" s="292"/>
      <c r="AB37" s="79"/>
      <c r="AC37" s="80"/>
    </row>
    <row r="38" spans="1:29" s="3" customFormat="1" ht="12.75">
      <c r="A38" s="65"/>
      <c r="B38" s="56" t="s">
        <v>9</v>
      </c>
      <c r="C38" s="66"/>
      <c r="D38" s="67"/>
      <c r="F38" s="41">
        <f>+'Cons spec tot e finalizzati'!F41-'Cons spec tot e finalizzati'!G41</f>
        <v>28</v>
      </c>
      <c r="G38" s="41">
        <f>+'Cons spec tot e finalizzati'!H41-'Cons spec tot e finalizzati'!I41</f>
        <v>44</v>
      </c>
      <c r="H38" s="41">
        <f>+'Cons spec tot e finalizzati'!J41-'Cons spec tot e finalizzati'!K41</f>
        <v>46</v>
      </c>
      <c r="I38" s="41">
        <f>+'Cons spec tot e finalizzati'!L41-'Cons spec tot e finalizzati'!M41</f>
        <v>46</v>
      </c>
      <c r="J38" s="41">
        <f>+'Cons spec tot e finalizzati'!N41-'Cons spec tot e finalizzati'!O41</f>
        <v>30</v>
      </c>
      <c r="K38" s="41">
        <f>+'Cons spec tot e finalizzati'!P41-'Cons spec tot e finalizzati'!Q41</f>
        <v>4</v>
      </c>
      <c r="L38" s="41">
        <f>+'Cons spec tot e finalizzati'!R41-'Cons spec tot e finalizzati'!S41</f>
        <v>20</v>
      </c>
      <c r="M38" s="41">
        <f>+'Cons spec tot e finalizzati'!T41-'Cons spec tot e finalizzati'!U41</f>
        <v>0</v>
      </c>
      <c r="N38" s="171"/>
      <c r="O38" s="292"/>
      <c r="AB38" s="83"/>
      <c r="AC38" s="84"/>
    </row>
    <row r="39" spans="1:29" s="3" customFormat="1" ht="12.75">
      <c r="A39" s="27"/>
      <c r="B39" s="18" t="s">
        <v>10</v>
      </c>
      <c r="C39" s="19"/>
      <c r="D39" s="20"/>
      <c r="F39" s="42">
        <f>+'Cons spec tot e finalizzati'!F42-'Cons spec tot e finalizzati'!G42</f>
        <v>0</v>
      </c>
      <c r="G39" s="42">
        <f>+'Cons spec tot e finalizzati'!H42-'Cons spec tot e finalizzati'!I42</f>
        <v>0</v>
      </c>
      <c r="H39" s="42">
        <f>+'Cons spec tot e finalizzati'!J42-'Cons spec tot e finalizzati'!K42</f>
        <v>0</v>
      </c>
      <c r="I39" s="42">
        <f>+'Cons spec tot e finalizzati'!L42-'Cons spec tot e finalizzati'!M42</f>
        <v>0</v>
      </c>
      <c r="J39" s="42">
        <f>+'Cons spec tot e finalizzati'!N42-'Cons spec tot e finalizzati'!O42</f>
        <v>0</v>
      </c>
      <c r="K39" s="42">
        <f>+'Cons spec tot e finalizzati'!P42-'Cons spec tot e finalizzati'!Q42</f>
        <v>0</v>
      </c>
      <c r="L39" s="42">
        <f>+'Cons spec tot e finalizzati'!R42-'Cons spec tot e finalizzati'!S42</f>
        <v>6</v>
      </c>
      <c r="M39" s="42">
        <f>+'Cons spec tot e finalizzati'!T42-'Cons spec tot e finalizzati'!U42</f>
        <v>39</v>
      </c>
      <c r="N39" s="171"/>
      <c r="O39" s="292"/>
      <c r="AB39" s="76"/>
      <c r="AC39" s="77"/>
    </row>
    <row r="40" spans="1:29" s="3" customFormat="1" ht="12.75">
      <c r="A40" s="44" t="s">
        <v>21</v>
      </c>
      <c r="B40" s="45"/>
      <c r="C40" s="45"/>
      <c r="D40" s="46"/>
      <c r="E40" s="59"/>
      <c r="F40" s="54">
        <f aca="true" t="shared" si="5" ref="F40:K40">SUM(F41:F46)</f>
        <v>781</v>
      </c>
      <c r="G40" s="54">
        <f t="shared" si="5"/>
        <v>1120</v>
      </c>
      <c r="H40" s="54">
        <f t="shared" si="5"/>
        <v>1240</v>
      </c>
      <c r="I40" s="54">
        <f t="shared" si="5"/>
        <v>1008</v>
      </c>
      <c r="J40" s="54">
        <f t="shared" si="5"/>
        <v>1045</v>
      </c>
      <c r="K40" s="54">
        <f t="shared" si="5"/>
        <v>1063</v>
      </c>
      <c r="L40" s="54">
        <f>SUM(L41:L46)</f>
        <v>983</v>
      </c>
      <c r="M40" s="54">
        <f>SUM(M41:M46)</f>
        <v>900</v>
      </c>
      <c r="N40" s="171"/>
      <c r="O40" s="292"/>
      <c r="AB40" s="76"/>
      <c r="AC40" s="77"/>
    </row>
    <row r="41" spans="1:29" s="3" customFormat="1" ht="12.75">
      <c r="A41" s="68"/>
      <c r="B41" s="56" t="s">
        <v>6</v>
      </c>
      <c r="C41" s="56"/>
      <c r="D41" s="69"/>
      <c r="E41" s="115"/>
      <c r="F41" s="41">
        <f>+'Cons spec tot e finalizzati'!F44-'Cons spec tot e finalizzati'!G44</f>
        <v>306</v>
      </c>
      <c r="G41" s="41">
        <f>+'Cons spec tot e finalizzati'!H44-'Cons spec tot e finalizzati'!I44</f>
        <v>382</v>
      </c>
      <c r="H41" s="41">
        <f>+'Cons spec tot e finalizzati'!J44-'Cons spec tot e finalizzati'!K44</f>
        <v>445</v>
      </c>
      <c r="I41" s="41">
        <f>+'Cons spec tot e finalizzati'!L44-'Cons spec tot e finalizzati'!M44</f>
        <v>266</v>
      </c>
      <c r="J41" s="41">
        <f>+'Cons spec tot e finalizzati'!N44-'Cons spec tot e finalizzati'!O44</f>
        <v>224</v>
      </c>
      <c r="K41" s="41">
        <f>+'Cons spec tot e finalizzati'!P44-'Cons spec tot e finalizzati'!Q44</f>
        <v>248</v>
      </c>
      <c r="L41" s="41">
        <f>+'Cons spec tot e finalizzati'!R44-'Cons spec tot e finalizzati'!S44</f>
        <v>343</v>
      </c>
      <c r="M41" s="41">
        <f>+'Cons spec tot e finalizzati'!T44-'Cons spec tot e finalizzati'!U44</f>
        <v>99</v>
      </c>
      <c r="N41" s="171"/>
      <c r="O41" s="292"/>
      <c r="AB41" s="79"/>
      <c r="AC41" s="80"/>
    </row>
    <row r="42" spans="1:29" s="3" customFormat="1" ht="12.75">
      <c r="A42" s="68"/>
      <c r="B42" s="56" t="s">
        <v>22</v>
      </c>
      <c r="C42" s="56"/>
      <c r="D42" s="69"/>
      <c r="F42" s="41">
        <f>+'Cons spec tot e finalizzati'!F45-'Cons spec tot e finalizzati'!G45</f>
        <v>25</v>
      </c>
      <c r="G42" s="41">
        <f>+'Cons spec tot e finalizzati'!H45-'Cons spec tot e finalizzati'!I45</f>
        <v>28</v>
      </c>
      <c r="H42" s="41">
        <f>+'Cons spec tot e finalizzati'!J45-'Cons spec tot e finalizzati'!K45</f>
        <v>5</v>
      </c>
      <c r="I42" s="41">
        <f>+'Cons spec tot e finalizzati'!L45-'Cons spec tot e finalizzati'!M45</f>
        <v>10</v>
      </c>
      <c r="J42" s="41">
        <f>+'Cons spec tot e finalizzati'!N45-'Cons spec tot e finalizzati'!O45</f>
        <v>23</v>
      </c>
      <c r="K42" s="41">
        <f>+'Cons spec tot e finalizzati'!P45-'Cons spec tot e finalizzati'!Q45</f>
        <v>22</v>
      </c>
      <c r="L42" s="41">
        <f>+'Cons spec tot e finalizzati'!R45-'Cons spec tot e finalizzati'!S45</f>
        <v>21</v>
      </c>
      <c r="M42" s="41">
        <f>+'Cons spec tot e finalizzati'!T45-'Cons spec tot e finalizzati'!U45</f>
        <v>186</v>
      </c>
      <c r="N42" s="171"/>
      <c r="O42" s="292"/>
      <c r="AB42" s="79"/>
      <c r="AC42" s="90"/>
    </row>
    <row r="43" spans="1:29" s="3" customFormat="1" ht="12.75">
      <c r="A43" s="68"/>
      <c r="B43" s="56" t="s">
        <v>61</v>
      </c>
      <c r="C43" s="56"/>
      <c r="D43" s="69"/>
      <c r="F43" s="41">
        <f>+'Cons spec tot e finalizzati'!F46-'Cons spec tot e finalizzati'!G46</f>
        <v>94</v>
      </c>
      <c r="G43" s="41">
        <f>+'Cons spec tot e finalizzati'!H46-'Cons spec tot e finalizzati'!I46</f>
        <v>83</v>
      </c>
      <c r="H43" s="41">
        <f>+'Cons spec tot e finalizzati'!J46-'Cons spec tot e finalizzati'!K46</f>
        <v>60</v>
      </c>
      <c r="I43" s="41">
        <f>+'Cons spec tot e finalizzati'!L46-'Cons spec tot e finalizzati'!M46</f>
        <v>41</v>
      </c>
      <c r="J43" s="41">
        <f>+'Cons spec tot e finalizzati'!N46-'Cons spec tot e finalizzati'!O46</f>
        <v>0</v>
      </c>
      <c r="K43" s="41">
        <f>+'Cons spec tot e finalizzati'!P46-'Cons spec tot e finalizzati'!Q46</f>
        <v>0</v>
      </c>
      <c r="L43" s="41">
        <f>+'Cons spec tot e finalizzati'!R46-'Cons spec tot e finalizzati'!S46</f>
        <v>0</v>
      </c>
      <c r="M43" s="41">
        <f>+'Cons spec tot e finalizzati'!T46-'Cons spec tot e finalizzati'!U46</f>
        <v>0</v>
      </c>
      <c r="N43" s="171"/>
      <c r="O43" s="292"/>
      <c r="AB43" s="79"/>
      <c r="AC43" s="91"/>
    </row>
    <row r="44" spans="1:29" s="3" customFormat="1" ht="12.75">
      <c r="A44" s="68"/>
      <c r="B44" s="56" t="s">
        <v>207</v>
      </c>
      <c r="C44" s="56"/>
      <c r="D44" s="69"/>
      <c r="F44" s="41">
        <f>+'Cons spec tot e finalizzati'!F47-'Cons spec tot e finalizzati'!G47</f>
        <v>218</v>
      </c>
      <c r="G44" s="41">
        <f>+'Cons spec tot e finalizzati'!H47-'Cons spec tot e finalizzati'!I47</f>
        <v>305</v>
      </c>
      <c r="H44" s="41">
        <f>+'Cons spec tot e finalizzati'!J47-'Cons spec tot e finalizzati'!K47</f>
        <v>336</v>
      </c>
      <c r="I44" s="41">
        <f>+'Cons spec tot e finalizzati'!L47-'Cons spec tot e finalizzati'!M47</f>
        <v>367</v>
      </c>
      <c r="J44" s="41">
        <f>+'Cons spec tot e finalizzati'!N47-'Cons spec tot e finalizzati'!O47</f>
        <v>506</v>
      </c>
      <c r="K44" s="41">
        <f>+'Cons spec tot e finalizzati'!P47-'Cons spec tot e finalizzati'!Q47</f>
        <v>478</v>
      </c>
      <c r="L44" s="41">
        <f>+'Cons spec tot e finalizzati'!R47-'Cons spec tot e finalizzati'!S47</f>
        <v>400</v>
      </c>
      <c r="M44" s="41">
        <f>+'Cons spec tot e finalizzati'!T47-'Cons spec tot e finalizzati'!U47</f>
        <v>394</v>
      </c>
      <c r="N44" s="171"/>
      <c r="O44" s="292"/>
      <c r="AB44" s="79"/>
      <c r="AC44" s="91"/>
    </row>
    <row r="45" spans="1:29" s="3" customFormat="1" ht="12.75">
      <c r="A45" s="68"/>
      <c r="B45" s="56" t="s">
        <v>208</v>
      </c>
      <c r="C45" s="56"/>
      <c r="D45" s="69"/>
      <c r="F45" s="41">
        <f>+'Cons spec tot e finalizzati'!F48-'Cons spec tot e finalizzati'!G48</f>
        <v>88</v>
      </c>
      <c r="G45" s="41">
        <f>+'Cons spec tot e finalizzati'!H48-'Cons spec tot e finalizzati'!I48</f>
        <v>202</v>
      </c>
      <c r="H45" s="41">
        <f>+'Cons spec tot e finalizzati'!J48-'Cons spec tot e finalizzati'!K48</f>
        <v>270</v>
      </c>
      <c r="I45" s="41">
        <f>+'Cons spec tot e finalizzati'!L48-'Cons spec tot e finalizzati'!M48</f>
        <v>252</v>
      </c>
      <c r="J45" s="41">
        <f>+'Cons spec tot e finalizzati'!N48-'Cons spec tot e finalizzati'!O48</f>
        <v>241</v>
      </c>
      <c r="K45" s="41">
        <f>+'Cons spec tot e finalizzati'!P48-'Cons spec tot e finalizzati'!Q48</f>
        <v>254</v>
      </c>
      <c r="L45" s="41">
        <f>+'Cons spec tot e finalizzati'!R48-'Cons spec tot e finalizzati'!S48</f>
        <v>219</v>
      </c>
      <c r="M45" s="41">
        <f>+'Cons spec tot e finalizzati'!T48-'Cons spec tot e finalizzati'!U48</f>
        <v>221</v>
      </c>
      <c r="N45" s="171"/>
      <c r="O45" s="292"/>
      <c r="AB45" s="79"/>
      <c r="AC45" s="91"/>
    </row>
    <row r="46" spans="1:29" s="82" customFormat="1" ht="12.75">
      <c r="A46" s="251"/>
      <c r="B46" s="165" t="s">
        <v>93</v>
      </c>
      <c r="C46" s="165"/>
      <c r="D46" s="166"/>
      <c r="F46" s="256">
        <f>+'Cons spec tot e finalizzati'!F49-'Cons spec tot e finalizzati'!G49</f>
        <v>50</v>
      </c>
      <c r="G46" s="256">
        <f>+'Cons spec tot e finalizzati'!H49-'Cons spec tot e finalizzati'!I49</f>
        <v>120</v>
      </c>
      <c r="H46" s="256">
        <f>+'Cons spec tot e finalizzati'!J49-'Cons spec tot e finalizzati'!K49</f>
        <v>124</v>
      </c>
      <c r="I46" s="256">
        <f>+'Cons spec tot e finalizzati'!L49-'Cons spec tot e finalizzati'!M49</f>
        <v>72</v>
      </c>
      <c r="J46" s="256">
        <f>+'Cons spec tot e finalizzati'!N49-'Cons spec tot e finalizzati'!O49</f>
        <v>51</v>
      </c>
      <c r="K46" s="256">
        <f>+'Cons spec tot e finalizzati'!P49-'Cons spec tot e finalizzati'!Q49</f>
        <v>61</v>
      </c>
      <c r="L46" s="256">
        <f>+'Cons spec tot e finalizzati'!R49-'Cons spec tot e finalizzati'!S49</f>
        <v>0</v>
      </c>
      <c r="M46" s="256">
        <f>+'Cons spec tot e finalizzati'!T49-'Cons spec tot e finalizzati'!U49</f>
        <v>0</v>
      </c>
      <c r="N46" s="257"/>
      <c r="O46" s="307"/>
      <c r="AB46" s="260"/>
      <c r="AC46" s="311"/>
    </row>
    <row r="47" spans="1:29" s="3" customFormat="1" ht="12.75">
      <c r="A47" s="44" t="s">
        <v>94</v>
      </c>
      <c r="B47" s="45"/>
      <c r="C47" s="45"/>
      <c r="D47" s="46"/>
      <c r="F47" s="47">
        <f aca="true" t="shared" si="6" ref="F47:L47">SUM(F48:F50)</f>
        <v>71</v>
      </c>
      <c r="G47" s="47">
        <f t="shared" si="6"/>
        <v>80</v>
      </c>
      <c r="H47" s="47">
        <f t="shared" si="6"/>
        <v>89</v>
      </c>
      <c r="I47" s="47">
        <f t="shared" si="6"/>
        <v>116</v>
      </c>
      <c r="J47" s="47">
        <f t="shared" si="6"/>
        <v>80</v>
      </c>
      <c r="K47" s="47">
        <f t="shared" si="6"/>
        <v>107</v>
      </c>
      <c r="L47" s="47">
        <f t="shared" si="6"/>
        <v>58</v>
      </c>
      <c r="M47" s="47">
        <f>SUM(M48:M50)</f>
        <v>46</v>
      </c>
      <c r="N47" s="171"/>
      <c r="O47" s="292"/>
      <c r="AB47" s="79"/>
      <c r="AC47" s="91"/>
    </row>
    <row r="48" spans="1:29" s="3" customFormat="1" ht="12.75">
      <c r="A48" s="17"/>
      <c r="B48" s="18" t="s">
        <v>6</v>
      </c>
      <c r="C48" s="19"/>
      <c r="D48" s="20"/>
      <c r="F48" s="41">
        <f>+'Cons spec tot e finalizzati'!F51-'Cons spec tot e finalizzati'!G51</f>
        <v>71</v>
      </c>
      <c r="G48" s="41">
        <f>+'Cons spec tot e finalizzati'!H51-'Cons spec tot e finalizzati'!I51</f>
        <v>80</v>
      </c>
      <c r="H48" s="41">
        <f>+'Cons spec tot e finalizzati'!J51-'Cons spec tot e finalizzati'!K51</f>
        <v>89</v>
      </c>
      <c r="I48" s="41">
        <f>+'Cons spec tot e finalizzati'!L51-'Cons spec tot e finalizzati'!M51</f>
        <v>116</v>
      </c>
      <c r="J48" s="41">
        <f>+'Cons spec tot e finalizzati'!N51-'Cons spec tot e finalizzati'!O51</f>
        <v>80</v>
      </c>
      <c r="K48" s="41">
        <f>+'Cons spec tot e finalizzati'!P51-'Cons spec tot e finalizzati'!Q51</f>
        <v>107</v>
      </c>
      <c r="L48" s="41">
        <f>+'Cons spec tot e finalizzati'!R51-'Cons spec tot e finalizzati'!S51</f>
        <v>58</v>
      </c>
      <c r="M48" s="41">
        <f>+'Cons spec tot e finalizzati'!T51-'Cons spec tot e finalizzati'!U51</f>
        <v>37</v>
      </c>
      <c r="N48" s="171"/>
      <c r="O48" s="292"/>
      <c r="AB48" s="79"/>
      <c r="AC48" s="91"/>
    </row>
    <row r="49" spans="1:29" s="3" customFormat="1" ht="12.75">
      <c r="A49" s="17"/>
      <c r="B49" s="18" t="s">
        <v>127</v>
      </c>
      <c r="C49" s="19"/>
      <c r="D49" s="20"/>
      <c r="F49" s="41">
        <f>+'Cons spec tot e finalizzati'!F52-'Cons spec tot e finalizzati'!G52</f>
        <v>0</v>
      </c>
      <c r="G49" s="41">
        <f>+'Cons spec tot e finalizzati'!H52-'Cons spec tot e finalizzati'!I52</f>
        <v>0</v>
      </c>
      <c r="H49" s="41">
        <f>+'Cons spec tot e finalizzati'!J52-'Cons spec tot e finalizzati'!K52</f>
        <v>0</v>
      </c>
      <c r="I49" s="41">
        <f>+'Cons spec tot e finalizzati'!L52-'Cons spec tot e finalizzati'!M52</f>
        <v>0</v>
      </c>
      <c r="J49" s="41">
        <f>+'Cons spec tot e finalizzati'!N52-'Cons spec tot e finalizzati'!O52</f>
        <v>0</v>
      </c>
      <c r="K49" s="41">
        <f>+'Cons spec tot e finalizzati'!P52-'Cons spec tot e finalizzati'!Q52</f>
        <v>0</v>
      </c>
      <c r="L49" s="41">
        <f>+'Cons spec tot e finalizzati'!R52-'Cons spec tot e finalizzati'!S52</f>
        <v>0</v>
      </c>
      <c r="M49" s="41">
        <f>+'Cons spec tot e finalizzati'!T52-'Cons spec tot e finalizzati'!U52</f>
        <v>7</v>
      </c>
      <c r="N49" s="171"/>
      <c r="O49" s="292"/>
      <c r="AB49" s="79"/>
      <c r="AC49" s="91"/>
    </row>
    <row r="50" spans="1:29" s="3" customFormat="1" ht="12.75">
      <c r="A50" s="33"/>
      <c r="B50" s="32" t="s">
        <v>79</v>
      </c>
      <c r="C50" s="28"/>
      <c r="D50" s="29"/>
      <c r="F50" s="41">
        <f>+'Cons spec tot e finalizzati'!F53-'Cons spec tot e finalizzati'!G53</f>
        <v>0</v>
      </c>
      <c r="G50" s="41">
        <f>+'Cons spec tot e finalizzati'!H53-'Cons spec tot e finalizzati'!I53</f>
        <v>0</v>
      </c>
      <c r="H50" s="41">
        <f>+'Cons spec tot e finalizzati'!J53-'Cons spec tot e finalizzati'!K53</f>
        <v>0</v>
      </c>
      <c r="I50" s="41">
        <f>+'Cons spec tot e finalizzati'!L53-'Cons spec tot e finalizzati'!M53</f>
        <v>0</v>
      </c>
      <c r="J50" s="41">
        <f>+'Cons spec tot e finalizzati'!N53-'Cons spec tot e finalizzati'!O53</f>
        <v>0</v>
      </c>
      <c r="K50" s="41">
        <f>+'Cons spec tot e finalizzati'!P53-'Cons spec tot e finalizzati'!Q53</f>
        <v>0</v>
      </c>
      <c r="L50" s="41">
        <f>+'Cons spec tot e finalizzati'!R53-'Cons spec tot e finalizzati'!S53</f>
        <v>0</v>
      </c>
      <c r="M50" s="41">
        <f>+'Cons spec tot e finalizzati'!T53-'Cons spec tot e finalizzati'!U53</f>
        <v>2</v>
      </c>
      <c r="N50" s="171"/>
      <c r="O50" s="292"/>
      <c r="AB50" s="79"/>
      <c r="AC50" s="91"/>
    </row>
    <row r="51" spans="1:29" s="3" customFormat="1" ht="12.75">
      <c r="A51" s="44" t="s">
        <v>109</v>
      </c>
      <c r="B51" s="45"/>
      <c r="C51" s="45"/>
      <c r="D51" s="46"/>
      <c r="F51" s="47">
        <f aca="true" t="shared" si="7" ref="F51:K51">SUM(F52:F54)</f>
        <v>7274</v>
      </c>
      <c r="G51" s="47">
        <f t="shared" si="7"/>
        <v>8829</v>
      </c>
      <c r="H51" s="47">
        <f t="shared" si="7"/>
        <v>7879</v>
      </c>
      <c r="I51" s="47">
        <f t="shared" si="7"/>
        <v>9104</v>
      </c>
      <c r="J51" s="47">
        <f t="shared" si="7"/>
        <v>7903.412395998492</v>
      </c>
      <c r="K51" s="47">
        <f t="shared" si="7"/>
        <v>7893</v>
      </c>
      <c r="L51" s="47">
        <f>SUM(L52:L54)</f>
        <v>8031</v>
      </c>
      <c r="M51" s="47">
        <f>SUM(M52:M54)</f>
        <v>8218</v>
      </c>
      <c r="N51" s="171"/>
      <c r="O51" s="292"/>
      <c r="AB51" s="79"/>
      <c r="AC51" s="93"/>
    </row>
    <row r="52" spans="1:29" s="3" customFormat="1" ht="12.75">
      <c r="A52" s="68"/>
      <c r="B52" s="56" t="s">
        <v>9</v>
      </c>
      <c r="C52" s="56"/>
      <c r="D52" s="69"/>
      <c r="F52" s="41">
        <f>+'Cons spec tot e finalizzati'!F55-'Cons spec tot e finalizzati'!G55</f>
        <v>52</v>
      </c>
      <c r="G52" s="41">
        <f>+'Cons spec tot e finalizzati'!H55-'Cons spec tot e finalizzati'!I55</f>
        <v>52</v>
      </c>
      <c r="H52" s="41">
        <f>+'Cons spec tot e finalizzati'!J55-'Cons spec tot e finalizzati'!K55</f>
        <v>50</v>
      </c>
      <c r="I52" s="41">
        <f>+'Cons spec tot e finalizzati'!L55-'Cons spec tot e finalizzati'!M55</f>
        <v>52</v>
      </c>
      <c r="J52" s="41">
        <f>+'Cons spec tot e finalizzati'!N55-'Cons spec tot e finalizzati'!O55</f>
        <v>40</v>
      </c>
      <c r="K52" s="41">
        <f>+'Cons spec tot e finalizzati'!P55-'Cons spec tot e finalizzati'!Q55</f>
        <v>174</v>
      </c>
      <c r="L52" s="41">
        <f>+'Cons spec tot e finalizzati'!R55-'Cons spec tot e finalizzati'!S55</f>
        <v>167</v>
      </c>
      <c r="M52" s="41">
        <f>+'Cons spec tot e finalizzati'!T55-'Cons spec tot e finalizzati'!U55</f>
        <v>531</v>
      </c>
      <c r="N52" s="171"/>
      <c r="O52" s="292"/>
      <c r="AB52" s="79"/>
      <c r="AC52" s="91"/>
    </row>
    <row r="53" spans="1:29" s="3" customFormat="1" ht="12.75">
      <c r="A53" s="68"/>
      <c r="B53" s="56" t="s">
        <v>95</v>
      </c>
      <c r="C53" s="56"/>
      <c r="D53" s="69"/>
      <c r="F53" s="41">
        <f>+'Cons spec tot e finalizzati'!F56-'Cons spec tot e finalizzati'!G56</f>
        <v>2822</v>
      </c>
      <c r="G53" s="41">
        <f>+'Cons spec tot e finalizzati'!H56-'Cons spec tot e finalizzati'!I56</f>
        <v>3040</v>
      </c>
      <c r="H53" s="41">
        <f>+'Cons spec tot e finalizzati'!J56-'Cons spec tot e finalizzati'!K56</f>
        <v>2927</v>
      </c>
      <c r="I53" s="41">
        <f>+'Cons spec tot e finalizzati'!L56-'Cons spec tot e finalizzati'!M56</f>
        <v>3266</v>
      </c>
      <c r="J53" s="41">
        <f>+'Cons spec tot e finalizzati'!N56-'Cons spec tot e finalizzati'!O56</f>
        <v>2383</v>
      </c>
      <c r="K53" s="41">
        <f>+'Cons spec tot e finalizzati'!P56-'Cons spec tot e finalizzati'!Q56</f>
        <v>2614</v>
      </c>
      <c r="L53" s="41">
        <f>+'Cons spec tot e finalizzati'!R56-'Cons spec tot e finalizzati'!S56</f>
        <v>2781</v>
      </c>
      <c r="M53" s="41">
        <f>+'Cons spec tot e finalizzati'!T56-'Cons spec tot e finalizzati'!U56</f>
        <v>2552</v>
      </c>
      <c r="N53" s="171"/>
      <c r="O53" s="292"/>
      <c r="AB53" s="79"/>
      <c r="AC53" s="91"/>
    </row>
    <row r="54" spans="1:29" s="3" customFormat="1" ht="12.75">
      <c r="A54" s="95"/>
      <c r="B54" s="96" t="s">
        <v>23</v>
      </c>
      <c r="C54" s="96"/>
      <c r="D54" s="97"/>
      <c r="F54" s="42">
        <f>+'Cons spec tot e finalizzati'!F57-'Cons spec tot e finalizzati'!G57</f>
        <v>4400</v>
      </c>
      <c r="G54" s="42">
        <f>+'Cons spec tot e finalizzati'!H57-'Cons spec tot e finalizzati'!I57</f>
        <v>5737</v>
      </c>
      <c r="H54" s="42">
        <f>+'Cons spec tot e finalizzati'!J57-'Cons spec tot e finalizzati'!K57</f>
        <v>4902</v>
      </c>
      <c r="I54" s="42">
        <f>+'Cons spec tot e finalizzati'!L57-'Cons spec tot e finalizzati'!M57</f>
        <v>5786</v>
      </c>
      <c r="J54" s="42">
        <f>+'Cons spec tot e finalizzati'!N57-'Cons spec tot e finalizzati'!O57</f>
        <v>5480.412395998492</v>
      </c>
      <c r="K54" s="42">
        <f>+'Cons spec tot e finalizzati'!P57-'Cons spec tot e finalizzati'!Q57</f>
        <v>5105</v>
      </c>
      <c r="L54" s="42">
        <f>+'Cons spec tot e finalizzati'!R57-'Cons spec tot e finalizzati'!S57</f>
        <v>5083</v>
      </c>
      <c r="M54" s="42">
        <f>+'Cons spec tot e finalizzati'!T57-'Cons spec tot e finalizzati'!U57</f>
        <v>5135</v>
      </c>
      <c r="N54" s="171"/>
      <c r="O54" s="292"/>
      <c r="AB54" s="83"/>
      <c r="AC54" s="94"/>
    </row>
    <row r="55" spans="1:29" s="3" customFormat="1" ht="12.75">
      <c r="A55" s="44" t="s">
        <v>209</v>
      </c>
      <c r="B55" s="45"/>
      <c r="C55" s="45"/>
      <c r="D55" s="46"/>
      <c r="F55" s="47">
        <f>+'Cons spec tot e finalizzati'!F58-'Cons spec tot e finalizzati'!G58</f>
        <v>831</v>
      </c>
      <c r="G55" s="47">
        <f>+'Cons spec tot e finalizzati'!H58-'Cons spec tot e finalizzati'!I58</f>
        <v>330</v>
      </c>
      <c r="H55" s="47">
        <f>+'Cons spec tot e finalizzati'!J58-'Cons spec tot e finalizzati'!K58</f>
        <v>77</v>
      </c>
      <c r="I55" s="47">
        <f>+'Cons spec tot e finalizzati'!L58-'Cons spec tot e finalizzati'!M58</f>
        <v>134</v>
      </c>
      <c r="J55" s="47">
        <f>+'Cons spec tot e finalizzati'!N58-'Cons spec tot e finalizzati'!O58</f>
        <v>38</v>
      </c>
      <c r="K55" s="47">
        <f>+'Cons spec tot e finalizzati'!P58-'Cons spec tot e finalizzati'!Q58</f>
        <v>29</v>
      </c>
      <c r="L55" s="47">
        <f>+'Cons spec tot e finalizzati'!R58-'Cons spec tot e finalizzati'!S58</f>
        <v>136</v>
      </c>
      <c r="M55" s="47">
        <f>+'Cons spec tot e finalizzati'!T58-'Cons spec tot e finalizzati'!U58</f>
        <v>104</v>
      </c>
      <c r="N55" s="171"/>
      <c r="O55" s="292"/>
      <c r="AB55" s="79"/>
      <c r="AC55" s="93"/>
    </row>
    <row r="56" spans="1:29" s="3" customFormat="1" ht="12.75">
      <c r="A56" s="44" t="s">
        <v>172</v>
      </c>
      <c r="B56" s="45"/>
      <c r="C56" s="45"/>
      <c r="D56" s="46"/>
      <c r="F56" s="47">
        <f>SUM(F57:F72)</f>
        <v>15202</v>
      </c>
      <c r="G56" s="47">
        <f aca="true" t="shared" si="8" ref="G56:L56">SUM(G57:G72)</f>
        <v>21652</v>
      </c>
      <c r="H56" s="47">
        <f t="shared" si="8"/>
        <v>14238</v>
      </c>
      <c r="I56" s="47">
        <f t="shared" si="8"/>
        <v>15697</v>
      </c>
      <c r="J56" s="47">
        <f t="shared" si="8"/>
        <v>15750.754688137502</v>
      </c>
      <c r="K56" s="47">
        <f t="shared" si="8"/>
        <v>14929</v>
      </c>
      <c r="L56" s="47">
        <f t="shared" si="8"/>
        <v>15018</v>
      </c>
      <c r="M56" s="47">
        <f>SUM(M57:M72)</f>
        <v>15220</v>
      </c>
      <c r="N56" s="171"/>
      <c r="O56" s="292"/>
      <c r="AB56" s="79"/>
      <c r="AC56" s="93"/>
    </row>
    <row r="57" spans="1:15" ht="12.75">
      <c r="A57" s="68"/>
      <c r="B57" s="56" t="s">
        <v>11</v>
      </c>
      <c r="C57" s="69"/>
      <c r="D57" s="30"/>
      <c r="F57" s="41">
        <f>+'Cons spec tot e finalizzati'!F60-'Cons spec tot e finalizzati'!G60</f>
        <v>4324</v>
      </c>
      <c r="G57" s="41">
        <f>+'Cons spec tot e finalizzati'!H60-'Cons spec tot e finalizzati'!I60</f>
        <v>6828</v>
      </c>
      <c r="H57" s="41">
        <f>+'Cons spec tot e finalizzati'!J60-'Cons spec tot e finalizzati'!K60</f>
        <v>1553</v>
      </c>
      <c r="I57" s="41">
        <f>+'Cons spec tot e finalizzati'!L60-'Cons spec tot e finalizzati'!M60</f>
        <v>1732</v>
      </c>
      <c r="J57" s="41">
        <f>+'Cons spec tot e finalizzati'!N60-'Cons spec tot e finalizzati'!O60</f>
        <v>2434.6882924385545</v>
      </c>
      <c r="K57" s="41">
        <f>+'Cons spec tot e finalizzati'!P60-'Cons spec tot e finalizzati'!Q60</f>
        <v>979</v>
      </c>
      <c r="L57" s="41">
        <f>+'Cons spec tot e finalizzati'!R60-'Cons spec tot e finalizzati'!S60</f>
        <v>685</v>
      </c>
      <c r="M57" s="41">
        <f>+'Cons spec tot e finalizzati'!T60-'Cons spec tot e finalizzati'!U60</f>
        <v>523</v>
      </c>
      <c r="N57" s="171"/>
      <c r="O57" s="292"/>
    </row>
    <row r="58" spans="1:29" s="3" customFormat="1" ht="12.75">
      <c r="A58" s="68"/>
      <c r="B58" s="18" t="s">
        <v>12</v>
      </c>
      <c r="C58" s="69"/>
      <c r="D58" s="104"/>
      <c r="F58" s="41">
        <f>+'Cons spec tot e finalizzati'!F61-'Cons spec tot e finalizzati'!G61</f>
        <v>2</v>
      </c>
      <c r="G58" s="41">
        <f>+'Cons spec tot e finalizzati'!H61-'Cons spec tot e finalizzati'!I61</f>
        <v>2</v>
      </c>
      <c r="H58" s="41">
        <f>+'Cons spec tot e finalizzati'!J61-'Cons spec tot e finalizzati'!K61</f>
        <v>2</v>
      </c>
      <c r="I58" s="41">
        <f>+'Cons spec tot e finalizzati'!L61-'Cons spec tot e finalizzati'!M61</f>
        <v>2</v>
      </c>
      <c r="J58" s="41">
        <f>+'Cons spec tot e finalizzati'!N61-'Cons spec tot e finalizzati'!O61</f>
        <v>30</v>
      </c>
      <c r="K58" s="41">
        <f>+'Cons spec tot e finalizzati'!P61-'Cons spec tot e finalizzati'!Q61</f>
        <v>93</v>
      </c>
      <c r="L58" s="41">
        <f>+'Cons spec tot e finalizzati'!R61-'Cons spec tot e finalizzati'!S61</f>
        <v>304</v>
      </c>
      <c r="M58" s="41">
        <f>+'Cons spec tot e finalizzati'!T61-'Cons spec tot e finalizzati'!U61</f>
        <v>225</v>
      </c>
      <c r="N58" s="171"/>
      <c r="O58" s="292"/>
      <c r="AB58" s="79"/>
      <c r="AC58" s="80"/>
    </row>
    <row r="59" spans="1:29" s="3" customFormat="1" ht="12.75">
      <c r="A59" s="68"/>
      <c r="B59" s="18" t="s">
        <v>13</v>
      </c>
      <c r="C59" s="69"/>
      <c r="D59" s="104"/>
      <c r="F59" s="41">
        <f>+'Cons spec tot e finalizzati'!F62-'Cons spec tot e finalizzati'!G62</f>
        <v>268</v>
      </c>
      <c r="G59" s="41">
        <f>+'Cons spec tot e finalizzati'!H62-'Cons spec tot e finalizzati'!I62</f>
        <v>408</v>
      </c>
      <c r="H59" s="41">
        <f>+'Cons spec tot e finalizzati'!J62-'Cons spec tot e finalizzati'!K62</f>
        <v>362</v>
      </c>
      <c r="I59" s="41">
        <f>+'Cons spec tot e finalizzati'!L62-'Cons spec tot e finalizzati'!M62</f>
        <v>1240</v>
      </c>
      <c r="J59" s="41">
        <f>+'Cons spec tot e finalizzati'!N62-'Cons spec tot e finalizzati'!O62</f>
        <v>516</v>
      </c>
      <c r="K59" s="41">
        <f>+'Cons spec tot e finalizzati'!P62-'Cons spec tot e finalizzati'!Q62</f>
        <v>1013</v>
      </c>
      <c r="L59" s="41">
        <f>+'Cons spec tot e finalizzati'!R62-'Cons spec tot e finalizzati'!S62</f>
        <v>533</v>
      </c>
      <c r="M59" s="41">
        <f>+'Cons spec tot e finalizzati'!T62-'Cons spec tot e finalizzati'!U62</f>
        <v>684</v>
      </c>
      <c r="N59" s="171"/>
      <c r="O59" s="292"/>
      <c r="AB59" s="79"/>
      <c r="AC59" s="80"/>
    </row>
    <row r="60" spans="1:29" s="3" customFormat="1" ht="12.75">
      <c r="A60" s="68"/>
      <c r="B60" s="18" t="s">
        <v>128</v>
      </c>
      <c r="C60" s="69"/>
      <c r="D60" s="104"/>
      <c r="F60" s="41">
        <f>+'Cons spec tot e finalizzati'!F63-'Cons spec tot e finalizzati'!G63</f>
        <v>0</v>
      </c>
      <c r="G60" s="41">
        <f>+'Cons spec tot e finalizzati'!H63-'Cons spec tot e finalizzati'!I63</f>
        <v>0</v>
      </c>
      <c r="H60" s="41">
        <f>+'Cons spec tot e finalizzati'!J63-'Cons spec tot e finalizzati'!K63</f>
        <v>0</v>
      </c>
      <c r="I60" s="41">
        <f>+'Cons spec tot e finalizzati'!L63-'Cons spec tot e finalizzati'!M63</f>
        <v>0</v>
      </c>
      <c r="J60" s="41">
        <f>+'Cons spec tot e finalizzati'!N63-'Cons spec tot e finalizzati'!O63</f>
        <v>0</v>
      </c>
      <c r="K60" s="41">
        <f>+'Cons spec tot e finalizzati'!P63-'Cons spec tot e finalizzati'!Q63</f>
        <v>0</v>
      </c>
      <c r="L60" s="41">
        <f>+'Cons spec tot e finalizzati'!R63-'Cons spec tot e finalizzati'!S63</f>
        <v>0</v>
      </c>
      <c r="M60" s="41">
        <f>+'Cons spec tot e finalizzati'!T63-'Cons spec tot e finalizzati'!U63</f>
        <v>0</v>
      </c>
      <c r="N60" s="171"/>
      <c r="O60" s="292"/>
      <c r="AB60" s="79"/>
      <c r="AC60" s="80"/>
    </row>
    <row r="61" spans="1:29" s="3" customFormat="1" ht="12.75">
      <c r="A61" s="68"/>
      <c r="B61" s="18" t="s">
        <v>130</v>
      </c>
      <c r="C61" s="69"/>
      <c r="D61" s="104"/>
      <c r="F61" s="41">
        <f>+'Cons spec tot e finalizzati'!F64-'Cons spec tot e finalizzati'!G64</f>
        <v>129</v>
      </c>
      <c r="G61" s="41">
        <f>+'Cons spec tot e finalizzati'!H64-'Cons spec tot e finalizzati'!I64</f>
        <v>212</v>
      </c>
      <c r="H61" s="41">
        <f>+'Cons spec tot e finalizzati'!J64-'Cons spec tot e finalizzati'!K64</f>
        <v>206</v>
      </c>
      <c r="I61" s="41">
        <f>+'Cons spec tot e finalizzati'!L64-'Cons spec tot e finalizzati'!M64</f>
        <v>145</v>
      </c>
      <c r="J61" s="41">
        <f>+'Cons spec tot e finalizzati'!N64-'Cons spec tot e finalizzati'!O64</f>
        <v>0.9487055007824097</v>
      </c>
      <c r="K61" s="41">
        <f>+'Cons spec tot e finalizzati'!P64-'Cons spec tot e finalizzati'!Q64</f>
        <v>199</v>
      </c>
      <c r="L61" s="41">
        <f>+'Cons spec tot e finalizzati'!R64-'Cons spec tot e finalizzati'!S64</f>
        <v>258</v>
      </c>
      <c r="M61" s="41">
        <f>+'Cons spec tot e finalizzati'!T64-'Cons spec tot e finalizzati'!U64</f>
        <v>64</v>
      </c>
      <c r="N61" s="171"/>
      <c r="O61" s="292"/>
      <c r="AB61" s="83"/>
      <c r="AC61" s="84"/>
    </row>
    <row r="62" spans="1:29" s="3" customFormat="1" ht="12.75">
      <c r="A62" s="68"/>
      <c r="B62" s="18" t="s">
        <v>14</v>
      </c>
      <c r="C62" s="69"/>
      <c r="D62" s="104"/>
      <c r="F62" s="41">
        <f>+'Cons spec tot e finalizzati'!F65-'Cons spec tot e finalizzati'!G65</f>
        <v>88</v>
      </c>
      <c r="G62" s="41">
        <f>+'Cons spec tot e finalizzati'!H65-'Cons spec tot e finalizzati'!I65</f>
        <v>356</v>
      </c>
      <c r="H62" s="41">
        <f>+'Cons spec tot e finalizzati'!J65-'Cons spec tot e finalizzati'!K65</f>
        <v>491</v>
      </c>
      <c r="I62" s="41">
        <f>+'Cons spec tot e finalizzati'!L65-'Cons spec tot e finalizzati'!M65</f>
        <v>346</v>
      </c>
      <c r="J62" s="41">
        <f>+'Cons spec tot e finalizzati'!N65-'Cons spec tot e finalizzati'!O65</f>
        <v>369</v>
      </c>
      <c r="K62" s="41">
        <f>+'Cons spec tot e finalizzati'!P65-'Cons spec tot e finalizzati'!Q65</f>
        <v>383</v>
      </c>
      <c r="L62" s="41">
        <f>+'Cons spec tot e finalizzati'!R65-'Cons spec tot e finalizzati'!S65</f>
        <v>441</v>
      </c>
      <c r="M62" s="41">
        <f>+'Cons spec tot e finalizzati'!T65-'Cons spec tot e finalizzati'!U65</f>
        <v>488</v>
      </c>
      <c r="N62" s="171"/>
      <c r="O62" s="292"/>
      <c r="AB62" s="79"/>
      <c r="AC62" s="80"/>
    </row>
    <row r="63" spans="1:29" s="3" customFormat="1" ht="12.75">
      <c r="A63" s="68"/>
      <c r="B63" s="18" t="s">
        <v>210</v>
      </c>
      <c r="C63" s="69"/>
      <c r="D63" s="104"/>
      <c r="F63" s="41">
        <f>+'Cons spec tot e finalizzati'!F66-'Cons spec tot e finalizzati'!G66</f>
        <v>0</v>
      </c>
      <c r="G63" s="41">
        <f>+'Cons spec tot e finalizzati'!H66-'Cons spec tot e finalizzati'!I66</f>
        <v>0</v>
      </c>
      <c r="H63" s="41">
        <f>+'Cons spec tot e finalizzati'!J66-'Cons spec tot e finalizzati'!K66</f>
        <v>1</v>
      </c>
      <c r="I63" s="41">
        <f>+'Cons spec tot e finalizzati'!L66-'Cons spec tot e finalizzati'!M66</f>
        <v>104</v>
      </c>
      <c r="J63" s="41">
        <f>+'Cons spec tot e finalizzati'!N66-'Cons spec tot e finalizzati'!O66</f>
        <v>0</v>
      </c>
      <c r="K63" s="41">
        <f>+'Cons spec tot e finalizzati'!P66-'Cons spec tot e finalizzati'!Q66</f>
        <v>1</v>
      </c>
      <c r="L63" s="41">
        <f>+'Cons spec tot e finalizzati'!R66-'Cons spec tot e finalizzati'!S66</f>
        <v>0</v>
      </c>
      <c r="M63" s="41">
        <f>+'Cons spec tot e finalizzati'!T66-'Cons spec tot e finalizzati'!U66</f>
        <v>67</v>
      </c>
      <c r="N63" s="171"/>
      <c r="O63" s="292"/>
      <c r="AB63" s="79"/>
      <c r="AC63" s="80"/>
    </row>
    <row r="64" spans="1:29" s="82" customFormat="1" ht="12.75">
      <c r="A64" s="250"/>
      <c r="B64" s="253" t="s">
        <v>15</v>
      </c>
      <c r="C64" s="58"/>
      <c r="D64" s="306"/>
      <c r="F64" s="256">
        <f>+'Cons spec tot e finalizzati'!F67-'Cons spec tot e finalizzati'!G67</f>
        <v>0</v>
      </c>
      <c r="G64" s="256">
        <f>+'Cons spec tot e finalizzati'!H67-'Cons spec tot e finalizzati'!I67</f>
        <v>0</v>
      </c>
      <c r="H64" s="256">
        <f>+'Cons spec tot e finalizzati'!J67-'Cons spec tot e finalizzati'!K67</f>
        <v>0</v>
      </c>
      <c r="I64" s="256">
        <f>+'Cons spec tot e finalizzati'!L67-'Cons spec tot e finalizzati'!M67</f>
        <v>0</v>
      </c>
      <c r="J64" s="256">
        <f>+'Cons spec tot e finalizzati'!N67-'Cons spec tot e finalizzati'!O67</f>
        <v>0</v>
      </c>
      <c r="K64" s="256">
        <f>+'Cons spec tot e finalizzati'!P67-'Cons spec tot e finalizzati'!Q67</f>
        <v>0</v>
      </c>
      <c r="L64" s="256">
        <f>+'Cons spec tot e finalizzati'!R67-'Cons spec tot e finalizzati'!S67</f>
        <v>197</v>
      </c>
      <c r="M64" s="256">
        <f>+'Cons spec tot e finalizzati'!T67-'Cons spec tot e finalizzati'!U67</f>
        <v>188</v>
      </c>
      <c r="N64" s="257"/>
      <c r="O64" s="307"/>
      <c r="AB64" s="308"/>
      <c r="AC64" s="306"/>
    </row>
    <row r="65" spans="1:29" s="3" customFormat="1" ht="12.75">
      <c r="A65" s="68"/>
      <c r="B65" s="253" t="s">
        <v>16</v>
      </c>
      <c r="C65" s="56"/>
      <c r="D65" s="104"/>
      <c r="F65" s="41">
        <f>+'Cons spec tot e finalizzati'!F68-'Cons spec tot e finalizzati'!G68</f>
        <v>2996</v>
      </c>
      <c r="G65" s="41">
        <f>+'Cons spec tot e finalizzati'!H68-'Cons spec tot e finalizzati'!I68</f>
        <v>3782</v>
      </c>
      <c r="H65" s="41">
        <f>+'Cons spec tot e finalizzati'!J68-'Cons spec tot e finalizzati'!K68</f>
        <v>3318</v>
      </c>
      <c r="I65" s="41">
        <f>+'Cons spec tot e finalizzati'!L68-'Cons spec tot e finalizzati'!M68</f>
        <v>2177</v>
      </c>
      <c r="J65" s="41">
        <f>+'Cons spec tot e finalizzati'!N68-'Cons spec tot e finalizzati'!O68</f>
        <v>2440.8248384781045</v>
      </c>
      <c r="K65" s="41">
        <f>+'Cons spec tot e finalizzati'!P68-'Cons spec tot e finalizzati'!Q68</f>
        <v>0</v>
      </c>
      <c r="L65" s="41">
        <f>+'Cons spec tot e finalizzati'!R68-'Cons spec tot e finalizzati'!S68</f>
        <v>0</v>
      </c>
      <c r="M65" s="41">
        <f>+'Cons spec tot e finalizzati'!T68-'Cons spec tot e finalizzati'!U68</f>
        <v>0</v>
      </c>
      <c r="N65" s="171"/>
      <c r="O65" s="292"/>
      <c r="AB65" s="103"/>
      <c r="AC65" s="104"/>
    </row>
    <row r="66" spans="1:29" s="3" customFormat="1" ht="12.75">
      <c r="A66" s="68"/>
      <c r="B66" s="18" t="s">
        <v>147</v>
      </c>
      <c r="C66" s="56"/>
      <c r="D66" s="104"/>
      <c r="F66" s="41">
        <f>+'Cons spec tot e finalizzati'!F69-'Cons spec tot e finalizzati'!G69</f>
        <v>0</v>
      </c>
      <c r="G66" s="41">
        <f>+'Cons spec tot e finalizzati'!H69-'Cons spec tot e finalizzati'!I69</f>
        <v>0</v>
      </c>
      <c r="H66" s="41">
        <f>+'Cons spec tot e finalizzati'!J69-'Cons spec tot e finalizzati'!K69</f>
        <v>0</v>
      </c>
      <c r="I66" s="41">
        <f>+'Cons spec tot e finalizzati'!L69-'Cons spec tot e finalizzati'!M69</f>
        <v>0</v>
      </c>
      <c r="J66" s="41">
        <f>+'Cons spec tot e finalizzati'!N69-'Cons spec tot e finalizzati'!O69</f>
        <v>0</v>
      </c>
      <c r="K66" s="41">
        <f>+'Cons spec tot e finalizzati'!P69-'Cons spec tot e finalizzati'!Q69</f>
        <v>2975</v>
      </c>
      <c r="L66" s="41">
        <f>+'Cons spec tot e finalizzati'!R69-'Cons spec tot e finalizzati'!S69</f>
        <v>2629</v>
      </c>
      <c r="M66" s="41">
        <f>+'Cons spec tot e finalizzati'!T69-'Cons spec tot e finalizzati'!U69</f>
        <v>2647</v>
      </c>
      <c r="N66" s="171"/>
      <c r="O66" s="292"/>
      <c r="AB66" s="103"/>
      <c r="AC66" s="104"/>
    </row>
    <row r="67" spans="1:29" s="3" customFormat="1" ht="12.75">
      <c r="A67" s="68"/>
      <c r="B67" s="18" t="s">
        <v>148</v>
      </c>
      <c r="C67" s="56"/>
      <c r="D67" s="104"/>
      <c r="F67" s="41">
        <f>+'Cons spec tot e finalizzati'!F70-'Cons spec tot e finalizzati'!G70</f>
        <v>0</v>
      </c>
      <c r="G67" s="41">
        <f>+'Cons spec tot e finalizzati'!H70-'Cons spec tot e finalizzati'!I70</f>
        <v>0</v>
      </c>
      <c r="H67" s="41">
        <f>+'Cons spec tot e finalizzati'!J70-'Cons spec tot e finalizzati'!K70</f>
        <v>0</v>
      </c>
      <c r="I67" s="41">
        <f>+'Cons spec tot e finalizzati'!L70-'Cons spec tot e finalizzati'!M70</f>
        <v>0</v>
      </c>
      <c r="J67" s="41">
        <f>+'Cons spec tot e finalizzati'!N70-'Cons spec tot e finalizzati'!O70</f>
        <v>0</v>
      </c>
      <c r="K67" s="41">
        <f>+'Cons spec tot e finalizzati'!P70-'Cons spec tot e finalizzati'!Q70</f>
        <v>154</v>
      </c>
      <c r="L67" s="41">
        <f>+'Cons spec tot e finalizzati'!R70-'Cons spec tot e finalizzati'!S70</f>
        <v>1372</v>
      </c>
      <c r="M67" s="41">
        <f>+'Cons spec tot e finalizzati'!T70-'Cons spec tot e finalizzati'!U70</f>
        <v>1353</v>
      </c>
      <c r="N67" s="171"/>
      <c r="O67" s="292"/>
      <c r="AB67" s="103"/>
      <c r="AC67" s="104"/>
    </row>
    <row r="68" spans="1:29" s="3" customFormat="1" ht="12.75">
      <c r="A68" s="68"/>
      <c r="B68" s="18" t="s">
        <v>149</v>
      </c>
      <c r="C68" s="56"/>
      <c r="D68" s="104"/>
      <c r="F68" s="41">
        <f>+'Cons spec tot e finalizzati'!F71-'Cons spec tot e finalizzati'!G71</f>
        <v>0</v>
      </c>
      <c r="G68" s="41">
        <f>+'Cons spec tot e finalizzati'!H71-'Cons spec tot e finalizzati'!I71</f>
        <v>0</v>
      </c>
      <c r="H68" s="41">
        <f>+'Cons spec tot e finalizzati'!J71-'Cons spec tot e finalizzati'!K71</f>
        <v>0</v>
      </c>
      <c r="I68" s="41">
        <f>+'Cons spec tot e finalizzati'!L71-'Cons spec tot e finalizzati'!M71</f>
        <v>0</v>
      </c>
      <c r="J68" s="41">
        <f>+'Cons spec tot e finalizzati'!N71-'Cons spec tot e finalizzati'!O71</f>
        <v>0</v>
      </c>
      <c r="K68" s="41">
        <f>+'Cons spec tot e finalizzati'!P71-'Cons spec tot e finalizzati'!Q71</f>
        <v>4221</v>
      </c>
      <c r="L68" s="41">
        <f>+'Cons spec tot e finalizzati'!R71-'Cons spec tot e finalizzati'!S71</f>
        <v>3435</v>
      </c>
      <c r="M68" s="41">
        <f>+'Cons spec tot e finalizzati'!T71-'Cons spec tot e finalizzati'!U71</f>
        <v>3476</v>
      </c>
      <c r="N68" s="171"/>
      <c r="O68" s="292"/>
      <c r="AB68" s="103"/>
      <c r="AC68" s="104"/>
    </row>
    <row r="69" spans="1:29" s="3" customFormat="1" ht="12.75">
      <c r="A69" s="68"/>
      <c r="B69" s="253" t="s">
        <v>18</v>
      </c>
      <c r="C69" s="56"/>
      <c r="D69" s="104"/>
      <c r="F69" s="41">
        <f>+'Cons spec tot e finalizzati'!F72-'Cons spec tot e finalizzati'!G72</f>
        <v>4522</v>
      </c>
      <c r="G69" s="41">
        <f>+'Cons spec tot e finalizzati'!H72-'Cons spec tot e finalizzati'!I72</f>
        <v>6464</v>
      </c>
      <c r="H69" s="41">
        <f>+'Cons spec tot e finalizzati'!J72-'Cons spec tot e finalizzati'!K72</f>
        <v>5020</v>
      </c>
      <c r="I69" s="41">
        <f>+'Cons spec tot e finalizzati'!L72-'Cons spec tot e finalizzati'!M72</f>
        <v>6466</v>
      </c>
      <c r="J69" s="41">
        <f>+'Cons spec tot e finalizzati'!N72-'Cons spec tot e finalizzati'!O72</f>
        <v>4471.29285172006</v>
      </c>
      <c r="K69" s="41">
        <f>+'Cons spec tot e finalizzati'!P72-'Cons spec tot e finalizzati'!Q72</f>
        <v>0</v>
      </c>
      <c r="L69" s="41">
        <f>+'Cons spec tot e finalizzati'!R72-'Cons spec tot e finalizzati'!S72</f>
        <v>0</v>
      </c>
      <c r="M69" s="41">
        <f>+'Cons spec tot e finalizzati'!T72-'Cons spec tot e finalizzati'!U72</f>
        <v>0</v>
      </c>
      <c r="N69" s="171"/>
      <c r="O69" s="292"/>
      <c r="AB69" s="103"/>
      <c r="AC69" s="104"/>
    </row>
    <row r="70" spans="1:29" s="3" customFormat="1" ht="12.75">
      <c r="A70" s="68"/>
      <c r="B70" s="253" t="s">
        <v>19</v>
      </c>
      <c r="C70" s="56"/>
      <c r="D70" s="104"/>
      <c r="F70" s="41">
        <f>+'Cons spec tot e finalizzati'!F73-'Cons spec tot e finalizzati'!G73</f>
        <v>1667</v>
      </c>
      <c r="G70" s="41">
        <f>+'Cons spec tot e finalizzati'!H73-'Cons spec tot e finalizzati'!I73</f>
        <v>1979</v>
      </c>
      <c r="H70" s="41">
        <f>+'Cons spec tot e finalizzati'!J73-'Cons spec tot e finalizzati'!K73</f>
        <v>1770</v>
      </c>
      <c r="I70" s="41">
        <f>+'Cons spec tot e finalizzati'!L73-'Cons spec tot e finalizzati'!M73</f>
        <v>1708</v>
      </c>
      <c r="J70" s="41">
        <f>+'Cons spec tot e finalizzati'!N73-'Cons spec tot e finalizzati'!O73</f>
        <v>190</v>
      </c>
      <c r="K70" s="41">
        <f>+'Cons spec tot e finalizzati'!P73-'Cons spec tot e finalizzati'!Q73</f>
        <v>0</v>
      </c>
      <c r="L70" s="41">
        <f>+'Cons spec tot e finalizzati'!R73-'Cons spec tot e finalizzati'!S73</f>
        <v>0</v>
      </c>
      <c r="M70" s="41">
        <f>+'Cons spec tot e finalizzati'!T73-'Cons spec tot e finalizzati'!U73</f>
        <v>0</v>
      </c>
      <c r="N70" s="171"/>
      <c r="O70" s="292"/>
      <c r="AB70" s="103"/>
      <c r="AC70" s="104"/>
    </row>
    <row r="71" spans="1:29" s="3" customFormat="1" ht="12.75">
      <c r="A71" s="68"/>
      <c r="B71" s="253" t="s">
        <v>20</v>
      </c>
      <c r="C71" s="56"/>
      <c r="D71" s="104"/>
      <c r="F71" s="41">
        <f>+'Cons spec tot e finalizzati'!F74-'Cons spec tot e finalizzati'!G74</f>
        <v>1206</v>
      </c>
      <c r="G71" s="41">
        <f>+'Cons spec tot e finalizzati'!H74-'Cons spec tot e finalizzati'!I74</f>
        <v>1621</v>
      </c>
      <c r="H71" s="41">
        <f>+'Cons spec tot e finalizzati'!J74-'Cons spec tot e finalizzati'!K74</f>
        <v>1515</v>
      </c>
      <c r="I71" s="41">
        <f>+'Cons spec tot e finalizzati'!L74-'Cons spec tot e finalizzati'!M74</f>
        <v>1777</v>
      </c>
      <c r="J71" s="41">
        <f>+'Cons spec tot e finalizzati'!N74-'Cons spec tot e finalizzati'!O74</f>
        <v>1394</v>
      </c>
      <c r="K71" s="41">
        <f>+'Cons spec tot e finalizzati'!P74-'Cons spec tot e finalizzati'!Q74</f>
        <v>0</v>
      </c>
      <c r="L71" s="41">
        <f>+'Cons spec tot e finalizzati'!R74-'Cons spec tot e finalizzati'!S74</f>
        <v>0</v>
      </c>
      <c r="M71" s="41">
        <f>+'Cons spec tot e finalizzati'!T74-'Cons spec tot e finalizzati'!U74</f>
        <v>0</v>
      </c>
      <c r="N71" s="171"/>
      <c r="O71" s="292"/>
      <c r="AB71" s="103"/>
      <c r="AC71" s="104"/>
    </row>
    <row r="72" spans="1:29" s="3" customFormat="1" ht="12.75">
      <c r="A72" s="95"/>
      <c r="B72" s="96" t="s">
        <v>55</v>
      </c>
      <c r="C72" s="96"/>
      <c r="D72" s="288"/>
      <c r="E72" s="115"/>
      <c r="F72" s="42">
        <f>+'Cons spec tot e finalizzati'!F75-'Cons spec tot e finalizzati'!G75</f>
        <v>0</v>
      </c>
      <c r="G72" s="42">
        <f>+'Cons spec tot e finalizzati'!H75-'Cons spec tot e finalizzati'!I75</f>
        <v>0</v>
      </c>
      <c r="H72" s="42">
        <f>+'Cons spec tot e finalizzati'!J75-'Cons spec tot e finalizzati'!K75</f>
        <v>0</v>
      </c>
      <c r="I72" s="42">
        <f>+'Cons spec tot e finalizzati'!L75-'Cons spec tot e finalizzati'!M75</f>
        <v>0</v>
      </c>
      <c r="J72" s="42">
        <f>+'Cons spec tot e finalizzati'!N75-'Cons spec tot e finalizzati'!O75</f>
        <v>3904</v>
      </c>
      <c r="K72" s="42">
        <f>+'Cons spec tot e finalizzati'!P75-'Cons spec tot e finalizzati'!Q75</f>
        <v>4911</v>
      </c>
      <c r="L72" s="42">
        <f>+'Cons spec tot e finalizzati'!R75-'Cons spec tot e finalizzati'!S75</f>
        <v>5164</v>
      </c>
      <c r="M72" s="42">
        <f>+'Cons spec tot e finalizzati'!T75-'Cons spec tot e finalizzati'!U75</f>
        <v>5505</v>
      </c>
      <c r="N72" s="171"/>
      <c r="O72" s="292"/>
      <c r="AB72" s="103"/>
      <c r="AC72" s="104"/>
    </row>
    <row r="73" spans="1:29" s="3" customFormat="1" ht="12.75">
      <c r="A73" s="164" t="s">
        <v>176</v>
      </c>
      <c r="B73" s="159"/>
      <c r="C73" s="159"/>
      <c r="D73" s="160"/>
      <c r="F73" s="163">
        <f aca="true" t="shared" si="9" ref="F73:L73">+F74+F75+F79+F89</f>
        <v>14305</v>
      </c>
      <c r="G73" s="163">
        <f t="shared" si="9"/>
        <v>15110</v>
      </c>
      <c r="H73" s="163">
        <f t="shared" si="9"/>
        <v>18049</v>
      </c>
      <c r="I73" s="163">
        <f t="shared" si="9"/>
        <v>19896</v>
      </c>
      <c r="J73" s="163">
        <f t="shared" si="9"/>
        <v>22704.298646366467</v>
      </c>
      <c r="K73" s="163">
        <f t="shared" si="9"/>
        <v>23478</v>
      </c>
      <c r="L73" s="163">
        <f t="shared" si="9"/>
        <v>24486</v>
      </c>
      <c r="M73" s="163">
        <f>+M74+M75+M79+M89</f>
        <v>27919</v>
      </c>
      <c r="N73" s="171"/>
      <c r="O73" s="292"/>
      <c r="AB73" s="79"/>
      <c r="AC73" s="80"/>
    </row>
    <row r="74" spans="1:29" s="3" customFormat="1" ht="12.75">
      <c r="A74" s="68"/>
      <c r="B74" s="56"/>
      <c r="C74" s="56" t="s">
        <v>205</v>
      </c>
      <c r="D74" s="69"/>
      <c r="F74" s="41">
        <f>+'Cons spec tot e finalizzati'!F77-'Cons spec tot e finalizzati'!G77</f>
        <v>0</v>
      </c>
      <c r="G74" s="41">
        <f>+'Cons spec tot e finalizzati'!H77-'Cons spec tot e finalizzati'!I77</f>
        <v>0</v>
      </c>
      <c r="H74" s="41">
        <f>+'Cons spec tot e finalizzati'!J77-'Cons spec tot e finalizzati'!K77</f>
        <v>0</v>
      </c>
      <c r="I74" s="41">
        <f>+'Cons spec tot e finalizzati'!L77-'Cons spec tot e finalizzati'!M77</f>
        <v>0</v>
      </c>
      <c r="J74" s="41">
        <f>+'Cons spec tot e finalizzati'!N77-'Cons spec tot e finalizzati'!O77</f>
        <v>0</v>
      </c>
      <c r="K74" s="41">
        <f>+'Cons spec tot e finalizzati'!P77-'Cons spec tot e finalizzati'!Q77</f>
        <v>0</v>
      </c>
      <c r="L74" s="41">
        <f>+'Cons spec tot e finalizzati'!R77-'Cons spec tot e finalizzati'!S77</f>
        <v>49</v>
      </c>
      <c r="M74" s="41">
        <f>+'Cons spec tot e finalizzati'!T77-'Cons spec tot e finalizzati'!U77</f>
        <v>50</v>
      </c>
      <c r="N74" s="171"/>
      <c r="O74" s="292"/>
      <c r="AB74" s="83"/>
      <c r="AC74" s="84"/>
    </row>
    <row r="75" spans="1:29" s="59" customFormat="1" ht="12.75">
      <c r="A75" s="68"/>
      <c r="B75" s="78" t="s">
        <v>175</v>
      </c>
      <c r="C75" s="56"/>
      <c r="D75" s="69"/>
      <c r="E75" s="3"/>
      <c r="F75" s="121">
        <f aca="true" t="shared" si="10" ref="F75:K75">SUM(F76:F78)</f>
        <v>2550</v>
      </c>
      <c r="G75" s="121">
        <f t="shared" si="10"/>
        <v>2378</v>
      </c>
      <c r="H75" s="121">
        <f t="shared" si="10"/>
        <v>2467</v>
      </c>
      <c r="I75" s="121">
        <f t="shared" si="10"/>
        <v>2865</v>
      </c>
      <c r="J75" s="121">
        <f t="shared" si="10"/>
        <v>3710.2986463664674</v>
      </c>
      <c r="K75" s="121">
        <f t="shared" si="10"/>
        <v>3385</v>
      </c>
      <c r="L75" s="121">
        <f>SUM(L76:L78)</f>
        <v>2981</v>
      </c>
      <c r="M75" s="121">
        <f>SUM(M76:M78)</f>
        <v>2759</v>
      </c>
      <c r="N75" s="171"/>
      <c r="O75" s="292"/>
      <c r="AB75" s="76"/>
      <c r="AC75" s="77"/>
    </row>
    <row r="76" spans="1:29" s="3" customFormat="1" ht="12.75">
      <c r="A76" s="68"/>
      <c r="B76" s="56"/>
      <c r="C76" s="10" t="s">
        <v>6</v>
      </c>
      <c r="D76" s="69"/>
      <c r="F76" s="41">
        <f>+'Cons spec tot e finalizzati'!F79-'Cons spec tot e finalizzati'!G79</f>
        <v>0</v>
      </c>
      <c r="G76" s="41">
        <f>+'Cons spec tot e finalizzati'!H79-'Cons spec tot e finalizzati'!I79</f>
        <v>0</v>
      </c>
      <c r="H76" s="41">
        <f>+'Cons spec tot e finalizzati'!J79-'Cons spec tot e finalizzati'!K79</f>
        <v>0</v>
      </c>
      <c r="I76" s="41">
        <f>+'Cons spec tot e finalizzati'!L79-'Cons spec tot e finalizzati'!M79</f>
        <v>26</v>
      </c>
      <c r="J76" s="41">
        <f>+'Cons spec tot e finalizzati'!N79-'Cons spec tot e finalizzati'!O79</f>
        <v>77</v>
      </c>
      <c r="K76" s="41">
        <f>+'Cons spec tot e finalizzati'!P79-'Cons spec tot e finalizzati'!Q79</f>
        <v>70</v>
      </c>
      <c r="L76" s="41">
        <f>+'Cons spec tot e finalizzati'!R79-'Cons spec tot e finalizzati'!S79</f>
        <v>49</v>
      </c>
      <c r="M76" s="41">
        <f>+'Cons spec tot e finalizzati'!T79-'Cons spec tot e finalizzati'!U79</f>
        <v>67</v>
      </c>
      <c r="N76" s="171"/>
      <c r="O76" s="292"/>
      <c r="AB76" s="76"/>
      <c r="AC76" s="77"/>
    </row>
    <row r="77" spans="1:29" s="3" customFormat="1" ht="12.75">
      <c r="A77" s="68"/>
      <c r="B77" s="56"/>
      <c r="C77" s="55" t="s">
        <v>211</v>
      </c>
      <c r="D77" s="69"/>
      <c r="F77" s="41">
        <f>+'Cons spec tot e finalizzati'!F80-'Cons spec tot e finalizzati'!G80</f>
        <v>2166</v>
      </c>
      <c r="G77" s="41">
        <f>+'Cons spec tot e finalizzati'!H80-'Cons spec tot e finalizzati'!I80</f>
        <v>2183</v>
      </c>
      <c r="H77" s="41">
        <f>+'Cons spec tot e finalizzati'!J80-'Cons spec tot e finalizzati'!K80</f>
        <v>2169</v>
      </c>
      <c r="I77" s="41">
        <f>+'Cons spec tot e finalizzati'!L80-'Cons spec tot e finalizzati'!M80</f>
        <v>2576</v>
      </c>
      <c r="J77" s="41">
        <f>+'Cons spec tot e finalizzati'!N80-'Cons spec tot e finalizzati'!O80</f>
        <v>2654</v>
      </c>
      <c r="K77" s="41">
        <f>+'Cons spec tot e finalizzati'!P80-'Cons spec tot e finalizzati'!Q80</f>
        <v>2485</v>
      </c>
      <c r="L77" s="41">
        <f>+'Cons spec tot e finalizzati'!R80-'Cons spec tot e finalizzati'!S80</f>
        <v>973</v>
      </c>
      <c r="M77" s="41">
        <f>+'Cons spec tot e finalizzati'!T80-'Cons spec tot e finalizzati'!U80</f>
        <v>799</v>
      </c>
      <c r="N77" s="171"/>
      <c r="O77" s="292"/>
      <c r="AB77" s="92"/>
      <c r="AC77" s="80"/>
    </row>
    <row r="78" spans="1:29" s="3" customFormat="1" ht="12.75">
      <c r="A78" s="68"/>
      <c r="B78" s="56"/>
      <c r="C78" s="55" t="s">
        <v>35</v>
      </c>
      <c r="D78" s="69"/>
      <c r="F78" s="41">
        <f>+'Cons spec tot e finalizzati'!F81-'Cons spec tot e finalizzati'!G81</f>
        <v>384</v>
      </c>
      <c r="G78" s="41">
        <f>+'Cons spec tot e finalizzati'!H81-'Cons spec tot e finalizzati'!I81</f>
        <v>195</v>
      </c>
      <c r="H78" s="41">
        <f>+'Cons spec tot e finalizzati'!J81-'Cons spec tot e finalizzati'!K81</f>
        <v>298</v>
      </c>
      <c r="I78" s="41">
        <f>+'Cons spec tot e finalizzati'!L81-'Cons spec tot e finalizzati'!M81</f>
        <v>263</v>
      </c>
      <c r="J78" s="41">
        <f>+'Cons spec tot e finalizzati'!N81-'Cons spec tot e finalizzati'!O81</f>
        <v>979.2986463664674</v>
      </c>
      <c r="K78" s="41">
        <f>+'Cons spec tot e finalizzati'!P81-'Cons spec tot e finalizzati'!Q81</f>
        <v>830</v>
      </c>
      <c r="L78" s="41">
        <f>+'Cons spec tot e finalizzati'!R81-'Cons spec tot e finalizzati'!S81</f>
        <v>1959</v>
      </c>
      <c r="M78" s="41">
        <f>+'Cons spec tot e finalizzati'!T81-'Cons spec tot e finalizzati'!U81</f>
        <v>1893</v>
      </c>
      <c r="N78" s="171"/>
      <c r="O78" s="292"/>
      <c r="AB78" s="92"/>
      <c r="AC78" s="80"/>
    </row>
    <row r="79" spans="1:29" s="3" customFormat="1" ht="12.75">
      <c r="A79" s="68"/>
      <c r="B79" s="78" t="s">
        <v>174</v>
      </c>
      <c r="C79" s="56"/>
      <c r="D79" s="69"/>
      <c r="F79" s="121">
        <f aca="true" t="shared" si="11" ref="F79:L79">SUM(F80:F88)</f>
        <v>10709</v>
      </c>
      <c r="G79" s="121">
        <f t="shared" si="11"/>
        <v>11502</v>
      </c>
      <c r="H79" s="121">
        <f t="shared" si="11"/>
        <v>13645</v>
      </c>
      <c r="I79" s="121">
        <f t="shared" si="11"/>
        <v>14867</v>
      </c>
      <c r="J79" s="121">
        <f t="shared" si="11"/>
        <v>16019</v>
      </c>
      <c r="K79" s="121">
        <f t="shared" si="11"/>
        <v>15977</v>
      </c>
      <c r="L79" s="121">
        <f t="shared" si="11"/>
        <v>17151</v>
      </c>
      <c r="M79" s="121">
        <f>SUM(M80:M88)</f>
        <v>21756</v>
      </c>
      <c r="N79" s="171"/>
      <c r="O79" s="292"/>
      <c r="AB79" s="92"/>
      <c r="AC79" s="80"/>
    </row>
    <row r="80" spans="1:29" s="3" customFormat="1" ht="12.75">
      <c r="A80" s="68"/>
      <c r="B80" s="56"/>
      <c r="C80" s="55" t="s">
        <v>33</v>
      </c>
      <c r="D80" s="69"/>
      <c r="F80" s="41">
        <f>+'Cons spec tot e finalizzati'!F83-'Cons spec tot e finalizzati'!G83</f>
        <v>256</v>
      </c>
      <c r="G80" s="41">
        <f>+'Cons spec tot e finalizzati'!H83-'Cons spec tot e finalizzati'!I83</f>
        <v>168</v>
      </c>
      <c r="H80" s="41">
        <f>+'Cons spec tot e finalizzati'!J83-'Cons spec tot e finalizzati'!K83</f>
        <v>292</v>
      </c>
      <c r="I80" s="41">
        <f>+'Cons spec tot e finalizzati'!L83-'Cons spec tot e finalizzati'!M83</f>
        <v>561</v>
      </c>
      <c r="J80" s="41">
        <f>+'Cons spec tot e finalizzati'!N83-'Cons spec tot e finalizzati'!O83</f>
        <v>833</v>
      </c>
      <c r="K80" s="41">
        <f>+'Cons spec tot e finalizzati'!P83-'Cons spec tot e finalizzati'!Q83</f>
        <v>472</v>
      </c>
      <c r="L80" s="41">
        <f>+'Cons spec tot e finalizzati'!R83-'Cons spec tot e finalizzati'!S83</f>
        <v>330</v>
      </c>
      <c r="M80" s="41">
        <f>+'Cons spec tot e finalizzati'!T83-'Cons spec tot e finalizzati'!U83</f>
        <v>302</v>
      </c>
      <c r="N80" s="171"/>
      <c r="O80" s="292"/>
      <c r="AB80" s="98"/>
      <c r="AC80" s="84"/>
    </row>
    <row r="81" spans="1:29" s="3" customFormat="1" ht="12.75">
      <c r="A81" s="68"/>
      <c r="B81" s="56"/>
      <c r="C81" s="55" t="s">
        <v>36</v>
      </c>
      <c r="D81" s="69"/>
      <c r="F81" s="41">
        <f>+'Cons spec tot e finalizzati'!F84-'Cons spec tot e finalizzati'!G84</f>
        <v>129</v>
      </c>
      <c r="G81" s="41">
        <f>+'Cons spec tot e finalizzati'!H84-'Cons spec tot e finalizzati'!I84</f>
        <v>156</v>
      </c>
      <c r="H81" s="41">
        <f>+'Cons spec tot e finalizzati'!J84-'Cons spec tot e finalizzati'!K84</f>
        <v>103</v>
      </c>
      <c r="I81" s="41">
        <f>+'Cons spec tot e finalizzati'!L84-'Cons spec tot e finalizzati'!M84</f>
        <v>0</v>
      </c>
      <c r="J81" s="41">
        <f>+'Cons spec tot e finalizzati'!N84-'Cons spec tot e finalizzati'!O84</f>
        <v>0</v>
      </c>
      <c r="K81" s="41">
        <f>+'Cons spec tot e finalizzati'!P84-'Cons spec tot e finalizzati'!Q84</f>
        <v>0</v>
      </c>
      <c r="L81" s="41">
        <f>+'Cons spec tot e finalizzati'!R84-'Cons spec tot e finalizzati'!S84</f>
        <v>0</v>
      </c>
      <c r="M81" s="41">
        <f>+'Cons spec tot e finalizzati'!T84-'Cons spec tot e finalizzati'!U84</f>
        <v>0</v>
      </c>
      <c r="N81" s="171"/>
      <c r="O81" s="292"/>
      <c r="AB81" s="99"/>
      <c r="AC81" s="77"/>
    </row>
    <row r="82" spans="1:29" s="3" customFormat="1" ht="12.75">
      <c r="A82" s="68"/>
      <c r="B82" s="56"/>
      <c r="C82" s="55" t="s">
        <v>37</v>
      </c>
      <c r="D82" s="69"/>
      <c r="F82" s="41">
        <f>+'Cons spec tot e finalizzati'!F85-'Cons spec tot e finalizzati'!G85</f>
        <v>4239</v>
      </c>
      <c r="G82" s="41">
        <f>+'Cons spec tot e finalizzati'!H85-'Cons spec tot e finalizzati'!I85</f>
        <v>4701</v>
      </c>
      <c r="H82" s="41">
        <f>+'Cons spec tot e finalizzati'!J85-'Cons spec tot e finalizzati'!K85</f>
        <v>5412</v>
      </c>
      <c r="I82" s="41">
        <f>+'Cons spec tot e finalizzati'!L85-'Cons spec tot e finalizzati'!M85</f>
        <v>5645</v>
      </c>
      <c r="J82" s="41">
        <f>+'Cons spec tot e finalizzati'!N85-'Cons spec tot e finalizzati'!O85</f>
        <v>5456</v>
      </c>
      <c r="K82" s="41">
        <f>+'Cons spec tot e finalizzati'!P85-'Cons spec tot e finalizzati'!Q85</f>
        <v>5293</v>
      </c>
      <c r="L82" s="41">
        <f>+'Cons spec tot e finalizzati'!R85-'Cons spec tot e finalizzati'!S85</f>
        <v>5262</v>
      </c>
      <c r="M82" s="41">
        <f>+'Cons spec tot e finalizzati'!T85-'Cons spec tot e finalizzati'!U85</f>
        <v>6884</v>
      </c>
      <c r="N82" s="171"/>
      <c r="O82" s="292"/>
      <c r="AB82" s="92"/>
      <c r="AC82" s="80"/>
    </row>
    <row r="83" spans="1:29" s="3" customFormat="1" ht="12.75">
      <c r="A83" s="68"/>
      <c r="B83" s="56"/>
      <c r="C83" s="55" t="s">
        <v>132</v>
      </c>
      <c r="D83" s="69"/>
      <c r="F83" s="41">
        <f>+'Cons spec tot e finalizzati'!F86-'Cons spec tot e finalizzati'!G86</f>
        <v>0</v>
      </c>
      <c r="G83" s="41">
        <f>+'Cons spec tot e finalizzati'!H86-'Cons spec tot e finalizzati'!I86</f>
        <v>0</v>
      </c>
      <c r="H83" s="41">
        <f>+'Cons spec tot e finalizzati'!J86-'Cons spec tot e finalizzati'!K86</f>
        <v>0</v>
      </c>
      <c r="I83" s="41">
        <f>+'Cons spec tot e finalizzati'!L86-'Cons spec tot e finalizzati'!M86</f>
        <v>0</v>
      </c>
      <c r="J83" s="41">
        <f>+'Cons spec tot e finalizzati'!N86-'Cons spec tot e finalizzati'!O86</f>
        <v>0</v>
      </c>
      <c r="K83" s="41">
        <f>+'Cons spec tot e finalizzati'!P86-'Cons spec tot e finalizzati'!Q86</f>
        <v>848</v>
      </c>
      <c r="L83" s="41">
        <f>+'Cons spec tot e finalizzati'!R86-'Cons spec tot e finalizzati'!S86</f>
        <v>1406</v>
      </c>
      <c r="M83" s="41">
        <f>+'Cons spec tot e finalizzati'!T86-'Cons spec tot e finalizzati'!U86</f>
        <v>1299</v>
      </c>
      <c r="N83" s="171"/>
      <c r="O83" s="292"/>
      <c r="AB83" s="92"/>
      <c r="AC83" s="80"/>
    </row>
    <row r="84" spans="1:29" s="3" customFormat="1" ht="12.75">
      <c r="A84" s="68"/>
      <c r="B84" s="56"/>
      <c r="C84" s="55" t="s">
        <v>131</v>
      </c>
      <c r="D84" s="69"/>
      <c r="F84" s="41">
        <f>+'Cons spec tot e finalizzati'!F87-'Cons spec tot e finalizzati'!G87</f>
        <v>0</v>
      </c>
      <c r="G84" s="41">
        <f>+'Cons spec tot e finalizzati'!H87-'Cons spec tot e finalizzati'!I87</f>
        <v>0</v>
      </c>
      <c r="H84" s="41">
        <f>+'Cons spec tot e finalizzati'!J87-'Cons spec tot e finalizzati'!K87</f>
        <v>0</v>
      </c>
      <c r="I84" s="41">
        <f>+'Cons spec tot e finalizzati'!L87-'Cons spec tot e finalizzati'!M87</f>
        <v>0</v>
      </c>
      <c r="J84" s="41">
        <f>+'Cons spec tot e finalizzati'!N87-'Cons spec tot e finalizzati'!O87</f>
        <v>0</v>
      </c>
      <c r="K84" s="41">
        <f>+'Cons spec tot e finalizzati'!P87-'Cons spec tot e finalizzati'!Q87</f>
        <v>600</v>
      </c>
      <c r="L84" s="41">
        <f>+'Cons spec tot e finalizzati'!R87-'Cons spec tot e finalizzati'!S87</f>
        <v>832</v>
      </c>
      <c r="M84" s="41">
        <f>+'Cons spec tot e finalizzati'!T87-'Cons spec tot e finalizzati'!U87</f>
        <v>656</v>
      </c>
      <c r="N84" s="171"/>
      <c r="O84" s="292"/>
      <c r="AB84" s="92"/>
      <c r="AC84" s="80"/>
    </row>
    <row r="85" spans="1:29" s="82" customFormat="1" ht="12.75">
      <c r="A85" s="250"/>
      <c r="B85" s="58"/>
      <c r="C85" s="58" t="s">
        <v>124</v>
      </c>
      <c r="D85" s="81"/>
      <c r="F85" s="256">
        <f>+'Cons spec tot e finalizzati'!F88-'Cons spec tot e finalizzati'!G88</f>
        <v>1021</v>
      </c>
      <c r="G85" s="256">
        <f>+'Cons spec tot e finalizzati'!H88-'Cons spec tot e finalizzati'!I88</f>
        <v>999</v>
      </c>
      <c r="H85" s="256">
        <f>+'Cons spec tot e finalizzati'!J88-'Cons spec tot e finalizzati'!K88</f>
        <v>950</v>
      </c>
      <c r="I85" s="256">
        <f>+'Cons spec tot e finalizzati'!L88-'Cons spec tot e finalizzati'!M88</f>
        <v>1126</v>
      </c>
      <c r="J85" s="256">
        <f>+'Cons spec tot e finalizzati'!N88-'Cons spec tot e finalizzati'!O88</f>
        <v>1576</v>
      </c>
      <c r="K85" s="256">
        <f>+'Cons spec tot e finalizzati'!P88-'Cons spec tot e finalizzati'!Q88</f>
        <v>0</v>
      </c>
      <c r="L85" s="256">
        <f>+'Cons spec tot e finalizzati'!R88-'Cons spec tot e finalizzati'!S88</f>
        <v>0</v>
      </c>
      <c r="M85" s="256">
        <f>+'Cons spec tot e finalizzati'!T88-'Cons spec tot e finalizzati'!U88</f>
        <v>0</v>
      </c>
      <c r="N85" s="257"/>
      <c r="O85" s="292"/>
      <c r="AB85" s="258"/>
      <c r="AC85" s="259"/>
    </row>
    <row r="86" spans="1:29" s="3" customFormat="1" ht="12.75">
      <c r="A86" s="68"/>
      <c r="B86" s="56"/>
      <c r="C86" s="55" t="s">
        <v>38</v>
      </c>
      <c r="D86" s="69"/>
      <c r="F86" s="41">
        <f>+'Cons spec tot e finalizzati'!F89-'Cons spec tot e finalizzati'!G89</f>
        <v>1449</v>
      </c>
      <c r="G86" s="41">
        <f>+'Cons spec tot e finalizzati'!H89-'Cons spec tot e finalizzati'!I89</f>
        <v>1683</v>
      </c>
      <c r="H86" s="41">
        <f>+'Cons spec tot e finalizzati'!J89-'Cons spec tot e finalizzati'!K89</f>
        <v>2231</v>
      </c>
      <c r="I86" s="41">
        <f>+'Cons spec tot e finalizzati'!L89-'Cons spec tot e finalizzati'!M89</f>
        <v>2584</v>
      </c>
      <c r="J86" s="41">
        <f>+'Cons spec tot e finalizzati'!N89-'Cons spec tot e finalizzati'!O89</f>
        <v>2394</v>
      </c>
      <c r="K86" s="41">
        <f>+'Cons spec tot e finalizzati'!P89-'Cons spec tot e finalizzati'!Q89</f>
        <v>2604</v>
      </c>
      <c r="L86" s="41">
        <f>+'Cons spec tot e finalizzati'!R89-'Cons spec tot e finalizzati'!S89</f>
        <v>3044</v>
      </c>
      <c r="M86" s="41">
        <f>+'Cons spec tot e finalizzati'!T89-'Cons spec tot e finalizzati'!U89</f>
        <v>3287</v>
      </c>
      <c r="N86" s="171"/>
      <c r="O86" s="292"/>
      <c r="AB86" s="92"/>
      <c r="AC86" s="80"/>
    </row>
    <row r="87" spans="1:29" s="3" customFormat="1" ht="12.75">
      <c r="A87" s="68"/>
      <c r="B87" s="56"/>
      <c r="C87" s="55" t="s">
        <v>110</v>
      </c>
      <c r="D87" s="69"/>
      <c r="F87" s="41">
        <f>+'Cons spec tot e finalizzati'!F90-'Cons spec tot e finalizzati'!G90</f>
        <v>2582</v>
      </c>
      <c r="G87" s="41">
        <f>+'Cons spec tot e finalizzati'!H90-'Cons spec tot e finalizzati'!I90</f>
        <v>2659</v>
      </c>
      <c r="H87" s="41">
        <f>+'Cons spec tot e finalizzati'!J90-'Cons spec tot e finalizzati'!K90</f>
        <v>3495</v>
      </c>
      <c r="I87" s="41">
        <f>+'Cons spec tot e finalizzati'!L90-'Cons spec tot e finalizzati'!M90</f>
        <v>4036</v>
      </c>
      <c r="J87" s="41">
        <f>+'Cons spec tot e finalizzati'!N90-'Cons spec tot e finalizzati'!O90</f>
        <v>4063</v>
      </c>
      <c r="K87" s="41">
        <f>+'Cons spec tot e finalizzati'!P90-'Cons spec tot e finalizzati'!Q90</f>
        <v>4182</v>
      </c>
      <c r="L87" s="41">
        <f>+'Cons spec tot e finalizzati'!R90-'Cons spec tot e finalizzati'!S90</f>
        <v>4353</v>
      </c>
      <c r="M87" s="41">
        <f>+'Cons spec tot e finalizzati'!T90-'Cons spec tot e finalizzati'!U90</f>
        <v>7233</v>
      </c>
      <c r="N87" s="171"/>
      <c r="O87" s="292"/>
      <c r="AB87" s="92"/>
      <c r="AC87" s="80"/>
    </row>
    <row r="88" spans="1:29" s="3" customFormat="1" ht="12.75">
      <c r="A88" s="68"/>
      <c r="B88" s="56"/>
      <c r="C88" s="55" t="s">
        <v>133</v>
      </c>
      <c r="D88" s="69"/>
      <c r="F88" s="41">
        <f>+'Cons spec tot e finalizzati'!F91-'Cons spec tot e finalizzati'!G91</f>
        <v>1033</v>
      </c>
      <c r="G88" s="41">
        <f>+'Cons spec tot e finalizzati'!H91-'Cons spec tot e finalizzati'!I91</f>
        <v>1136</v>
      </c>
      <c r="H88" s="41">
        <f>+'Cons spec tot e finalizzati'!J91-'Cons spec tot e finalizzati'!K91</f>
        <v>1162</v>
      </c>
      <c r="I88" s="41">
        <f>+'Cons spec tot e finalizzati'!L91-'Cons spec tot e finalizzati'!M91</f>
        <v>915</v>
      </c>
      <c r="J88" s="41">
        <f>+'Cons spec tot e finalizzati'!N91-'Cons spec tot e finalizzati'!O91</f>
        <v>1697</v>
      </c>
      <c r="K88" s="41">
        <f>+'Cons spec tot e finalizzati'!P91-'Cons spec tot e finalizzati'!Q91</f>
        <v>1978</v>
      </c>
      <c r="L88" s="41">
        <f>+'Cons spec tot e finalizzati'!R91-'Cons spec tot e finalizzati'!S91</f>
        <v>1924</v>
      </c>
      <c r="M88" s="41">
        <f>+'Cons spec tot e finalizzati'!T91-'Cons spec tot e finalizzati'!U91</f>
        <v>2095</v>
      </c>
      <c r="N88" s="171"/>
      <c r="O88" s="292"/>
      <c r="AB88" s="92"/>
      <c r="AC88" s="80"/>
    </row>
    <row r="89" spans="1:29" s="3" customFormat="1" ht="12.75">
      <c r="A89" s="68"/>
      <c r="B89" s="78" t="s">
        <v>96</v>
      </c>
      <c r="C89" s="56"/>
      <c r="D89" s="69"/>
      <c r="F89" s="121">
        <f aca="true" t="shared" si="12" ref="F89:M89">SUM(F90:F95)</f>
        <v>1046</v>
      </c>
      <c r="G89" s="121">
        <f t="shared" si="12"/>
        <v>1230</v>
      </c>
      <c r="H89" s="121">
        <f t="shared" si="12"/>
        <v>1937</v>
      </c>
      <c r="I89" s="121">
        <f t="shared" si="12"/>
        <v>2164</v>
      </c>
      <c r="J89" s="121">
        <f t="shared" si="12"/>
        <v>2975</v>
      </c>
      <c r="K89" s="121">
        <f t="shared" si="12"/>
        <v>4116</v>
      </c>
      <c r="L89" s="121">
        <f t="shared" si="12"/>
        <v>4305</v>
      </c>
      <c r="M89" s="121">
        <f t="shared" si="12"/>
        <v>3354</v>
      </c>
      <c r="N89" s="171"/>
      <c r="O89" s="292"/>
      <c r="AB89" s="92"/>
      <c r="AC89" s="80"/>
    </row>
    <row r="90" spans="1:29" s="3" customFormat="1" ht="12.75">
      <c r="A90" s="68"/>
      <c r="B90" s="56"/>
      <c r="C90" s="55" t="s">
        <v>33</v>
      </c>
      <c r="D90" s="69"/>
      <c r="F90" s="41">
        <f>+'Cons spec tot e finalizzati'!F93-'Cons spec tot e finalizzati'!G93</f>
        <v>102</v>
      </c>
      <c r="G90" s="41">
        <f>+'Cons spec tot e finalizzati'!H93-'Cons spec tot e finalizzati'!I93</f>
        <v>142</v>
      </c>
      <c r="H90" s="41">
        <f>+'Cons spec tot e finalizzati'!J93-'Cons spec tot e finalizzati'!K93</f>
        <v>183</v>
      </c>
      <c r="I90" s="41">
        <f>+'Cons spec tot e finalizzati'!L93-'Cons spec tot e finalizzati'!M93</f>
        <v>519</v>
      </c>
      <c r="J90" s="41">
        <f>+'Cons spec tot e finalizzati'!N93-'Cons spec tot e finalizzati'!O93</f>
        <v>343</v>
      </c>
      <c r="K90" s="41">
        <f>+'Cons spec tot e finalizzati'!P93-'Cons spec tot e finalizzati'!Q93</f>
        <v>234</v>
      </c>
      <c r="L90" s="41">
        <f>+'Cons spec tot e finalizzati'!R93-'Cons spec tot e finalizzati'!S93</f>
        <v>99</v>
      </c>
      <c r="M90" s="41">
        <f>+'Cons spec tot e finalizzati'!T93-'Cons spec tot e finalizzati'!U93</f>
        <v>110</v>
      </c>
      <c r="N90" s="171"/>
      <c r="O90" s="292"/>
      <c r="AB90" s="92"/>
      <c r="AC90" s="80"/>
    </row>
    <row r="91" spans="1:29" s="3" customFormat="1" ht="12.75">
      <c r="A91" s="68"/>
      <c r="B91" s="56"/>
      <c r="C91" s="56" t="s">
        <v>97</v>
      </c>
      <c r="D91" s="69"/>
      <c r="F91" s="41">
        <f>+'Cons spec tot e finalizzati'!F94-'Cons spec tot e finalizzati'!G94</f>
        <v>380</v>
      </c>
      <c r="G91" s="41">
        <f>+'Cons spec tot e finalizzati'!H94-'Cons spec tot e finalizzati'!I94</f>
        <v>132</v>
      </c>
      <c r="H91" s="41">
        <f>+'Cons spec tot e finalizzati'!J94-'Cons spec tot e finalizzati'!K94</f>
        <v>749</v>
      </c>
      <c r="I91" s="41">
        <f>+'Cons spec tot e finalizzati'!L94-'Cons spec tot e finalizzati'!M94</f>
        <v>693</v>
      </c>
      <c r="J91" s="41">
        <f>+'Cons spec tot e finalizzati'!N94-'Cons spec tot e finalizzati'!O94</f>
        <v>733</v>
      </c>
      <c r="K91" s="41">
        <f>+'Cons spec tot e finalizzati'!P94-'Cons spec tot e finalizzati'!Q94</f>
        <v>1671</v>
      </c>
      <c r="L91" s="41">
        <f>+'Cons spec tot e finalizzati'!R94-'Cons spec tot e finalizzati'!S94</f>
        <v>1664</v>
      </c>
      <c r="M91" s="41">
        <f>+'Cons spec tot e finalizzati'!T94-'Cons spec tot e finalizzati'!U94</f>
        <v>1923</v>
      </c>
      <c r="N91" s="171"/>
      <c r="O91" s="292"/>
      <c r="AB91" s="98"/>
      <c r="AC91" s="84"/>
    </row>
    <row r="92" spans="1:29" s="3" customFormat="1" ht="12.75">
      <c r="A92" s="68"/>
      <c r="B92" s="56"/>
      <c r="C92" s="55" t="s">
        <v>111</v>
      </c>
      <c r="D92" s="69"/>
      <c r="F92" s="41">
        <f>+'Cons spec tot e finalizzati'!F95-'Cons spec tot e finalizzati'!G95</f>
        <v>70</v>
      </c>
      <c r="G92" s="41">
        <f>+'Cons spec tot e finalizzati'!H95-'Cons spec tot e finalizzati'!I95</f>
        <v>114</v>
      </c>
      <c r="H92" s="41">
        <f>+'Cons spec tot e finalizzati'!J95-'Cons spec tot e finalizzati'!K95</f>
        <v>201</v>
      </c>
      <c r="I92" s="41">
        <f>+'Cons spec tot e finalizzati'!L95-'Cons spec tot e finalizzati'!M95</f>
        <v>178</v>
      </c>
      <c r="J92" s="41">
        <f>+'Cons spec tot e finalizzati'!N95-'Cons spec tot e finalizzati'!O95</f>
        <v>203</v>
      </c>
      <c r="K92" s="41">
        <f>+'Cons spec tot e finalizzati'!P95-'Cons spec tot e finalizzati'!Q95</f>
        <v>116</v>
      </c>
      <c r="L92" s="41">
        <f>+'Cons spec tot e finalizzati'!R95-'Cons spec tot e finalizzati'!S95</f>
        <v>147</v>
      </c>
      <c r="M92" s="41">
        <f>+'Cons spec tot e finalizzati'!T95-'Cons spec tot e finalizzati'!U95</f>
        <v>92</v>
      </c>
      <c r="N92" s="171"/>
      <c r="O92" s="292"/>
      <c r="AB92" s="99"/>
      <c r="AC92" s="77"/>
    </row>
    <row r="93" spans="1:29" s="3" customFormat="1" ht="12.75">
      <c r="A93" s="68"/>
      <c r="B93" s="56"/>
      <c r="C93" s="55" t="s">
        <v>112</v>
      </c>
      <c r="D93" s="69"/>
      <c r="F93" s="41">
        <f>+'Cons spec tot e finalizzati'!F96-'Cons spec tot e finalizzati'!G96</f>
        <v>0</v>
      </c>
      <c r="G93" s="41">
        <f>+'Cons spec tot e finalizzati'!H96-'Cons spec tot e finalizzati'!I96</f>
        <v>339</v>
      </c>
      <c r="H93" s="41">
        <f>+'Cons spec tot e finalizzati'!J96-'Cons spec tot e finalizzati'!K96</f>
        <v>345</v>
      </c>
      <c r="I93" s="41">
        <f>+'Cons spec tot e finalizzati'!L96-'Cons spec tot e finalizzati'!M96</f>
        <v>350</v>
      </c>
      <c r="J93" s="41">
        <f>+'Cons spec tot e finalizzati'!N96-'Cons spec tot e finalizzati'!O96</f>
        <v>1269</v>
      </c>
      <c r="K93" s="41">
        <f>+'Cons spec tot e finalizzati'!P96-'Cons spec tot e finalizzati'!Q96</f>
        <v>1660</v>
      </c>
      <c r="L93" s="41">
        <f>+'Cons spec tot e finalizzati'!R96-'Cons spec tot e finalizzati'!S96</f>
        <v>1941</v>
      </c>
      <c r="M93" s="41">
        <f>+'Cons spec tot e finalizzati'!T96-'Cons spec tot e finalizzati'!U96</f>
        <v>815</v>
      </c>
      <c r="N93" s="171"/>
      <c r="O93" s="292"/>
      <c r="AB93" s="92"/>
      <c r="AC93" s="80"/>
    </row>
    <row r="94" spans="1:29" s="3" customFormat="1" ht="12.75">
      <c r="A94" s="68"/>
      <c r="B94" s="56"/>
      <c r="C94" s="55" t="s">
        <v>118</v>
      </c>
      <c r="D94" s="69"/>
      <c r="F94" s="41">
        <f>+'Cons spec tot e finalizzati'!F97-'Cons spec tot e finalizzati'!G97</f>
        <v>393</v>
      </c>
      <c r="G94" s="41">
        <f>+'Cons spec tot e finalizzati'!H97-'Cons spec tot e finalizzati'!I97</f>
        <v>403</v>
      </c>
      <c r="H94" s="41">
        <f>+'Cons spec tot e finalizzati'!J97-'Cons spec tot e finalizzati'!K97</f>
        <v>402</v>
      </c>
      <c r="I94" s="41">
        <f>+'Cons spec tot e finalizzati'!L97-'Cons spec tot e finalizzati'!M97</f>
        <v>424</v>
      </c>
      <c r="J94" s="41">
        <f>+'Cons spec tot e finalizzati'!N97-'Cons spec tot e finalizzati'!O97</f>
        <v>427</v>
      </c>
      <c r="K94" s="41">
        <f>+'Cons spec tot e finalizzati'!P97-'Cons spec tot e finalizzati'!Q97</f>
        <v>435</v>
      </c>
      <c r="L94" s="41">
        <f>+'Cons spec tot e finalizzati'!R97-'Cons spec tot e finalizzati'!S97</f>
        <v>454</v>
      </c>
      <c r="M94" s="41">
        <f>+'Cons spec tot e finalizzati'!T97-'Cons spec tot e finalizzati'!U97</f>
        <v>414</v>
      </c>
      <c r="N94" s="171"/>
      <c r="O94" s="292"/>
      <c r="AB94" s="92"/>
      <c r="AC94" s="80"/>
    </row>
    <row r="95" spans="1:29" s="100" customFormat="1" ht="12.75">
      <c r="A95" s="95"/>
      <c r="B95" s="96"/>
      <c r="C95" s="165" t="s">
        <v>98</v>
      </c>
      <c r="D95" s="166"/>
      <c r="E95" s="115"/>
      <c r="F95" s="42">
        <f>+'Cons spec tot e finalizzati'!F98-'Cons spec tot e finalizzati'!G98</f>
        <v>101</v>
      </c>
      <c r="G95" s="42">
        <f>+'Cons spec tot e finalizzati'!H98-'Cons spec tot e finalizzati'!I98</f>
        <v>100</v>
      </c>
      <c r="H95" s="42">
        <f>+'Cons spec tot e finalizzati'!J98-'Cons spec tot e finalizzati'!K98</f>
        <v>57</v>
      </c>
      <c r="I95" s="42">
        <f>+'Cons spec tot e finalizzati'!L98-'Cons spec tot e finalizzati'!M98</f>
        <v>0</v>
      </c>
      <c r="J95" s="42">
        <f>+'Cons spec tot e finalizzati'!N98-'Cons spec tot e finalizzati'!O98</f>
        <v>0</v>
      </c>
      <c r="K95" s="42">
        <f>+'Cons spec tot e finalizzati'!P98-'Cons spec tot e finalizzati'!Q98</f>
        <v>0</v>
      </c>
      <c r="L95" s="42">
        <f>+'Cons spec tot e finalizzati'!R98-'Cons spec tot e finalizzati'!S98</f>
        <v>0</v>
      </c>
      <c r="M95" s="42">
        <f>+'Cons spec tot e finalizzati'!T98-'Cons spec tot e finalizzati'!U98</f>
        <v>0</v>
      </c>
      <c r="N95" s="171"/>
      <c r="O95" s="292"/>
      <c r="AB95" s="101"/>
      <c r="AC95" s="102"/>
    </row>
    <row r="96" spans="1:29" s="3" customFormat="1" ht="12.75">
      <c r="A96" s="164" t="s">
        <v>177</v>
      </c>
      <c r="B96" s="159"/>
      <c r="C96" s="159"/>
      <c r="D96" s="160"/>
      <c r="F96" s="163">
        <f aca="true" t="shared" si="13" ref="F96:L96">+F97+F98+F99+F115+F120</f>
        <v>12247</v>
      </c>
      <c r="G96" s="163">
        <f t="shared" si="13"/>
        <v>17524</v>
      </c>
      <c r="H96" s="163">
        <f t="shared" si="13"/>
        <v>13922</v>
      </c>
      <c r="I96" s="163">
        <f t="shared" si="13"/>
        <v>16106</v>
      </c>
      <c r="J96" s="163">
        <f t="shared" si="13"/>
        <v>15307</v>
      </c>
      <c r="K96" s="163">
        <f t="shared" si="13"/>
        <v>16297</v>
      </c>
      <c r="L96" s="163">
        <f t="shared" si="13"/>
        <v>18562</v>
      </c>
      <c r="M96" s="163">
        <f>+M97+M98+M99+M115+M120</f>
        <v>18410</v>
      </c>
      <c r="N96" s="171"/>
      <c r="O96" s="292"/>
      <c r="AB96" s="92"/>
      <c r="AC96" s="80"/>
    </row>
    <row r="97" spans="1:29" s="3" customFormat="1" ht="12.75">
      <c r="A97" s="68"/>
      <c r="B97" s="56"/>
      <c r="C97" s="56" t="s">
        <v>178</v>
      </c>
      <c r="D97" s="69"/>
      <c r="F97" s="41">
        <f>+'Cons spec tot e finalizzati'!F100-'Cons spec tot e finalizzati'!G100</f>
        <v>0</v>
      </c>
      <c r="G97" s="41">
        <f>+'Cons spec tot e finalizzati'!H100-'Cons spec tot e finalizzati'!I100</f>
        <v>0</v>
      </c>
      <c r="H97" s="41">
        <f>+'Cons spec tot e finalizzati'!J100-'Cons spec tot e finalizzati'!K100</f>
        <v>0</v>
      </c>
      <c r="I97" s="41">
        <f>+'Cons spec tot e finalizzati'!L100-'Cons spec tot e finalizzati'!M100</f>
        <v>0</v>
      </c>
      <c r="J97" s="41">
        <f>+'Cons spec tot e finalizzati'!N100-'Cons spec tot e finalizzati'!O100</f>
        <v>0</v>
      </c>
      <c r="K97" s="41">
        <f>+'Cons spec tot e finalizzati'!P100-'Cons spec tot e finalizzati'!Q100</f>
        <v>0</v>
      </c>
      <c r="L97" s="41">
        <f>+'Cons spec tot e finalizzati'!R100-'Cons spec tot e finalizzati'!S100</f>
        <v>0</v>
      </c>
      <c r="M97" s="41">
        <f>+'Cons spec tot e finalizzati'!T100-'Cons spec tot e finalizzati'!U100</f>
        <v>0</v>
      </c>
      <c r="N97" s="171"/>
      <c r="O97" s="292"/>
      <c r="AB97" s="92"/>
      <c r="AC97" s="80"/>
    </row>
    <row r="98" spans="1:29" s="3" customFormat="1" ht="12.75">
      <c r="A98" s="68"/>
      <c r="B98" s="78" t="s">
        <v>198</v>
      </c>
      <c r="C98" s="22"/>
      <c r="D98" s="23"/>
      <c r="F98" s="148">
        <f>+'Cons spec tot e finalizzati'!F101-'Cons spec tot e finalizzati'!G101</f>
        <v>0</v>
      </c>
      <c r="G98" s="148">
        <f>+'Cons spec tot e finalizzati'!H101-'Cons spec tot e finalizzati'!I101</f>
        <v>0</v>
      </c>
      <c r="H98" s="148">
        <f>+'Cons spec tot e finalizzati'!J101-'Cons spec tot e finalizzati'!K101</f>
        <v>0</v>
      </c>
      <c r="I98" s="148">
        <f>+'Cons spec tot e finalizzati'!L101-'Cons spec tot e finalizzati'!M101</f>
        <v>21</v>
      </c>
      <c r="J98" s="148">
        <f>+'Cons spec tot e finalizzati'!N101-'Cons spec tot e finalizzati'!O101</f>
        <v>231</v>
      </c>
      <c r="K98" s="148">
        <f>+'Cons spec tot e finalizzati'!P101-'Cons spec tot e finalizzati'!Q101</f>
        <v>71</v>
      </c>
      <c r="L98" s="148">
        <f>+'Cons spec tot e finalizzati'!R101-'Cons spec tot e finalizzati'!S101</f>
        <v>269</v>
      </c>
      <c r="M98" s="148">
        <f>+'Cons spec tot e finalizzati'!T101-'Cons spec tot e finalizzati'!U101</f>
        <v>225</v>
      </c>
      <c r="N98" s="171"/>
      <c r="O98" s="292"/>
      <c r="AB98" s="92"/>
      <c r="AC98" s="80"/>
    </row>
    <row r="99" spans="1:29" s="3" customFormat="1" ht="12.75">
      <c r="A99" s="68"/>
      <c r="B99" s="78" t="s">
        <v>199</v>
      </c>
      <c r="C99" s="22"/>
      <c r="D99" s="23"/>
      <c r="F99" s="40">
        <f aca="true" t="shared" si="14" ref="F99:K99">SUM(F100:F114)</f>
        <v>7589</v>
      </c>
      <c r="G99" s="40">
        <f t="shared" si="14"/>
        <v>12740</v>
      </c>
      <c r="H99" s="40">
        <f t="shared" si="14"/>
        <v>8824</v>
      </c>
      <c r="I99" s="40">
        <f t="shared" si="14"/>
        <v>10763</v>
      </c>
      <c r="J99" s="40">
        <f t="shared" si="14"/>
        <v>9711</v>
      </c>
      <c r="K99" s="40">
        <f t="shared" si="14"/>
        <v>10248</v>
      </c>
      <c r="L99" s="40">
        <f>SUM(L100:L114)</f>
        <v>12422</v>
      </c>
      <c r="M99" s="40">
        <f>SUM(M100:M114)</f>
        <v>12404</v>
      </c>
      <c r="N99" s="171"/>
      <c r="O99" s="292"/>
      <c r="AB99" s="92"/>
      <c r="AC99" s="80"/>
    </row>
    <row r="100" spans="1:29" s="100" customFormat="1" ht="12.75">
      <c r="A100" s="68"/>
      <c r="B100" s="78"/>
      <c r="C100" s="56" t="s">
        <v>9</v>
      </c>
      <c r="D100" s="23"/>
      <c r="E100" s="3"/>
      <c r="F100" s="41">
        <f>+'Cons spec tot e finalizzati'!F103-'Cons spec tot e finalizzati'!G103</f>
        <v>166</v>
      </c>
      <c r="G100" s="41">
        <f>+'Cons spec tot e finalizzati'!H103-'Cons spec tot e finalizzati'!I103</f>
        <v>190</v>
      </c>
      <c r="H100" s="41">
        <f>+'Cons spec tot e finalizzati'!J103-'Cons spec tot e finalizzati'!K103</f>
        <v>169</v>
      </c>
      <c r="I100" s="41">
        <f>+'Cons spec tot e finalizzati'!L103-'Cons spec tot e finalizzati'!M103</f>
        <v>265</v>
      </c>
      <c r="J100" s="41">
        <f>+'Cons spec tot e finalizzati'!N103-'Cons spec tot e finalizzati'!O103</f>
        <v>289</v>
      </c>
      <c r="K100" s="41">
        <f>+'Cons spec tot e finalizzati'!P103-'Cons spec tot e finalizzati'!Q103</f>
        <v>113</v>
      </c>
      <c r="L100" s="41">
        <f>+'Cons spec tot e finalizzati'!R103-'Cons spec tot e finalizzati'!S103</f>
        <v>191</v>
      </c>
      <c r="M100" s="41">
        <f>+'Cons spec tot e finalizzati'!T103-'Cons spec tot e finalizzati'!U103</f>
        <v>126</v>
      </c>
      <c r="N100" s="171"/>
      <c r="O100" s="292"/>
      <c r="AB100" s="101"/>
      <c r="AC100" s="102"/>
    </row>
    <row r="101" spans="1:29" s="3" customFormat="1" ht="12.75">
      <c r="A101" s="68"/>
      <c r="B101" s="78"/>
      <c r="C101" s="56" t="s">
        <v>134</v>
      </c>
      <c r="D101" s="23"/>
      <c r="F101" s="41">
        <f>+'Cons spec tot e finalizzati'!F104-'Cons spec tot e finalizzati'!G104</f>
        <v>1042</v>
      </c>
      <c r="G101" s="41">
        <f>+'Cons spec tot e finalizzati'!H104-'Cons spec tot e finalizzati'!I104</f>
        <v>4509</v>
      </c>
      <c r="H101" s="41">
        <f>+'Cons spec tot e finalizzati'!J104-'Cons spec tot e finalizzati'!K104</f>
        <v>805</v>
      </c>
      <c r="I101" s="41">
        <f>+'Cons spec tot e finalizzati'!L104-'Cons spec tot e finalizzati'!M104</f>
        <v>348</v>
      </c>
      <c r="J101" s="41">
        <f>+'Cons spec tot e finalizzati'!N104-'Cons spec tot e finalizzati'!O104</f>
        <v>1310</v>
      </c>
      <c r="K101" s="41">
        <f>+'Cons spec tot e finalizzati'!P104-'Cons spec tot e finalizzati'!Q104</f>
        <v>1856</v>
      </c>
      <c r="L101" s="41">
        <f>+'Cons spec tot e finalizzati'!R104-'Cons spec tot e finalizzati'!S104</f>
        <v>2776</v>
      </c>
      <c r="M101" s="41">
        <f>+'Cons spec tot e finalizzati'!T104-'Cons spec tot e finalizzati'!U104</f>
        <v>2574</v>
      </c>
      <c r="N101" s="171"/>
      <c r="O101" s="292"/>
      <c r="AB101" s="92"/>
      <c r="AC101" s="80"/>
    </row>
    <row r="102" spans="1:29" s="3" customFormat="1" ht="12.75">
      <c r="A102" s="68"/>
      <c r="B102" s="78"/>
      <c r="C102" s="56" t="s">
        <v>113</v>
      </c>
      <c r="D102" s="23"/>
      <c r="F102" s="41">
        <f>+'Cons spec tot e finalizzati'!F105-'Cons spec tot e finalizzati'!G105</f>
        <v>0</v>
      </c>
      <c r="G102" s="41">
        <f>+'Cons spec tot e finalizzati'!H105-'Cons spec tot e finalizzati'!I105</f>
        <v>1019</v>
      </c>
      <c r="H102" s="41">
        <f>+'Cons spec tot e finalizzati'!J105-'Cons spec tot e finalizzati'!K105</f>
        <v>451</v>
      </c>
      <c r="I102" s="41">
        <f>+'Cons spec tot e finalizzati'!L105-'Cons spec tot e finalizzati'!M105</f>
        <v>2143</v>
      </c>
      <c r="J102" s="41">
        <f>+'Cons spec tot e finalizzati'!N105-'Cons spec tot e finalizzati'!O105</f>
        <v>0</v>
      </c>
      <c r="K102" s="41">
        <f>+'Cons spec tot e finalizzati'!P105-'Cons spec tot e finalizzati'!Q105</f>
        <v>0</v>
      </c>
      <c r="L102" s="41">
        <f>+'Cons spec tot e finalizzati'!R105-'Cons spec tot e finalizzati'!S105</f>
        <v>0</v>
      </c>
      <c r="M102" s="41">
        <f>+'Cons spec tot e finalizzati'!T105-'Cons spec tot e finalizzati'!U105</f>
        <v>0</v>
      </c>
      <c r="N102" s="171"/>
      <c r="O102" s="292"/>
      <c r="AB102" s="98"/>
      <c r="AC102" s="84"/>
    </row>
    <row r="103" spans="1:29" s="3" customFormat="1" ht="12.75">
      <c r="A103" s="68"/>
      <c r="B103" s="78"/>
      <c r="C103" s="56" t="s">
        <v>62</v>
      </c>
      <c r="D103" s="23"/>
      <c r="F103" s="41">
        <f>+'Cons spec tot e finalizzati'!F106-'Cons spec tot e finalizzati'!G106</f>
        <v>2549</v>
      </c>
      <c r="G103" s="41">
        <f>+'Cons spec tot e finalizzati'!H106-'Cons spec tot e finalizzati'!I106</f>
        <v>2861</v>
      </c>
      <c r="H103" s="41">
        <f>+'Cons spec tot e finalizzati'!J106-'Cons spec tot e finalizzati'!K106</f>
        <v>3001</v>
      </c>
      <c r="I103" s="41">
        <f>+'Cons spec tot e finalizzati'!L106-'Cons spec tot e finalizzati'!M106</f>
        <v>3321</v>
      </c>
      <c r="J103" s="41">
        <f>+'Cons spec tot e finalizzati'!N106-'Cons spec tot e finalizzati'!O106</f>
        <v>2893</v>
      </c>
      <c r="K103" s="41">
        <f>+'Cons spec tot e finalizzati'!P106-'Cons spec tot e finalizzati'!Q106</f>
        <v>2680</v>
      </c>
      <c r="L103" s="41">
        <f>+'Cons spec tot e finalizzati'!R106-'Cons spec tot e finalizzati'!S106</f>
        <v>2871</v>
      </c>
      <c r="M103" s="41">
        <f>+'Cons spec tot e finalizzati'!T106-'Cons spec tot e finalizzati'!U106</f>
        <v>2871</v>
      </c>
      <c r="N103" s="171"/>
      <c r="O103" s="292"/>
      <c r="AB103" s="92"/>
      <c r="AC103" s="80"/>
    </row>
    <row r="104" spans="1:29" s="3" customFormat="1" ht="12.75">
      <c r="A104" s="68"/>
      <c r="B104" s="78"/>
      <c r="C104" s="56" t="s">
        <v>24</v>
      </c>
      <c r="D104" s="23"/>
      <c r="F104" s="41">
        <f>+'Cons spec tot e finalizzati'!F107-'Cons spec tot e finalizzati'!G107</f>
        <v>476</v>
      </c>
      <c r="G104" s="41">
        <f>+'Cons spec tot e finalizzati'!H107-'Cons spec tot e finalizzati'!I107</f>
        <v>648</v>
      </c>
      <c r="H104" s="41">
        <f>+'Cons spec tot e finalizzati'!J107-'Cons spec tot e finalizzati'!K107</f>
        <v>725</v>
      </c>
      <c r="I104" s="41">
        <f>+'Cons spec tot e finalizzati'!L107-'Cons spec tot e finalizzati'!M107</f>
        <v>860</v>
      </c>
      <c r="J104" s="41">
        <f>+'Cons spec tot e finalizzati'!N107-'Cons spec tot e finalizzati'!O107</f>
        <v>755</v>
      </c>
      <c r="K104" s="41">
        <f>+'Cons spec tot e finalizzati'!P107-'Cons spec tot e finalizzati'!Q107</f>
        <v>766</v>
      </c>
      <c r="L104" s="41">
        <f>+'Cons spec tot e finalizzati'!R107-'Cons spec tot e finalizzati'!S107</f>
        <v>606</v>
      </c>
      <c r="M104" s="41">
        <f>+'Cons spec tot e finalizzati'!T107-'Cons spec tot e finalizzati'!U107</f>
        <v>642</v>
      </c>
      <c r="N104" s="171"/>
      <c r="O104" s="292"/>
      <c r="AB104" s="103"/>
      <c r="AC104" s="104"/>
    </row>
    <row r="105" spans="1:29" s="3" customFormat="1" ht="12.75">
      <c r="A105" s="68"/>
      <c r="B105" s="78"/>
      <c r="C105" s="56" t="s">
        <v>179</v>
      </c>
      <c r="D105" s="23"/>
      <c r="F105" s="41">
        <f>+'Cons spec tot e finalizzati'!F108-'Cons spec tot e finalizzati'!G108</f>
        <v>0</v>
      </c>
      <c r="G105" s="41">
        <f>+'Cons spec tot e finalizzati'!H108-'Cons spec tot e finalizzati'!I108</f>
        <v>0</v>
      </c>
      <c r="H105" s="41">
        <f>+'Cons spec tot e finalizzati'!J108-'Cons spec tot e finalizzati'!K108</f>
        <v>0</v>
      </c>
      <c r="I105" s="41">
        <f>+'Cons spec tot e finalizzati'!L108-'Cons spec tot e finalizzati'!M108</f>
        <v>0</v>
      </c>
      <c r="J105" s="41">
        <f>+'Cons spec tot e finalizzati'!N108-'Cons spec tot e finalizzati'!O108</f>
        <v>0</v>
      </c>
      <c r="K105" s="41">
        <f>+'Cons spec tot e finalizzati'!P108-'Cons spec tot e finalizzati'!Q108</f>
        <v>76</v>
      </c>
      <c r="L105" s="41">
        <f>+'Cons spec tot e finalizzati'!R108-'Cons spec tot e finalizzati'!S108</f>
        <v>129</v>
      </c>
      <c r="M105" s="41">
        <f>+'Cons spec tot e finalizzati'!T108-'Cons spec tot e finalizzati'!U108</f>
        <v>420</v>
      </c>
      <c r="N105" s="171"/>
      <c r="O105" s="292"/>
      <c r="AB105" s="103"/>
      <c r="AC105" s="104"/>
    </row>
    <row r="106" spans="1:29" s="3" customFormat="1" ht="12.75">
      <c r="A106" s="68"/>
      <c r="B106" s="78"/>
      <c r="C106" s="56" t="s">
        <v>114</v>
      </c>
      <c r="D106" s="23"/>
      <c r="F106" s="41">
        <f>+'Cons spec tot e finalizzati'!F109-'Cons spec tot e finalizzati'!G109</f>
        <v>363</v>
      </c>
      <c r="G106" s="41">
        <f>+'Cons spec tot e finalizzati'!H109-'Cons spec tot e finalizzati'!I109</f>
        <v>349</v>
      </c>
      <c r="H106" s="41">
        <f>+'Cons spec tot e finalizzati'!J109-'Cons spec tot e finalizzati'!K109</f>
        <v>588</v>
      </c>
      <c r="I106" s="41">
        <f>+'Cons spec tot e finalizzati'!L109-'Cons spec tot e finalizzati'!M109</f>
        <v>660</v>
      </c>
      <c r="J106" s="41">
        <f>+'Cons spec tot e finalizzati'!N109-'Cons spec tot e finalizzati'!O109</f>
        <v>1082</v>
      </c>
      <c r="K106" s="41">
        <f>+'Cons spec tot e finalizzati'!P109-'Cons spec tot e finalizzati'!Q109</f>
        <v>1509</v>
      </c>
      <c r="L106" s="41">
        <f>+'Cons spec tot e finalizzati'!R109-'Cons spec tot e finalizzati'!S109</f>
        <v>2431</v>
      </c>
      <c r="M106" s="41">
        <f>+'Cons spec tot e finalizzati'!T109-'Cons spec tot e finalizzati'!U109</f>
        <v>2063</v>
      </c>
      <c r="N106" s="171"/>
      <c r="O106" s="292"/>
      <c r="AB106" s="79"/>
      <c r="AC106" s="80"/>
    </row>
    <row r="107" spans="1:29" s="3" customFormat="1" ht="12.75">
      <c r="A107" s="68"/>
      <c r="B107" s="78"/>
      <c r="C107" s="56" t="s">
        <v>25</v>
      </c>
      <c r="D107" s="23"/>
      <c r="F107" s="41">
        <f>+'Cons spec tot e finalizzati'!F110-'Cons spec tot e finalizzati'!G110</f>
        <v>434</v>
      </c>
      <c r="G107" s="41">
        <f>+'Cons spec tot e finalizzati'!H110-'Cons spec tot e finalizzati'!I110</f>
        <v>500</v>
      </c>
      <c r="H107" s="41">
        <f>+'Cons spec tot e finalizzati'!J110-'Cons spec tot e finalizzati'!K110</f>
        <v>410</v>
      </c>
      <c r="I107" s="41">
        <f>+'Cons spec tot e finalizzati'!L110-'Cons spec tot e finalizzati'!M110</f>
        <v>386</v>
      </c>
      <c r="J107" s="41">
        <f>+'Cons spec tot e finalizzati'!N110-'Cons spec tot e finalizzati'!O110</f>
        <v>457</v>
      </c>
      <c r="K107" s="41">
        <f>+'Cons spec tot e finalizzati'!P110-'Cons spec tot e finalizzati'!Q110</f>
        <v>435</v>
      </c>
      <c r="L107" s="41">
        <f>+'Cons spec tot e finalizzati'!R110-'Cons spec tot e finalizzati'!S110</f>
        <v>432</v>
      </c>
      <c r="M107" s="41">
        <f>+'Cons spec tot e finalizzati'!T110-'Cons spec tot e finalizzati'!U110</f>
        <v>298</v>
      </c>
      <c r="N107" s="171"/>
      <c r="O107" s="292"/>
      <c r="AB107" s="79"/>
      <c r="AC107" s="80"/>
    </row>
    <row r="108" spans="1:29" s="3" customFormat="1" ht="12.75">
      <c r="A108" s="68"/>
      <c r="B108" s="78"/>
      <c r="C108" s="56" t="s">
        <v>26</v>
      </c>
      <c r="D108" s="23"/>
      <c r="F108" s="41">
        <f>+'Cons spec tot e finalizzati'!F111-'Cons spec tot e finalizzati'!G111</f>
        <v>456</v>
      </c>
      <c r="G108" s="41">
        <f>+'Cons spec tot e finalizzati'!H111-'Cons spec tot e finalizzati'!I111</f>
        <v>605</v>
      </c>
      <c r="H108" s="41">
        <f>+'Cons spec tot e finalizzati'!J111-'Cons spec tot e finalizzati'!K111</f>
        <v>617</v>
      </c>
      <c r="I108" s="41">
        <f>+'Cons spec tot e finalizzati'!L111-'Cons spec tot e finalizzati'!M111</f>
        <v>617</v>
      </c>
      <c r="J108" s="41">
        <f>+'Cons spec tot e finalizzati'!N111-'Cons spec tot e finalizzati'!O111</f>
        <v>746</v>
      </c>
      <c r="K108" s="41">
        <f>+'Cons spec tot e finalizzati'!P111-'Cons spec tot e finalizzati'!Q111</f>
        <v>650</v>
      </c>
      <c r="L108" s="41">
        <f>+'Cons spec tot e finalizzati'!R111-'Cons spec tot e finalizzati'!S111</f>
        <v>620</v>
      </c>
      <c r="M108" s="41">
        <f>+'Cons spec tot e finalizzati'!T111-'Cons spec tot e finalizzati'!U111</f>
        <v>508</v>
      </c>
      <c r="N108" s="171"/>
      <c r="O108" s="292"/>
      <c r="AB108" s="79"/>
      <c r="AC108" s="80"/>
    </row>
    <row r="109" spans="1:29" s="3" customFormat="1" ht="12.75">
      <c r="A109" s="68"/>
      <c r="B109" s="78"/>
      <c r="C109" s="56" t="s">
        <v>27</v>
      </c>
      <c r="D109" s="23"/>
      <c r="F109" s="41">
        <f>+'Cons spec tot e finalizzati'!F112-'Cons spec tot e finalizzati'!G112</f>
        <v>465</v>
      </c>
      <c r="G109" s="41">
        <f>+'Cons spec tot e finalizzati'!H112-'Cons spec tot e finalizzati'!I112</f>
        <v>491</v>
      </c>
      <c r="H109" s="41">
        <f>+'Cons spec tot e finalizzati'!J112-'Cons spec tot e finalizzati'!K112</f>
        <v>491</v>
      </c>
      <c r="I109" s="41">
        <f>+'Cons spec tot e finalizzati'!L112-'Cons spec tot e finalizzati'!M112</f>
        <v>496</v>
      </c>
      <c r="J109" s="41">
        <f>+'Cons spec tot e finalizzati'!N112-'Cons spec tot e finalizzati'!O112</f>
        <v>491</v>
      </c>
      <c r="K109" s="41">
        <f>+'Cons spec tot e finalizzati'!P112-'Cons spec tot e finalizzati'!Q112</f>
        <v>497</v>
      </c>
      <c r="L109" s="41">
        <f>+'Cons spec tot e finalizzati'!R112-'Cons spec tot e finalizzati'!S112</f>
        <v>597</v>
      </c>
      <c r="M109" s="41">
        <f>+'Cons spec tot e finalizzati'!T112-'Cons spec tot e finalizzati'!U112</f>
        <v>811</v>
      </c>
      <c r="N109" s="171"/>
      <c r="O109" s="292"/>
      <c r="AB109" s="83"/>
      <c r="AC109" s="84"/>
    </row>
    <row r="110" spans="1:29" s="3" customFormat="1" ht="12.75">
      <c r="A110" s="68"/>
      <c r="B110" s="78"/>
      <c r="C110" s="56" t="s">
        <v>28</v>
      </c>
      <c r="D110" s="23"/>
      <c r="F110" s="41">
        <f>+'Cons spec tot e finalizzati'!F113-'Cons spec tot e finalizzati'!G113</f>
        <v>1211</v>
      </c>
      <c r="G110" s="41">
        <f>+'Cons spec tot e finalizzati'!H113-'Cons spec tot e finalizzati'!I113</f>
        <v>1149</v>
      </c>
      <c r="H110" s="41">
        <f>+'Cons spec tot e finalizzati'!J113-'Cons spec tot e finalizzati'!K113</f>
        <v>1136</v>
      </c>
      <c r="I110" s="41">
        <f>+'Cons spec tot e finalizzati'!L113-'Cons spec tot e finalizzati'!M113</f>
        <v>1134</v>
      </c>
      <c r="J110" s="41">
        <f>+'Cons spec tot e finalizzati'!N113-'Cons spec tot e finalizzati'!O113</f>
        <v>1134</v>
      </c>
      <c r="K110" s="41">
        <f>+'Cons spec tot e finalizzati'!P113-'Cons spec tot e finalizzati'!Q113</f>
        <v>1053</v>
      </c>
      <c r="L110" s="41">
        <f>+'Cons spec tot e finalizzati'!R113-'Cons spec tot e finalizzati'!S113</f>
        <v>1144</v>
      </c>
      <c r="M110" s="41">
        <f>+'Cons spec tot e finalizzati'!T113-'Cons spec tot e finalizzati'!U113</f>
        <v>1341</v>
      </c>
      <c r="N110" s="171"/>
      <c r="O110" s="292"/>
      <c r="AB110" s="76"/>
      <c r="AC110" s="77"/>
    </row>
    <row r="111" spans="1:29" s="3" customFormat="1" ht="12.75">
      <c r="A111" s="68"/>
      <c r="B111" s="78"/>
      <c r="C111" s="56" t="s">
        <v>29</v>
      </c>
      <c r="D111" s="23"/>
      <c r="F111" s="41">
        <f>+'Cons spec tot e finalizzati'!F114-'Cons spec tot e finalizzati'!G114</f>
        <v>76</v>
      </c>
      <c r="G111" s="41">
        <f>+'Cons spec tot e finalizzati'!H114-'Cons spec tot e finalizzati'!I114</f>
        <v>84</v>
      </c>
      <c r="H111" s="41">
        <f>+'Cons spec tot e finalizzati'!J114-'Cons spec tot e finalizzati'!K114</f>
        <v>97</v>
      </c>
      <c r="I111" s="41">
        <f>+'Cons spec tot e finalizzati'!L114-'Cons spec tot e finalizzati'!M114</f>
        <v>112</v>
      </c>
      <c r="J111" s="41">
        <f>+'Cons spec tot e finalizzati'!N114-'Cons spec tot e finalizzati'!O114</f>
        <v>134</v>
      </c>
      <c r="K111" s="41">
        <f>+'Cons spec tot e finalizzati'!P114-'Cons spec tot e finalizzati'!Q114</f>
        <v>150</v>
      </c>
      <c r="L111" s="41">
        <f>+'Cons spec tot e finalizzati'!R114-'Cons spec tot e finalizzati'!S114</f>
        <v>151</v>
      </c>
      <c r="M111" s="41">
        <f>+'Cons spec tot e finalizzati'!T114-'Cons spec tot e finalizzati'!U114</f>
        <v>141</v>
      </c>
      <c r="N111" s="171"/>
      <c r="O111" s="292"/>
      <c r="AB111" s="79"/>
      <c r="AC111" s="80"/>
    </row>
    <row r="112" spans="1:29" s="3" customFormat="1" ht="12.75">
      <c r="A112" s="68"/>
      <c r="B112" s="78"/>
      <c r="C112" s="56" t="s">
        <v>30</v>
      </c>
      <c r="D112" s="23"/>
      <c r="F112" s="41">
        <f>+'Cons spec tot e finalizzati'!F115-'Cons spec tot e finalizzati'!G115</f>
        <v>134</v>
      </c>
      <c r="G112" s="41">
        <f>+'Cons spec tot e finalizzati'!H115-'Cons spec tot e finalizzati'!I115</f>
        <v>160</v>
      </c>
      <c r="H112" s="41">
        <f>+'Cons spec tot e finalizzati'!J115-'Cons spec tot e finalizzati'!K115</f>
        <v>142</v>
      </c>
      <c r="I112" s="41">
        <f>+'Cons spec tot e finalizzati'!L115-'Cons spec tot e finalizzati'!M115</f>
        <v>212</v>
      </c>
      <c r="J112" s="41">
        <f>+'Cons spec tot e finalizzati'!N115-'Cons spec tot e finalizzati'!O115</f>
        <v>167</v>
      </c>
      <c r="K112" s="41">
        <f>+'Cons spec tot e finalizzati'!P115-'Cons spec tot e finalizzati'!Q115</f>
        <v>177</v>
      </c>
      <c r="L112" s="41">
        <f>+'Cons spec tot e finalizzati'!R115-'Cons spec tot e finalizzati'!S115</f>
        <v>191</v>
      </c>
      <c r="M112" s="41">
        <f>+'Cons spec tot e finalizzati'!T115-'Cons spec tot e finalizzati'!U115</f>
        <v>303</v>
      </c>
      <c r="N112" s="171"/>
      <c r="O112" s="292"/>
      <c r="AB112" s="79"/>
      <c r="AC112" s="80"/>
    </row>
    <row r="113" spans="1:29" s="3" customFormat="1" ht="12.75">
      <c r="A113" s="68"/>
      <c r="B113" s="78"/>
      <c r="C113" s="56" t="s">
        <v>115</v>
      </c>
      <c r="D113" s="23"/>
      <c r="F113" s="41">
        <f>+'Cons spec tot e finalizzati'!F116-'Cons spec tot e finalizzati'!G116</f>
        <v>0</v>
      </c>
      <c r="G113" s="41">
        <f>+'Cons spec tot e finalizzati'!H116-'Cons spec tot e finalizzati'!I116</f>
        <v>0</v>
      </c>
      <c r="H113" s="41">
        <f>+'Cons spec tot e finalizzati'!J116-'Cons spec tot e finalizzati'!K116</f>
        <v>0</v>
      </c>
      <c r="I113" s="41">
        <f>+'Cons spec tot e finalizzati'!L116-'Cons spec tot e finalizzati'!M116</f>
        <v>0</v>
      </c>
      <c r="J113" s="41">
        <f>+'Cons spec tot e finalizzati'!N116-'Cons spec tot e finalizzati'!O116</f>
        <v>79</v>
      </c>
      <c r="K113" s="41">
        <f>+'Cons spec tot e finalizzati'!P116-'Cons spec tot e finalizzati'!Q116</f>
        <v>164</v>
      </c>
      <c r="L113" s="41">
        <f>+'Cons spec tot e finalizzati'!R116-'Cons spec tot e finalizzati'!S116</f>
        <v>184</v>
      </c>
      <c r="M113" s="41">
        <f>+'Cons spec tot e finalizzati'!T116-'Cons spec tot e finalizzati'!U116</f>
        <v>252</v>
      </c>
      <c r="N113" s="171"/>
      <c r="O113" s="292"/>
      <c r="AB113" s="79"/>
      <c r="AC113" s="80"/>
    </row>
    <row r="114" spans="1:29" s="3" customFormat="1" ht="12.75">
      <c r="A114" s="68"/>
      <c r="B114" s="78"/>
      <c r="C114" s="56" t="s">
        <v>116</v>
      </c>
      <c r="D114" s="23"/>
      <c r="F114" s="41">
        <f>+'Cons spec tot e finalizzati'!F117-'Cons spec tot e finalizzati'!G117</f>
        <v>217</v>
      </c>
      <c r="G114" s="41">
        <f>+'Cons spec tot e finalizzati'!H117-'Cons spec tot e finalizzati'!I117</f>
        <v>175</v>
      </c>
      <c r="H114" s="41">
        <f>+'Cons spec tot e finalizzati'!J117-'Cons spec tot e finalizzati'!K117</f>
        <v>192</v>
      </c>
      <c r="I114" s="41">
        <f>+'Cons spec tot e finalizzati'!L117-'Cons spec tot e finalizzati'!M117</f>
        <v>209</v>
      </c>
      <c r="J114" s="41">
        <f>+'Cons spec tot e finalizzati'!N117-'Cons spec tot e finalizzati'!O117</f>
        <v>174</v>
      </c>
      <c r="K114" s="41">
        <f>+'Cons spec tot e finalizzati'!P117-'Cons spec tot e finalizzati'!Q117</f>
        <v>122</v>
      </c>
      <c r="L114" s="41">
        <f>+'Cons spec tot e finalizzati'!R117-'Cons spec tot e finalizzati'!S117</f>
        <v>99</v>
      </c>
      <c r="M114" s="41">
        <f>+'Cons spec tot e finalizzati'!T117-'Cons spec tot e finalizzati'!U117</f>
        <v>54</v>
      </c>
      <c r="N114" s="171"/>
      <c r="O114" s="292"/>
      <c r="AB114" s="79"/>
      <c r="AC114" s="80"/>
    </row>
    <row r="115" spans="1:29" s="3" customFormat="1" ht="12.75">
      <c r="A115" s="68"/>
      <c r="B115" s="158" t="s">
        <v>180</v>
      </c>
      <c r="C115" s="22"/>
      <c r="D115" s="23"/>
      <c r="F115" s="40">
        <f aca="true" t="shared" si="15" ref="F115:L115">SUM(F116:F119)</f>
        <v>543</v>
      </c>
      <c r="G115" s="40">
        <f t="shared" si="15"/>
        <v>638</v>
      </c>
      <c r="H115" s="40">
        <f t="shared" si="15"/>
        <v>774</v>
      </c>
      <c r="I115" s="40">
        <f t="shared" si="15"/>
        <v>1239</v>
      </c>
      <c r="J115" s="40">
        <f t="shared" si="15"/>
        <v>1251</v>
      </c>
      <c r="K115" s="40">
        <f t="shared" si="15"/>
        <v>1632</v>
      </c>
      <c r="L115" s="40">
        <f t="shared" si="15"/>
        <v>1973</v>
      </c>
      <c r="M115" s="40">
        <f>SUM(M116:M119)</f>
        <v>1948</v>
      </c>
      <c r="N115" s="171"/>
      <c r="O115" s="292"/>
      <c r="AB115" s="79"/>
      <c r="AC115" s="80"/>
    </row>
    <row r="116" spans="1:29" s="3" customFormat="1" ht="12.75">
      <c r="A116" s="68"/>
      <c r="B116" s="78"/>
      <c r="C116" s="18" t="s">
        <v>9</v>
      </c>
      <c r="D116" s="23"/>
      <c r="F116" s="41">
        <f>+'Cons spec tot e finalizzati'!F119-'Cons spec tot e finalizzati'!G119</f>
        <v>0</v>
      </c>
      <c r="G116" s="41">
        <f>+'Cons spec tot e finalizzati'!H119-'Cons spec tot e finalizzati'!I119</f>
        <v>206</v>
      </c>
      <c r="H116" s="41">
        <f>+'Cons spec tot e finalizzati'!J119-'Cons spec tot e finalizzati'!K119</f>
        <v>412</v>
      </c>
      <c r="I116" s="41">
        <f>+'Cons spec tot e finalizzati'!L119-'Cons spec tot e finalizzati'!M119</f>
        <v>502</v>
      </c>
      <c r="J116" s="41">
        <f>+'Cons spec tot e finalizzati'!N119-'Cons spec tot e finalizzati'!O119</f>
        <v>451</v>
      </c>
      <c r="K116" s="41">
        <f>+'Cons spec tot e finalizzati'!P119-'Cons spec tot e finalizzati'!Q119</f>
        <v>391</v>
      </c>
      <c r="L116" s="41">
        <f>+'Cons spec tot e finalizzati'!R119-'Cons spec tot e finalizzati'!S119</f>
        <v>171</v>
      </c>
      <c r="M116" s="41">
        <f>+'Cons spec tot e finalizzati'!T119-'Cons spec tot e finalizzati'!U119</f>
        <v>192</v>
      </c>
      <c r="N116" s="171"/>
      <c r="O116" s="292"/>
      <c r="AB116" s="76"/>
      <c r="AC116" s="77"/>
    </row>
    <row r="117" spans="1:29" s="3" customFormat="1" ht="12.75">
      <c r="A117" s="68"/>
      <c r="B117" s="78"/>
      <c r="C117" s="56" t="s">
        <v>125</v>
      </c>
      <c r="D117" s="23"/>
      <c r="F117" s="41">
        <f>+'Cons spec tot e finalizzati'!F120-'Cons spec tot e finalizzati'!G120</f>
        <v>314</v>
      </c>
      <c r="G117" s="41">
        <f>+'Cons spec tot e finalizzati'!H120-'Cons spec tot e finalizzati'!I120</f>
        <v>414</v>
      </c>
      <c r="H117" s="41">
        <f>+'Cons spec tot e finalizzati'!J120-'Cons spec tot e finalizzati'!K120</f>
        <v>362</v>
      </c>
      <c r="I117" s="41">
        <f>+'Cons spec tot e finalizzati'!L120-'Cons spec tot e finalizzati'!M120</f>
        <v>737</v>
      </c>
      <c r="J117" s="41">
        <f>+'Cons spec tot e finalizzati'!N120-'Cons spec tot e finalizzati'!O120</f>
        <v>197</v>
      </c>
      <c r="K117" s="41">
        <f>+'Cons spec tot e finalizzati'!P120-'Cons spec tot e finalizzati'!Q120</f>
        <v>344</v>
      </c>
      <c r="L117" s="41">
        <f>+'Cons spec tot e finalizzati'!R120-'Cons spec tot e finalizzati'!S120</f>
        <v>271</v>
      </c>
      <c r="M117" s="41">
        <f>+'Cons spec tot e finalizzati'!T120-'Cons spec tot e finalizzati'!U120</f>
        <v>354</v>
      </c>
      <c r="N117" s="171"/>
      <c r="O117" s="292"/>
      <c r="AB117" s="83"/>
      <c r="AC117" s="84"/>
    </row>
    <row r="118" spans="1:29" s="3" customFormat="1" ht="12.75">
      <c r="A118" s="68"/>
      <c r="B118" s="78"/>
      <c r="C118" s="56" t="s">
        <v>126</v>
      </c>
      <c r="D118" s="23"/>
      <c r="F118" s="41">
        <f>+'Cons spec tot e finalizzati'!F121-'Cons spec tot e finalizzati'!G121</f>
        <v>229</v>
      </c>
      <c r="G118" s="41">
        <f>+'Cons spec tot e finalizzati'!H121-'Cons spec tot e finalizzati'!I121</f>
        <v>18</v>
      </c>
      <c r="H118" s="41">
        <f>+'Cons spec tot e finalizzati'!J121-'Cons spec tot e finalizzati'!K121</f>
        <v>0</v>
      </c>
      <c r="I118" s="41">
        <f>+'Cons spec tot e finalizzati'!L121-'Cons spec tot e finalizzati'!M121</f>
        <v>0</v>
      </c>
      <c r="J118" s="41">
        <f>+'Cons spec tot e finalizzati'!N121-'Cons spec tot e finalizzati'!O121</f>
        <v>0</v>
      </c>
      <c r="K118" s="41">
        <f>+'Cons spec tot e finalizzati'!P121-'Cons spec tot e finalizzati'!Q121</f>
        <v>260</v>
      </c>
      <c r="L118" s="41">
        <f>+'Cons spec tot e finalizzati'!R121-'Cons spec tot e finalizzati'!S121</f>
        <v>319</v>
      </c>
      <c r="M118" s="41">
        <f>+'Cons spec tot e finalizzati'!T121-'Cons spec tot e finalizzati'!U121</f>
        <v>337</v>
      </c>
      <c r="N118" s="171"/>
      <c r="O118" s="292"/>
      <c r="AB118" s="79"/>
      <c r="AC118" s="80"/>
    </row>
    <row r="119" spans="1:29" s="3" customFormat="1" ht="12.75">
      <c r="A119" s="68"/>
      <c r="B119" s="78"/>
      <c r="C119" s="56" t="s">
        <v>85</v>
      </c>
      <c r="D119" s="23"/>
      <c r="F119" s="41">
        <f>+'Cons spec tot e finalizzati'!F122-'Cons spec tot e finalizzati'!G122</f>
        <v>0</v>
      </c>
      <c r="G119" s="41">
        <f>+'Cons spec tot e finalizzati'!H122-'Cons spec tot e finalizzati'!I122</f>
        <v>0</v>
      </c>
      <c r="H119" s="41">
        <f>+'Cons spec tot e finalizzati'!J122-'Cons spec tot e finalizzati'!K122</f>
        <v>0</v>
      </c>
      <c r="I119" s="41">
        <f>+'Cons spec tot e finalizzati'!L122-'Cons spec tot e finalizzati'!M122</f>
        <v>0</v>
      </c>
      <c r="J119" s="41">
        <f>+'Cons spec tot e finalizzati'!N122-'Cons spec tot e finalizzati'!O122</f>
        <v>603</v>
      </c>
      <c r="K119" s="41">
        <f>+'Cons spec tot e finalizzati'!P122-'Cons spec tot e finalizzati'!Q122</f>
        <v>637</v>
      </c>
      <c r="L119" s="41">
        <f>+'Cons spec tot e finalizzati'!R122-'Cons spec tot e finalizzati'!S122</f>
        <v>1212</v>
      </c>
      <c r="M119" s="41">
        <f>+'Cons spec tot e finalizzati'!T122-'Cons spec tot e finalizzati'!U122</f>
        <v>1065</v>
      </c>
      <c r="N119" s="171"/>
      <c r="O119" s="292"/>
      <c r="AB119" s="79"/>
      <c r="AC119" s="80"/>
    </row>
    <row r="120" spans="1:29" s="3" customFormat="1" ht="12.75">
      <c r="A120" s="68"/>
      <c r="B120" s="158" t="s">
        <v>99</v>
      </c>
      <c r="C120" s="56"/>
      <c r="D120" s="69"/>
      <c r="F120" s="121">
        <f aca="true" t="shared" si="16" ref="F120:K120">SUM(F121:F128)</f>
        <v>4115</v>
      </c>
      <c r="G120" s="121">
        <f t="shared" si="16"/>
        <v>4146</v>
      </c>
      <c r="H120" s="121">
        <f t="shared" si="16"/>
        <v>4324</v>
      </c>
      <c r="I120" s="121">
        <f t="shared" si="16"/>
        <v>4083</v>
      </c>
      <c r="J120" s="121">
        <f t="shared" si="16"/>
        <v>4114</v>
      </c>
      <c r="K120" s="121">
        <f t="shared" si="16"/>
        <v>4346</v>
      </c>
      <c r="L120" s="121">
        <f>SUM(L121:L128)</f>
        <v>3898</v>
      </c>
      <c r="M120" s="121">
        <f>SUM(M121:M128)</f>
        <v>3833</v>
      </c>
      <c r="N120" s="171"/>
      <c r="O120" s="292"/>
      <c r="AB120" s="79"/>
      <c r="AC120" s="63"/>
    </row>
    <row r="121" spans="1:29" s="3" customFormat="1" ht="12.75">
      <c r="A121" s="68"/>
      <c r="B121" s="56"/>
      <c r="C121" s="18" t="s">
        <v>9</v>
      </c>
      <c r="D121" s="69"/>
      <c r="E121" s="59"/>
      <c r="F121" s="41">
        <f>+'Cons spec tot e finalizzati'!F124-'Cons spec tot e finalizzati'!G124</f>
        <v>0</v>
      </c>
      <c r="G121" s="41">
        <f>+'Cons spec tot e finalizzati'!H124-'Cons spec tot e finalizzati'!I124</f>
        <v>0</v>
      </c>
      <c r="H121" s="41">
        <f>+'Cons spec tot e finalizzati'!J124-'Cons spec tot e finalizzati'!K124</f>
        <v>0</v>
      </c>
      <c r="I121" s="41">
        <f>+'Cons spec tot e finalizzati'!L124-'Cons spec tot e finalizzati'!M124</f>
        <v>0</v>
      </c>
      <c r="J121" s="41">
        <f>+'Cons spec tot e finalizzati'!N124-'Cons spec tot e finalizzati'!O124</f>
        <v>0</v>
      </c>
      <c r="K121" s="41">
        <f>+'Cons spec tot e finalizzati'!P124-'Cons spec tot e finalizzati'!Q124</f>
        <v>98</v>
      </c>
      <c r="L121" s="41">
        <f>+'Cons spec tot e finalizzati'!R124-'Cons spec tot e finalizzati'!S124</f>
        <v>112</v>
      </c>
      <c r="M121" s="41">
        <f>+'Cons spec tot e finalizzati'!T124-'Cons spec tot e finalizzati'!U124</f>
        <v>67</v>
      </c>
      <c r="N121" s="171"/>
      <c r="O121" s="292"/>
      <c r="AB121" s="79"/>
      <c r="AC121" s="63"/>
    </row>
    <row r="122" spans="1:29" s="3" customFormat="1" ht="12.75">
      <c r="A122" s="68"/>
      <c r="B122" s="56"/>
      <c r="C122" s="18" t="s">
        <v>135</v>
      </c>
      <c r="D122" s="69"/>
      <c r="E122" s="59"/>
      <c r="F122" s="41">
        <f>+'Cons spec tot e finalizzati'!F125-'Cons spec tot e finalizzati'!G125</f>
        <v>0</v>
      </c>
      <c r="G122" s="41">
        <f>+'Cons spec tot e finalizzati'!H125-'Cons spec tot e finalizzati'!I125</f>
        <v>0</v>
      </c>
      <c r="H122" s="41">
        <f>+'Cons spec tot e finalizzati'!J125-'Cons spec tot e finalizzati'!K125</f>
        <v>0</v>
      </c>
      <c r="I122" s="41">
        <f>+'Cons spec tot e finalizzati'!L125-'Cons spec tot e finalizzati'!M125</f>
        <v>0</v>
      </c>
      <c r="J122" s="41">
        <f>+'Cons spec tot e finalizzati'!N125-'Cons spec tot e finalizzati'!O125</f>
        <v>0</v>
      </c>
      <c r="K122" s="41">
        <f>+'Cons spec tot e finalizzati'!P125-'Cons spec tot e finalizzati'!Q125</f>
        <v>694</v>
      </c>
      <c r="L122" s="41">
        <f>+'Cons spec tot e finalizzati'!R125-'Cons spec tot e finalizzati'!S125</f>
        <v>576</v>
      </c>
      <c r="M122" s="41">
        <f>+'Cons spec tot e finalizzati'!T125-'Cons spec tot e finalizzati'!U125</f>
        <v>495</v>
      </c>
      <c r="N122" s="171"/>
      <c r="O122" s="292"/>
      <c r="AB122" s="79"/>
      <c r="AC122" s="63"/>
    </row>
    <row r="123" spans="1:29" s="3" customFormat="1" ht="12.75">
      <c r="A123" s="68"/>
      <c r="B123" s="56"/>
      <c r="C123" s="18" t="s">
        <v>136</v>
      </c>
      <c r="D123" s="69"/>
      <c r="E123" s="59"/>
      <c r="F123" s="41">
        <f>+'Cons spec tot e finalizzati'!F126-'Cons spec tot e finalizzati'!G126</f>
        <v>0</v>
      </c>
      <c r="G123" s="41">
        <f>+'Cons spec tot e finalizzati'!H126-'Cons spec tot e finalizzati'!I126</f>
        <v>0</v>
      </c>
      <c r="H123" s="41">
        <f>+'Cons spec tot e finalizzati'!J126-'Cons spec tot e finalizzati'!K126</f>
        <v>0</v>
      </c>
      <c r="I123" s="41">
        <f>+'Cons spec tot e finalizzati'!L126-'Cons spec tot e finalizzati'!M126</f>
        <v>0</v>
      </c>
      <c r="J123" s="41">
        <f>+'Cons spec tot e finalizzati'!N126-'Cons spec tot e finalizzati'!O126</f>
        <v>0</v>
      </c>
      <c r="K123" s="41">
        <f>+'Cons spec tot e finalizzati'!P126-'Cons spec tot e finalizzati'!Q126</f>
        <v>484</v>
      </c>
      <c r="L123" s="41">
        <f>+'Cons spec tot e finalizzati'!R126-'Cons spec tot e finalizzati'!S126</f>
        <v>337</v>
      </c>
      <c r="M123" s="41">
        <f>+'Cons spec tot e finalizzati'!T126-'Cons spec tot e finalizzati'!U126</f>
        <v>500</v>
      </c>
      <c r="N123" s="171"/>
      <c r="O123" s="292"/>
      <c r="AB123" s="79"/>
      <c r="AC123" s="63"/>
    </row>
    <row r="124" spans="1:29" s="82" customFormat="1" ht="12.75">
      <c r="A124" s="250"/>
      <c r="B124" s="58"/>
      <c r="C124" s="58" t="s">
        <v>119</v>
      </c>
      <c r="D124" s="81"/>
      <c r="F124" s="256">
        <f>+'Cons spec tot e finalizzati'!F127-'Cons spec tot e finalizzati'!G127</f>
        <v>939</v>
      </c>
      <c r="G124" s="256">
        <f>+'Cons spec tot e finalizzati'!H127-'Cons spec tot e finalizzati'!I127</f>
        <v>945</v>
      </c>
      <c r="H124" s="256">
        <f>+'Cons spec tot e finalizzati'!J127-'Cons spec tot e finalizzati'!K127</f>
        <v>924</v>
      </c>
      <c r="I124" s="256">
        <f>+'Cons spec tot e finalizzati'!L127-'Cons spec tot e finalizzati'!M127</f>
        <v>892</v>
      </c>
      <c r="J124" s="256">
        <f>+'Cons spec tot e finalizzati'!N127-'Cons spec tot e finalizzati'!O127</f>
        <v>988</v>
      </c>
      <c r="K124" s="256">
        <f>+'Cons spec tot e finalizzati'!P127-'Cons spec tot e finalizzati'!Q127</f>
        <v>0</v>
      </c>
      <c r="L124" s="256">
        <f>+'Cons spec tot e finalizzati'!R127-'Cons spec tot e finalizzati'!S127</f>
        <v>0</v>
      </c>
      <c r="M124" s="256">
        <f>+'Cons spec tot e finalizzati'!T127-'Cons spec tot e finalizzati'!U127</f>
        <v>0</v>
      </c>
      <c r="N124" s="257"/>
      <c r="O124" s="292"/>
      <c r="AB124" s="260"/>
      <c r="AC124" s="261"/>
    </row>
    <row r="125" spans="1:29" s="3" customFormat="1" ht="12.75">
      <c r="A125" s="68"/>
      <c r="B125" s="56"/>
      <c r="C125" s="55" t="s">
        <v>31</v>
      </c>
      <c r="D125" s="69"/>
      <c r="F125" s="41">
        <f>+'Cons spec tot e finalizzati'!F128-'Cons spec tot e finalizzati'!G128</f>
        <v>3101</v>
      </c>
      <c r="G125" s="41">
        <f>+'Cons spec tot e finalizzati'!H128-'Cons spec tot e finalizzati'!I128</f>
        <v>2971</v>
      </c>
      <c r="H125" s="41">
        <f>+'Cons spec tot e finalizzati'!J128-'Cons spec tot e finalizzati'!K128</f>
        <v>3104</v>
      </c>
      <c r="I125" s="41">
        <f>+'Cons spec tot e finalizzati'!L128-'Cons spec tot e finalizzati'!M128</f>
        <v>2996</v>
      </c>
      <c r="J125" s="41">
        <f>+'Cons spec tot e finalizzati'!N128-'Cons spec tot e finalizzati'!O128</f>
        <v>2871</v>
      </c>
      <c r="K125" s="41">
        <f>+'Cons spec tot e finalizzati'!P128-'Cons spec tot e finalizzati'!Q128</f>
        <v>2737</v>
      </c>
      <c r="L125" s="41">
        <f>+'Cons spec tot e finalizzati'!R128-'Cons spec tot e finalizzati'!S128</f>
        <v>2543</v>
      </c>
      <c r="M125" s="41">
        <f>+'Cons spec tot e finalizzati'!T128-'Cons spec tot e finalizzati'!U128</f>
        <v>2454</v>
      </c>
      <c r="N125" s="171"/>
      <c r="O125" s="292"/>
      <c r="AB125" s="79"/>
      <c r="AC125" s="80"/>
    </row>
    <row r="126" spans="1:29" s="3" customFormat="1" ht="12.75">
      <c r="A126" s="68"/>
      <c r="B126" s="56"/>
      <c r="C126" s="55" t="s">
        <v>137</v>
      </c>
      <c r="D126" s="69"/>
      <c r="F126" s="41">
        <f>+'Cons spec tot e finalizzati'!F129-'Cons spec tot e finalizzati'!G129</f>
        <v>0</v>
      </c>
      <c r="G126" s="41">
        <f>+'Cons spec tot e finalizzati'!H129-'Cons spec tot e finalizzati'!I129</f>
        <v>0</v>
      </c>
      <c r="H126" s="41">
        <f>+'Cons spec tot e finalizzati'!J129-'Cons spec tot e finalizzati'!K129</f>
        <v>0</v>
      </c>
      <c r="I126" s="41">
        <f>+'Cons spec tot e finalizzati'!L129-'Cons spec tot e finalizzati'!M129</f>
        <v>0</v>
      </c>
      <c r="J126" s="41">
        <f>+'Cons spec tot e finalizzati'!N129-'Cons spec tot e finalizzati'!O129</f>
        <v>0</v>
      </c>
      <c r="K126" s="41">
        <f>+'Cons spec tot e finalizzati'!P129-'Cons spec tot e finalizzati'!Q129</f>
        <v>280</v>
      </c>
      <c r="L126" s="41">
        <f>+'Cons spec tot e finalizzati'!R129-'Cons spec tot e finalizzati'!S129</f>
        <v>286</v>
      </c>
      <c r="M126" s="41">
        <f>+'Cons spec tot e finalizzati'!T129-'Cons spec tot e finalizzati'!U129</f>
        <v>286</v>
      </c>
      <c r="N126" s="171"/>
      <c r="O126" s="292"/>
      <c r="AB126" s="79"/>
      <c r="AC126" s="80"/>
    </row>
    <row r="127" spans="1:29" s="3" customFormat="1" ht="12.75">
      <c r="A127" s="68"/>
      <c r="B127" s="56"/>
      <c r="C127" s="55" t="s">
        <v>138</v>
      </c>
      <c r="D127" s="69"/>
      <c r="F127" s="41">
        <f>+'Cons spec tot e finalizzati'!F130-'Cons spec tot e finalizzati'!G130</f>
        <v>0</v>
      </c>
      <c r="G127" s="41">
        <f>+'Cons spec tot e finalizzati'!H130-'Cons spec tot e finalizzati'!I130</f>
        <v>0</v>
      </c>
      <c r="H127" s="41">
        <f>+'Cons spec tot e finalizzati'!J130-'Cons spec tot e finalizzati'!K130</f>
        <v>0</v>
      </c>
      <c r="I127" s="41">
        <f>+'Cons spec tot e finalizzati'!L130-'Cons spec tot e finalizzati'!M130</f>
        <v>0</v>
      </c>
      <c r="J127" s="41">
        <f>+'Cons spec tot e finalizzati'!N130-'Cons spec tot e finalizzati'!O130</f>
        <v>0</v>
      </c>
      <c r="K127" s="41">
        <f>+'Cons spec tot e finalizzati'!P130-'Cons spec tot e finalizzati'!Q130</f>
        <v>53</v>
      </c>
      <c r="L127" s="41">
        <f>+'Cons spec tot e finalizzati'!R130-'Cons spec tot e finalizzati'!S130</f>
        <v>44</v>
      </c>
      <c r="M127" s="41">
        <f>+'Cons spec tot e finalizzati'!T130-'Cons spec tot e finalizzati'!U130</f>
        <v>31</v>
      </c>
      <c r="N127" s="171"/>
      <c r="O127" s="292"/>
      <c r="AB127" s="79"/>
      <c r="AC127" s="80"/>
    </row>
    <row r="128" spans="1:29" s="82" customFormat="1" ht="12.75">
      <c r="A128" s="251"/>
      <c r="B128" s="165"/>
      <c r="C128" s="165" t="s">
        <v>57</v>
      </c>
      <c r="D128" s="166"/>
      <c r="F128" s="262">
        <f>+'Cons spec tot e finalizzati'!F131-'Cons spec tot e finalizzati'!G131</f>
        <v>75</v>
      </c>
      <c r="G128" s="262">
        <f>+'Cons spec tot e finalizzati'!H131-'Cons spec tot e finalizzati'!I131</f>
        <v>230</v>
      </c>
      <c r="H128" s="262">
        <f>+'Cons spec tot e finalizzati'!J131-'Cons spec tot e finalizzati'!K131</f>
        <v>296</v>
      </c>
      <c r="I128" s="262">
        <f>+'Cons spec tot e finalizzati'!L131-'Cons spec tot e finalizzati'!M131</f>
        <v>195</v>
      </c>
      <c r="J128" s="262">
        <f>+'Cons spec tot e finalizzati'!N131-'Cons spec tot e finalizzati'!O131</f>
        <v>255</v>
      </c>
      <c r="K128" s="262">
        <f>+'Cons spec tot e finalizzati'!P131-'Cons spec tot e finalizzati'!Q131</f>
        <v>0</v>
      </c>
      <c r="L128" s="262">
        <f>+'Cons spec tot e finalizzati'!R131-'Cons spec tot e finalizzati'!S131</f>
        <v>0</v>
      </c>
      <c r="M128" s="262">
        <f>+'Cons spec tot e finalizzati'!T131-'Cons spec tot e finalizzati'!U131</f>
        <v>0</v>
      </c>
      <c r="N128" s="257"/>
      <c r="O128" s="292"/>
      <c r="AB128" s="260"/>
      <c r="AC128" s="263"/>
    </row>
    <row r="129" spans="1:29" s="3" customFormat="1" ht="12.75">
      <c r="A129" s="164" t="s">
        <v>181</v>
      </c>
      <c r="B129" s="159"/>
      <c r="C129" s="159"/>
      <c r="D129" s="160"/>
      <c r="F129" s="163">
        <f>+F130+F131+F137+F150+F149</f>
        <v>8213</v>
      </c>
      <c r="G129" s="163">
        <f aca="true" t="shared" si="17" ref="G129:L129">+G130+G131+G137+G150+G149</f>
        <v>9592</v>
      </c>
      <c r="H129" s="163">
        <f t="shared" si="17"/>
        <v>9457</v>
      </c>
      <c r="I129" s="163">
        <f t="shared" si="17"/>
        <v>9994.5</v>
      </c>
      <c r="J129" s="163">
        <f t="shared" si="17"/>
        <v>8885</v>
      </c>
      <c r="K129" s="163">
        <f t="shared" si="17"/>
        <v>11443</v>
      </c>
      <c r="L129" s="163">
        <f t="shared" si="17"/>
        <v>8702</v>
      </c>
      <c r="M129" s="163">
        <f>+M130+M131+M137+M150+M149</f>
        <v>8218</v>
      </c>
      <c r="N129" s="171"/>
      <c r="O129" s="292"/>
      <c r="AB129" s="79"/>
      <c r="AC129" s="91"/>
    </row>
    <row r="130" spans="1:29" s="3" customFormat="1" ht="12.75">
      <c r="A130" s="68"/>
      <c r="B130" s="56"/>
      <c r="C130" s="56" t="s">
        <v>182</v>
      </c>
      <c r="D130" s="69"/>
      <c r="F130" s="41">
        <f>+'Cons spec tot e finalizzati'!F133-'Cons spec tot e finalizzati'!G133</f>
        <v>0</v>
      </c>
      <c r="G130" s="41">
        <f>+'Cons spec tot e finalizzati'!H133-'Cons spec tot e finalizzati'!I133</f>
        <v>0</v>
      </c>
      <c r="H130" s="41">
        <f>+'Cons spec tot e finalizzati'!J133-'Cons spec tot e finalizzati'!K133</f>
        <v>0</v>
      </c>
      <c r="I130" s="41">
        <f>+'Cons spec tot e finalizzati'!L133-'Cons spec tot e finalizzati'!M133</f>
        <v>0</v>
      </c>
      <c r="J130" s="41">
        <f>+'Cons spec tot e finalizzati'!N133-'Cons spec tot e finalizzati'!O133</f>
        <v>0</v>
      </c>
      <c r="K130" s="41">
        <f>+'Cons spec tot e finalizzati'!P133-'Cons spec tot e finalizzati'!Q133</f>
        <v>0</v>
      </c>
      <c r="L130" s="41">
        <f>+'Cons spec tot e finalizzati'!R133-'Cons spec tot e finalizzati'!S133</f>
        <v>0</v>
      </c>
      <c r="M130" s="41">
        <f>+'Cons spec tot e finalizzati'!T133-'Cons spec tot e finalizzati'!U133</f>
        <v>0</v>
      </c>
      <c r="N130" s="171"/>
      <c r="O130" s="292"/>
      <c r="AB130" s="79"/>
      <c r="AC130" s="91"/>
    </row>
    <row r="131" spans="1:29" s="3" customFormat="1" ht="12.75">
      <c r="A131" s="68"/>
      <c r="B131" s="78" t="s">
        <v>183</v>
      </c>
      <c r="C131" s="56"/>
      <c r="D131" s="69"/>
      <c r="F131" s="121">
        <f aca="true" t="shared" si="18" ref="F131:M131">SUM(F132:F136)</f>
        <v>2527</v>
      </c>
      <c r="G131" s="121">
        <f t="shared" si="18"/>
        <v>2279</v>
      </c>
      <c r="H131" s="121">
        <f t="shared" si="18"/>
        <v>2046</v>
      </c>
      <c r="I131" s="121">
        <f t="shared" si="18"/>
        <v>1648</v>
      </c>
      <c r="J131" s="121">
        <f t="shared" si="18"/>
        <v>1349</v>
      </c>
      <c r="K131" s="121">
        <f t="shared" si="18"/>
        <v>1787</v>
      </c>
      <c r="L131" s="121">
        <f t="shared" si="18"/>
        <v>1254</v>
      </c>
      <c r="M131" s="121">
        <f t="shared" si="18"/>
        <v>839</v>
      </c>
      <c r="N131" s="171"/>
      <c r="O131" s="292"/>
      <c r="AB131" s="79"/>
      <c r="AC131" s="63"/>
    </row>
    <row r="132" spans="1:29" s="3" customFormat="1" ht="12.75">
      <c r="A132" s="68"/>
      <c r="B132" s="22"/>
      <c r="C132" s="56" t="s">
        <v>33</v>
      </c>
      <c r="D132" s="69"/>
      <c r="F132" s="41">
        <f>+'Cons spec tot e finalizzati'!F135-'Cons spec tot e finalizzati'!G135</f>
        <v>59</v>
      </c>
      <c r="G132" s="41">
        <f>+'Cons spec tot e finalizzati'!H135-'Cons spec tot e finalizzati'!I135</f>
        <v>67</v>
      </c>
      <c r="H132" s="41">
        <f>+'Cons spec tot e finalizzati'!J135-'Cons spec tot e finalizzati'!K135</f>
        <v>171</v>
      </c>
      <c r="I132" s="41">
        <f>+'Cons spec tot e finalizzati'!L135-'Cons spec tot e finalizzati'!M135</f>
        <v>72</v>
      </c>
      <c r="J132" s="41">
        <f>+'Cons spec tot e finalizzati'!N135-'Cons spec tot e finalizzati'!O135</f>
        <v>103</v>
      </c>
      <c r="K132" s="41">
        <f>+'Cons spec tot e finalizzati'!P135-'Cons spec tot e finalizzati'!Q135</f>
        <v>120</v>
      </c>
      <c r="L132" s="41">
        <f>+'Cons spec tot e finalizzati'!R135-'Cons spec tot e finalizzati'!S135</f>
        <v>99</v>
      </c>
      <c r="M132" s="41">
        <f>+'Cons spec tot e finalizzati'!T135-'Cons spec tot e finalizzati'!U135</f>
        <v>192</v>
      </c>
      <c r="N132" s="171"/>
      <c r="O132" s="292"/>
      <c r="AB132" s="79"/>
      <c r="AC132" s="36"/>
    </row>
    <row r="133" spans="1:29" s="3" customFormat="1" ht="12.75">
      <c r="A133" s="68"/>
      <c r="B133" s="22"/>
      <c r="C133" s="56" t="s">
        <v>80</v>
      </c>
      <c r="D133" s="69"/>
      <c r="E133" s="72"/>
      <c r="F133" s="41">
        <f>+'Cons spec tot e finalizzati'!F136-'Cons spec tot e finalizzati'!G136</f>
        <v>16</v>
      </c>
      <c r="G133" s="41">
        <f>+'Cons spec tot e finalizzati'!H136-'Cons spec tot e finalizzati'!I136</f>
        <v>33</v>
      </c>
      <c r="H133" s="41">
        <f>+'Cons spec tot e finalizzati'!J136-'Cons spec tot e finalizzati'!K136</f>
        <v>25</v>
      </c>
      <c r="I133" s="41">
        <f>+'Cons spec tot e finalizzati'!L136-'Cons spec tot e finalizzati'!M136</f>
        <v>0</v>
      </c>
      <c r="J133" s="41">
        <f>+'Cons spec tot e finalizzati'!N136-'Cons spec tot e finalizzati'!O136</f>
        <v>0</v>
      </c>
      <c r="K133" s="41">
        <f>+'Cons spec tot e finalizzati'!P136-'Cons spec tot e finalizzati'!Q136</f>
        <v>0</v>
      </c>
      <c r="L133" s="41">
        <f>+'Cons spec tot e finalizzati'!R136-'Cons spec tot e finalizzati'!S136</f>
        <v>0</v>
      </c>
      <c r="M133" s="41">
        <f>+'Cons spec tot e finalizzati'!T136-'Cons spec tot e finalizzati'!U136</f>
        <v>0</v>
      </c>
      <c r="N133" s="171"/>
      <c r="O133" s="292"/>
      <c r="AB133" s="79"/>
      <c r="AC133" s="80"/>
    </row>
    <row r="134" spans="1:29" s="107" customFormat="1" ht="12.75">
      <c r="A134" s="68"/>
      <c r="B134" s="22"/>
      <c r="C134" s="56" t="s">
        <v>140</v>
      </c>
      <c r="D134" s="69"/>
      <c r="E134" s="72"/>
      <c r="F134" s="41">
        <f>+'Cons spec tot e finalizzati'!F137-'Cons spec tot e finalizzati'!G137</f>
        <v>176</v>
      </c>
      <c r="G134" s="41">
        <f>+'Cons spec tot e finalizzati'!H137-'Cons spec tot e finalizzati'!I137</f>
        <v>131</v>
      </c>
      <c r="H134" s="41">
        <f>+'Cons spec tot e finalizzati'!J137-'Cons spec tot e finalizzati'!K137</f>
        <v>350</v>
      </c>
      <c r="I134" s="41">
        <f>+'Cons spec tot e finalizzati'!L137-'Cons spec tot e finalizzati'!M137</f>
        <v>983</v>
      </c>
      <c r="J134" s="41">
        <f>+'Cons spec tot e finalizzati'!N137-'Cons spec tot e finalizzati'!O137</f>
        <v>744</v>
      </c>
      <c r="K134" s="41">
        <f>+'Cons spec tot e finalizzati'!P137-'Cons spec tot e finalizzati'!Q137</f>
        <v>1161</v>
      </c>
      <c r="L134" s="41">
        <f>+'Cons spec tot e finalizzati'!R137-'Cons spec tot e finalizzati'!S137</f>
        <v>644</v>
      </c>
      <c r="M134" s="41">
        <f>+'Cons spec tot e finalizzati'!T137-'Cons spec tot e finalizzati'!U137</f>
        <v>133</v>
      </c>
      <c r="N134" s="171"/>
      <c r="O134" s="292"/>
      <c r="AB134" s="108"/>
      <c r="AC134" s="109"/>
    </row>
    <row r="135" spans="1:29" s="3" customFormat="1" ht="12.75">
      <c r="A135" s="68"/>
      <c r="B135" s="22"/>
      <c r="C135" s="56" t="s">
        <v>81</v>
      </c>
      <c r="D135" s="69"/>
      <c r="E135" s="72"/>
      <c r="F135" s="41">
        <f>+'Cons spec tot e finalizzati'!F138-'Cons spec tot e finalizzati'!G138</f>
        <v>2014</v>
      </c>
      <c r="G135" s="41">
        <f>+'Cons spec tot e finalizzati'!H138-'Cons spec tot e finalizzati'!I138</f>
        <v>1813</v>
      </c>
      <c r="H135" s="41">
        <f>+'Cons spec tot e finalizzati'!J138-'Cons spec tot e finalizzati'!K138</f>
        <v>1194</v>
      </c>
      <c r="I135" s="41">
        <f>+'Cons spec tot e finalizzati'!L138-'Cons spec tot e finalizzati'!M138</f>
        <v>213</v>
      </c>
      <c r="J135" s="41">
        <f>+'Cons spec tot e finalizzati'!N138-'Cons spec tot e finalizzati'!O138</f>
        <v>171</v>
      </c>
      <c r="K135" s="41">
        <f>+'Cons spec tot e finalizzati'!P138-'Cons spec tot e finalizzati'!Q138</f>
        <v>171</v>
      </c>
      <c r="L135" s="41">
        <f>+'Cons spec tot e finalizzati'!R138-'Cons spec tot e finalizzati'!S138</f>
        <v>194</v>
      </c>
      <c r="M135" s="41">
        <f>+'Cons spec tot e finalizzati'!T138-'Cons spec tot e finalizzati'!U138</f>
        <v>267</v>
      </c>
      <c r="N135" s="171"/>
      <c r="O135" s="292"/>
      <c r="AB135" s="79"/>
      <c r="AC135" s="80"/>
    </row>
    <row r="136" spans="1:29" s="3" customFormat="1" ht="12.75">
      <c r="A136" s="68"/>
      <c r="B136" s="22"/>
      <c r="C136" s="56" t="s">
        <v>39</v>
      </c>
      <c r="D136" s="69"/>
      <c r="E136" s="72"/>
      <c r="F136" s="57">
        <v>262</v>
      </c>
      <c r="G136" s="57">
        <f>+'Cons spec tot e finalizzati'!H139-'Cons spec tot e finalizzati'!I139</f>
        <v>235</v>
      </c>
      <c r="H136" s="57">
        <f>+'Cons spec tot e finalizzati'!J139-'Cons spec tot e finalizzati'!K139</f>
        <v>306</v>
      </c>
      <c r="I136" s="57">
        <f>+'Cons spec tot e finalizzati'!L139-'Cons spec tot e finalizzati'!M139</f>
        <v>380</v>
      </c>
      <c r="J136" s="57">
        <f>+'Cons spec tot e finalizzati'!N139-'Cons spec tot e finalizzati'!O139</f>
        <v>331</v>
      </c>
      <c r="K136" s="57">
        <f>+'Cons spec tot e finalizzati'!P139-'Cons spec tot e finalizzati'!Q139</f>
        <v>335</v>
      </c>
      <c r="L136" s="57">
        <f>+'Cons spec tot e finalizzati'!R139-'Cons spec tot e finalizzati'!S139</f>
        <v>317</v>
      </c>
      <c r="M136" s="57">
        <f>+'Cons spec tot e finalizzati'!T139-'Cons spec tot e finalizzati'!U139</f>
        <v>247</v>
      </c>
      <c r="N136" s="171"/>
      <c r="O136" s="292"/>
      <c r="AB136" s="79"/>
      <c r="AC136" s="80"/>
    </row>
    <row r="137" spans="1:29" s="59" customFormat="1" ht="12.75">
      <c r="A137" s="68"/>
      <c r="B137" s="22" t="s">
        <v>163</v>
      </c>
      <c r="C137" s="56"/>
      <c r="D137" s="69"/>
      <c r="E137" s="107"/>
      <c r="F137" s="121">
        <f>SUM(F138:F148)</f>
        <v>1197</v>
      </c>
      <c r="G137" s="121">
        <f aca="true" t="shared" si="19" ref="G137:L137">SUM(G138:G148)</f>
        <v>1155</v>
      </c>
      <c r="H137" s="121">
        <f t="shared" si="19"/>
        <v>1559</v>
      </c>
      <c r="I137" s="121">
        <f t="shared" si="19"/>
        <v>2720.5</v>
      </c>
      <c r="J137" s="121">
        <f t="shared" si="19"/>
        <v>2095</v>
      </c>
      <c r="K137" s="121">
        <f t="shared" si="19"/>
        <v>3629</v>
      </c>
      <c r="L137" s="121">
        <f t="shared" si="19"/>
        <v>2231</v>
      </c>
      <c r="M137" s="121">
        <f>SUM(M138:M148)</f>
        <v>1745</v>
      </c>
      <c r="N137" s="171"/>
      <c r="O137" s="292"/>
      <c r="AB137" s="79"/>
      <c r="AC137" s="80"/>
    </row>
    <row r="138" spans="1:29" s="3" customFormat="1" ht="12.75">
      <c r="A138" s="68"/>
      <c r="B138" s="22"/>
      <c r="C138" s="18" t="s">
        <v>164</v>
      </c>
      <c r="D138" s="69"/>
      <c r="E138" s="72"/>
      <c r="F138" s="41">
        <f>+'Cons spec tot e finalizzati'!F141-'Cons spec tot e finalizzati'!G141</f>
        <v>127</v>
      </c>
      <c r="G138" s="41">
        <f>+'Cons spec tot e finalizzati'!H141-'Cons spec tot e finalizzati'!I141</f>
        <v>106</v>
      </c>
      <c r="H138" s="41">
        <f>+'Cons spec tot e finalizzati'!J141-'Cons spec tot e finalizzati'!K141</f>
        <v>144</v>
      </c>
      <c r="I138" s="41">
        <f>+'Cons spec tot e finalizzati'!L141-'Cons spec tot e finalizzati'!M141</f>
        <v>444</v>
      </c>
      <c r="J138" s="41">
        <f>+'Cons spec tot e finalizzati'!N141-'Cons spec tot e finalizzati'!O141</f>
        <v>428</v>
      </c>
      <c r="K138" s="41">
        <f>+'Cons spec tot e finalizzati'!P141-'Cons spec tot e finalizzati'!Q141</f>
        <v>207</v>
      </c>
      <c r="L138" s="41">
        <f>+'Cons spec tot e finalizzati'!R141-'Cons spec tot e finalizzati'!S141</f>
        <v>221</v>
      </c>
      <c r="M138" s="41">
        <f>+'Cons spec tot e finalizzati'!T141-'Cons spec tot e finalizzati'!U141</f>
        <v>92</v>
      </c>
      <c r="N138" s="171"/>
      <c r="O138" s="292"/>
      <c r="AB138" s="79"/>
      <c r="AC138" s="80"/>
    </row>
    <row r="139" spans="1:29" s="3" customFormat="1" ht="12.75">
      <c r="A139" s="68"/>
      <c r="B139" s="22"/>
      <c r="C139" s="18" t="s">
        <v>144</v>
      </c>
      <c r="D139" s="69"/>
      <c r="E139" s="72"/>
      <c r="F139" s="41">
        <f>+'Cons spec tot e finalizzati'!F142-'Cons spec tot e finalizzati'!G142</f>
        <v>0</v>
      </c>
      <c r="G139" s="41">
        <f>+'Cons spec tot e finalizzati'!H142-'Cons spec tot e finalizzati'!I142</f>
        <v>0</v>
      </c>
      <c r="H139" s="41">
        <f>+'Cons spec tot e finalizzati'!J142-'Cons spec tot e finalizzati'!K142</f>
        <v>0</v>
      </c>
      <c r="I139" s="41">
        <f>+'Cons spec tot e finalizzati'!L142-'Cons spec tot e finalizzati'!M142</f>
        <v>0</v>
      </c>
      <c r="J139" s="41">
        <f>+'Cons spec tot e finalizzati'!N142-'Cons spec tot e finalizzati'!O142</f>
        <v>0</v>
      </c>
      <c r="K139" s="41">
        <f>+'Cons spec tot e finalizzati'!P142-'Cons spec tot e finalizzati'!Q142</f>
        <v>63</v>
      </c>
      <c r="L139" s="41">
        <f>+'Cons spec tot e finalizzati'!R142-'Cons spec tot e finalizzati'!S142</f>
        <v>34</v>
      </c>
      <c r="M139" s="41">
        <f>+'Cons spec tot e finalizzati'!T142-'Cons spec tot e finalizzati'!U142</f>
        <v>0</v>
      </c>
      <c r="N139" s="171"/>
      <c r="O139" s="292"/>
      <c r="AB139" s="79"/>
      <c r="AC139" s="80"/>
    </row>
    <row r="140" spans="1:29" s="3" customFormat="1" ht="12.75">
      <c r="A140" s="68"/>
      <c r="B140" s="22"/>
      <c r="C140" s="56" t="s">
        <v>141</v>
      </c>
      <c r="D140" s="69"/>
      <c r="E140" s="72"/>
      <c r="F140" s="41">
        <f>+'Cons spec tot e finalizzati'!F143-'Cons spec tot e finalizzati'!G143</f>
        <v>141</v>
      </c>
      <c r="G140" s="41">
        <f>+'Cons spec tot e finalizzati'!H143-'Cons spec tot e finalizzati'!I143</f>
        <v>39</v>
      </c>
      <c r="H140" s="41">
        <f>+'Cons spec tot e finalizzati'!J143-'Cons spec tot e finalizzati'!K143</f>
        <v>15</v>
      </c>
      <c r="I140" s="41">
        <f>+'Cons spec tot e finalizzati'!L143-'Cons spec tot e finalizzati'!M143</f>
        <v>49</v>
      </c>
      <c r="J140" s="41">
        <f>+'Cons spec tot e finalizzati'!N143-'Cons spec tot e finalizzati'!O143</f>
        <v>17</v>
      </c>
      <c r="K140" s="41">
        <f>+'Cons spec tot e finalizzati'!P143-'Cons spec tot e finalizzati'!Q143</f>
        <v>1</v>
      </c>
      <c r="L140" s="41">
        <f>+'Cons spec tot e finalizzati'!R143-'Cons spec tot e finalizzati'!S143</f>
        <v>12</v>
      </c>
      <c r="M140" s="41">
        <f>+'Cons spec tot e finalizzati'!T143-'Cons spec tot e finalizzati'!U143</f>
        <v>21</v>
      </c>
      <c r="N140" s="171"/>
      <c r="O140" s="292"/>
      <c r="AB140" s="79"/>
      <c r="AC140" s="80"/>
    </row>
    <row r="141" spans="1:29" s="3" customFormat="1" ht="12.75">
      <c r="A141" s="68"/>
      <c r="B141" s="22"/>
      <c r="C141" s="56" t="s">
        <v>143</v>
      </c>
      <c r="D141" s="69"/>
      <c r="E141" s="72"/>
      <c r="F141" s="41">
        <f>+'Cons spec tot e finalizzati'!F144-'Cons spec tot e finalizzati'!G144</f>
        <v>0</v>
      </c>
      <c r="G141" s="41">
        <f>+'Cons spec tot e finalizzati'!H144-'Cons spec tot e finalizzati'!I144</f>
        <v>0</v>
      </c>
      <c r="H141" s="41">
        <f>+'Cons spec tot e finalizzati'!J144-'Cons spec tot e finalizzati'!K144</f>
        <v>0</v>
      </c>
      <c r="I141" s="41">
        <f>+'Cons spec tot e finalizzati'!L144-'Cons spec tot e finalizzati'!M144</f>
        <v>131</v>
      </c>
      <c r="J141" s="41">
        <f>+'Cons spec tot e finalizzati'!N144-'Cons spec tot e finalizzati'!O144</f>
        <v>81</v>
      </c>
      <c r="K141" s="41">
        <f>+'Cons spec tot e finalizzati'!P144-'Cons spec tot e finalizzati'!Q144</f>
        <v>331</v>
      </c>
      <c r="L141" s="41">
        <f>+'Cons spec tot e finalizzati'!R144-'Cons spec tot e finalizzati'!S144</f>
        <v>245</v>
      </c>
      <c r="M141" s="41">
        <f>+'Cons spec tot e finalizzati'!T144-'Cons spec tot e finalizzati'!U144</f>
        <v>164</v>
      </c>
      <c r="N141" s="171"/>
      <c r="O141" s="292"/>
      <c r="AB141" s="79"/>
      <c r="AC141" s="80"/>
    </row>
    <row r="142" spans="1:29" s="3" customFormat="1" ht="12.75">
      <c r="A142" s="68"/>
      <c r="B142" s="22"/>
      <c r="C142" s="56" t="s">
        <v>145</v>
      </c>
      <c r="D142" s="69"/>
      <c r="E142" s="72"/>
      <c r="F142" s="41">
        <f>+'Cons spec tot e finalizzati'!F145-'Cons spec tot e finalizzati'!G145</f>
        <v>0</v>
      </c>
      <c r="G142" s="41">
        <f>+'Cons spec tot e finalizzati'!H145-'Cons spec tot e finalizzati'!I145</f>
        <v>0</v>
      </c>
      <c r="H142" s="41">
        <f>+'Cons spec tot e finalizzati'!J145-'Cons spec tot e finalizzati'!K145</f>
        <v>0</v>
      </c>
      <c r="I142" s="41">
        <f>+'Cons spec tot e finalizzati'!L145-'Cons spec tot e finalizzati'!M145</f>
        <v>0</v>
      </c>
      <c r="J142" s="41">
        <f>+'Cons spec tot e finalizzati'!N145-'Cons spec tot e finalizzati'!O145</f>
        <v>0</v>
      </c>
      <c r="K142" s="41">
        <f>+'Cons spec tot e finalizzati'!P145-'Cons spec tot e finalizzati'!Q145</f>
        <v>27</v>
      </c>
      <c r="L142" s="41">
        <f>+'Cons spec tot e finalizzati'!R145-'Cons spec tot e finalizzati'!S145</f>
        <v>44</v>
      </c>
      <c r="M142" s="41">
        <f>+'Cons spec tot e finalizzati'!T145-'Cons spec tot e finalizzati'!U145</f>
        <v>31</v>
      </c>
      <c r="N142" s="171"/>
      <c r="O142" s="292"/>
      <c r="AB142" s="79"/>
      <c r="AC142" s="80"/>
    </row>
    <row r="143" spans="1:29" s="3" customFormat="1" ht="12.75">
      <c r="A143" s="68"/>
      <c r="B143" s="22"/>
      <c r="C143" s="56" t="s">
        <v>146</v>
      </c>
      <c r="D143" s="69"/>
      <c r="E143" s="72"/>
      <c r="F143" s="41">
        <f>+'Cons spec tot e finalizzati'!F146-'Cons spec tot e finalizzati'!G146</f>
        <v>0</v>
      </c>
      <c r="G143" s="41">
        <f>+'Cons spec tot e finalizzati'!H146-'Cons spec tot e finalizzati'!I146</f>
        <v>0</v>
      </c>
      <c r="H143" s="41">
        <f>+'Cons spec tot e finalizzati'!J146-'Cons spec tot e finalizzati'!K146</f>
        <v>0</v>
      </c>
      <c r="I143" s="41">
        <f>+'Cons spec tot e finalizzati'!L146-'Cons spec tot e finalizzati'!M146</f>
        <v>0</v>
      </c>
      <c r="J143" s="41">
        <f>+'Cons spec tot e finalizzati'!N146-'Cons spec tot e finalizzati'!O146</f>
        <v>0</v>
      </c>
      <c r="K143" s="41">
        <f>+'Cons spec tot e finalizzati'!P146-'Cons spec tot e finalizzati'!Q146</f>
        <v>1820</v>
      </c>
      <c r="L143" s="41">
        <f>+'Cons spec tot e finalizzati'!R146-'Cons spec tot e finalizzati'!S146</f>
        <v>1187</v>
      </c>
      <c r="M143" s="41">
        <f>+'Cons spec tot e finalizzati'!T146-'Cons spec tot e finalizzati'!U146</f>
        <v>1209</v>
      </c>
      <c r="N143" s="171"/>
      <c r="O143" s="292"/>
      <c r="AB143" s="79"/>
      <c r="AC143" s="80"/>
    </row>
    <row r="144" spans="1:29" s="100" customFormat="1" ht="12.75">
      <c r="A144" s="68"/>
      <c r="B144" s="22"/>
      <c r="C144" s="55" t="s">
        <v>142</v>
      </c>
      <c r="D144" s="69"/>
      <c r="E144" s="72"/>
      <c r="F144" s="41">
        <f>+'Cons spec tot e finalizzati'!F147-'Cons spec tot e finalizzati'!G147</f>
        <v>0</v>
      </c>
      <c r="G144" s="41">
        <f>+'Cons spec tot e finalizzati'!H147-'Cons spec tot e finalizzati'!I147</f>
        <v>0</v>
      </c>
      <c r="H144" s="41">
        <f>+'Cons spec tot e finalizzati'!J147-'Cons spec tot e finalizzati'!K147</f>
        <v>0</v>
      </c>
      <c r="I144" s="41">
        <f>+'Cons spec tot e finalizzati'!L147-'Cons spec tot e finalizzati'!M147</f>
        <v>0</v>
      </c>
      <c r="J144" s="41">
        <f>+'Cons spec tot e finalizzati'!N147-'Cons spec tot e finalizzati'!O147</f>
        <v>178</v>
      </c>
      <c r="K144" s="41">
        <f>+'Cons spec tot e finalizzati'!P147-'Cons spec tot e finalizzati'!Q147</f>
        <v>147</v>
      </c>
      <c r="L144" s="41">
        <f>+'Cons spec tot e finalizzati'!R147-'Cons spec tot e finalizzati'!S147</f>
        <v>293</v>
      </c>
      <c r="M144" s="41">
        <f>+'Cons spec tot e finalizzati'!T147-'Cons spec tot e finalizzati'!U147</f>
        <v>144</v>
      </c>
      <c r="N144" s="171"/>
      <c r="O144" s="292"/>
      <c r="AB144" s="110"/>
      <c r="AC144" s="111"/>
    </row>
    <row r="145" spans="1:29" s="100" customFormat="1" ht="12.75">
      <c r="A145" s="68"/>
      <c r="B145" s="22"/>
      <c r="C145" s="55" t="s">
        <v>129</v>
      </c>
      <c r="D145" s="69"/>
      <c r="E145" s="72"/>
      <c r="F145" s="41">
        <f>+'Cons spec tot e finalizzati'!F148-'Cons spec tot e finalizzati'!G148</f>
        <v>77</v>
      </c>
      <c r="G145" s="41">
        <f>+'Cons spec tot e finalizzati'!H148-'Cons spec tot e finalizzati'!I148</f>
        <v>147</v>
      </c>
      <c r="H145" s="41">
        <f>+'Cons spec tot e finalizzati'!J148-'Cons spec tot e finalizzati'!K148</f>
        <v>124</v>
      </c>
      <c r="I145" s="41">
        <f>+'Cons spec tot e finalizzati'!L148-'Cons spec tot e finalizzati'!M148</f>
        <v>472</v>
      </c>
      <c r="J145" s="41">
        <f>+'Cons spec tot e finalizzati'!N148-'Cons spec tot e finalizzati'!O148</f>
        <v>587</v>
      </c>
      <c r="K145" s="41">
        <f>+'Cons spec tot e finalizzati'!P148-'Cons spec tot e finalizzati'!Q148</f>
        <v>1033</v>
      </c>
      <c r="L145" s="41">
        <f>+'Cons spec tot e finalizzati'!R148-'Cons spec tot e finalizzati'!S148</f>
        <v>195</v>
      </c>
      <c r="M145" s="41">
        <f>+'Cons spec tot e finalizzati'!T148-'Cons spec tot e finalizzati'!U148</f>
        <v>84</v>
      </c>
      <c r="N145" s="171"/>
      <c r="O145" s="292"/>
      <c r="AB145" s="291"/>
      <c r="AC145" s="102"/>
    </row>
    <row r="146" spans="1:29" s="82" customFormat="1" ht="12.75">
      <c r="A146" s="250"/>
      <c r="B146" s="252"/>
      <c r="C146" s="58" t="s">
        <v>84</v>
      </c>
      <c r="D146" s="81"/>
      <c r="F146" s="256">
        <f>+'Cons spec tot e finalizzati'!F149-'Cons spec tot e finalizzati'!G149</f>
        <v>168</v>
      </c>
      <c r="G146" s="256">
        <f>+'Cons spec tot e finalizzati'!H149-'Cons spec tot e finalizzati'!I149</f>
        <v>155</v>
      </c>
      <c r="H146" s="256">
        <f>+'Cons spec tot e finalizzati'!J149-'Cons spec tot e finalizzati'!K149</f>
        <v>284</v>
      </c>
      <c r="I146" s="256">
        <f>+'Cons spec tot e finalizzati'!L149-'Cons spec tot e finalizzati'!M149</f>
        <v>262</v>
      </c>
      <c r="J146" s="256">
        <f>+'Cons spec tot e finalizzati'!N149-'Cons spec tot e finalizzati'!O149</f>
        <v>48</v>
      </c>
      <c r="K146" s="256">
        <f>+'Cons spec tot e finalizzati'!P149-'Cons spec tot e finalizzati'!Q149</f>
        <v>0</v>
      </c>
      <c r="L146" s="256">
        <f>+'Cons spec tot e finalizzati'!R149-'Cons spec tot e finalizzati'!S149</f>
        <v>0</v>
      </c>
      <c r="M146" s="256">
        <f>+'Cons spec tot e finalizzati'!T149-'Cons spec tot e finalizzati'!U149</f>
        <v>0</v>
      </c>
      <c r="N146" s="257"/>
      <c r="O146" s="292"/>
      <c r="AB146" s="260"/>
      <c r="AC146" s="259"/>
    </row>
    <row r="147" spans="1:29" s="82" customFormat="1" ht="12.75">
      <c r="A147" s="250"/>
      <c r="B147" s="252"/>
      <c r="C147" s="58" t="s">
        <v>32</v>
      </c>
      <c r="D147" s="81"/>
      <c r="F147" s="256">
        <f>+'Cons spec tot e finalizzati'!F150-'Cons spec tot e finalizzati'!G150</f>
        <v>663</v>
      </c>
      <c r="G147" s="256">
        <f>+'Cons spec tot e finalizzati'!H150-'Cons spec tot e finalizzati'!I150</f>
        <v>708</v>
      </c>
      <c r="H147" s="256">
        <f>+'Cons spec tot e finalizzati'!J150-'Cons spec tot e finalizzati'!K150</f>
        <v>727</v>
      </c>
      <c r="I147" s="256">
        <f>+'Cons spec tot e finalizzati'!L150-'Cons spec tot e finalizzati'!M150</f>
        <v>1362.5</v>
      </c>
      <c r="J147" s="256">
        <f>+'Cons spec tot e finalizzati'!N150-'Cons spec tot e finalizzati'!O150</f>
        <v>756</v>
      </c>
      <c r="K147" s="256">
        <f>+'Cons spec tot e finalizzati'!P150-'Cons spec tot e finalizzati'!Q150</f>
        <v>0</v>
      </c>
      <c r="L147" s="256">
        <f>+'Cons spec tot e finalizzati'!R150-'Cons spec tot e finalizzati'!S150</f>
        <v>0</v>
      </c>
      <c r="M147" s="256">
        <f>+'Cons spec tot e finalizzati'!T150-'Cons spec tot e finalizzati'!U150</f>
        <v>0</v>
      </c>
      <c r="N147" s="257"/>
      <c r="O147" s="292"/>
      <c r="AB147" s="260"/>
      <c r="AC147" s="263"/>
    </row>
    <row r="148" spans="1:29" s="82" customFormat="1" ht="12.75">
      <c r="A148" s="250"/>
      <c r="B148" s="58"/>
      <c r="C148" s="58" t="s">
        <v>74</v>
      </c>
      <c r="D148" s="81"/>
      <c r="F148" s="256">
        <f>+'Cons spec tot e finalizzati'!F151-'Cons spec tot e finalizzati'!G151</f>
        <v>21</v>
      </c>
      <c r="G148" s="256">
        <f>+'Cons spec tot e finalizzati'!H151-'Cons spec tot e finalizzati'!I151</f>
        <v>0</v>
      </c>
      <c r="H148" s="256">
        <f>+'Cons spec tot e finalizzati'!J151-'Cons spec tot e finalizzati'!K151</f>
        <v>265</v>
      </c>
      <c r="I148" s="256">
        <f>+'Cons spec tot e finalizzati'!L151-'Cons spec tot e finalizzati'!M151</f>
        <v>0</v>
      </c>
      <c r="J148" s="256">
        <f>+'Cons spec tot e finalizzati'!N151-'Cons spec tot e finalizzati'!O151</f>
        <v>0</v>
      </c>
      <c r="K148" s="256">
        <f>+'Cons spec tot e finalizzati'!P151-'Cons spec tot e finalizzati'!Q151</f>
        <v>0</v>
      </c>
      <c r="L148" s="256">
        <f>+'Cons spec tot e finalizzati'!R151-'Cons spec tot e finalizzati'!S151</f>
        <v>0</v>
      </c>
      <c r="M148" s="256">
        <f>+'Cons spec tot e finalizzati'!T151-'Cons spec tot e finalizzati'!U151</f>
        <v>0</v>
      </c>
      <c r="N148" s="257"/>
      <c r="O148" s="292"/>
      <c r="AB148" s="260"/>
      <c r="AC148" s="263"/>
    </row>
    <row r="149" spans="1:29" s="3" customFormat="1" ht="12.75">
      <c r="A149" s="68"/>
      <c r="B149" s="78" t="s">
        <v>212</v>
      </c>
      <c r="C149" s="55"/>
      <c r="D149" s="69"/>
      <c r="F149" s="169">
        <f>+'Cons spec tot e finalizzati'!F152-'Cons spec tot e finalizzati'!G152</f>
        <v>47</v>
      </c>
      <c r="G149" s="169">
        <f>+'Cons spec tot e finalizzati'!H152-'Cons spec tot e finalizzati'!I152</f>
        <v>568</v>
      </c>
      <c r="H149" s="169">
        <f>+'Cons spec tot e finalizzati'!J152-'Cons spec tot e finalizzati'!K152</f>
        <v>553</v>
      </c>
      <c r="I149" s="169">
        <f>+'Cons spec tot e finalizzati'!L152-'Cons spec tot e finalizzati'!M152</f>
        <v>963</v>
      </c>
      <c r="J149" s="169">
        <f>+'Cons spec tot e finalizzati'!N152-'Cons spec tot e finalizzati'!O152</f>
        <v>974</v>
      </c>
      <c r="K149" s="169">
        <f>+'Cons spec tot e finalizzati'!P152-'Cons spec tot e finalizzati'!Q152</f>
        <v>64</v>
      </c>
      <c r="L149" s="169">
        <f>+'Cons spec tot e finalizzati'!R152-'Cons spec tot e finalizzati'!S152</f>
        <v>34</v>
      </c>
      <c r="M149" s="169">
        <f>+'Cons spec tot e finalizzati'!T152-'Cons spec tot e finalizzati'!U152</f>
        <v>168</v>
      </c>
      <c r="N149" s="171"/>
      <c r="O149" s="292"/>
      <c r="AB149" s="83"/>
      <c r="AC149" s="84"/>
    </row>
    <row r="150" spans="1:29" s="3" customFormat="1" ht="12.75">
      <c r="A150" s="68"/>
      <c r="B150" s="78" t="s">
        <v>184</v>
      </c>
      <c r="C150" s="55"/>
      <c r="D150" s="69"/>
      <c r="F150" s="169">
        <f>SUM(F151:F152)</f>
        <v>4442</v>
      </c>
      <c r="G150" s="169">
        <f aca="true" t="shared" si="20" ref="G150:L150">SUM(G151:G152)</f>
        <v>5590</v>
      </c>
      <c r="H150" s="169">
        <f t="shared" si="20"/>
        <v>5299</v>
      </c>
      <c r="I150" s="169">
        <f t="shared" si="20"/>
        <v>4663</v>
      </c>
      <c r="J150" s="169">
        <f t="shared" si="20"/>
        <v>4467</v>
      </c>
      <c r="K150" s="169">
        <f t="shared" si="20"/>
        <v>5963</v>
      </c>
      <c r="L150" s="169">
        <f t="shared" si="20"/>
        <v>5183</v>
      </c>
      <c r="M150" s="169">
        <f>SUM(M151:M152)</f>
        <v>5466</v>
      </c>
      <c r="N150" s="171"/>
      <c r="O150" s="292"/>
      <c r="AB150" s="83"/>
      <c r="AC150" s="84"/>
    </row>
    <row r="151" spans="1:29" s="3" customFormat="1" ht="12.75">
      <c r="A151" s="68"/>
      <c r="B151" s="56"/>
      <c r="C151" s="18" t="s">
        <v>139</v>
      </c>
      <c r="D151" s="69"/>
      <c r="F151" s="41">
        <f>+'Cons spec tot e finalizzati'!F154-'Cons spec tot e finalizzati'!G154</f>
        <v>819</v>
      </c>
      <c r="G151" s="41">
        <f>+'Cons spec tot e finalizzati'!H154-'Cons spec tot e finalizzati'!I154</f>
        <v>948</v>
      </c>
      <c r="H151" s="41">
        <f>+'Cons spec tot e finalizzati'!J154-'Cons spec tot e finalizzati'!K154</f>
        <v>940</v>
      </c>
      <c r="I151" s="41">
        <f>+'Cons spec tot e finalizzati'!L154-'Cons spec tot e finalizzati'!M154</f>
        <v>965</v>
      </c>
      <c r="J151" s="41">
        <f>+'Cons spec tot e finalizzati'!N154-'Cons spec tot e finalizzati'!O154</f>
        <v>498</v>
      </c>
      <c r="K151" s="41">
        <f>+'Cons spec tot e finalizzati'!P154-'Cons spec tot e finalizzati'!Q154</f>
        <v>962</v>
      </c>
      <c r="L151" s="41">
        <f>+'Cons spec tot e finalizzati'!R154-'Cons spec tot e finalizzati'!S154</f>
        <v>973</v>
      </c>
      <c r="M151" s="41">
        <f>+'Cons spec tot e finalizzati'!T154-'Cons spec tot e finalizzati'!U154</f>
        <v>1137</v>
      </c>
      <c r="N151" s="171"/>
      <c r="O151" s="292"/>
      <c r="AB151" s="76"/>
      <c r="AC151" s="106"/>
    </row>
    <row r="152" spans="1:29" s="3" customFormat="1" ht="12.75">
      <c r="A152" s="95"/>
      <c r="B152" s="96"/>
      <c r="C152" s="32" t="s">
        <v>17</v>
      </c>
      <c r="D152" s="97"/>
      <c r="E152" s="115"/>
      <c r="F152" s="42">
        <f>+'Cons spec tot e finalizzati'!F155-'Cons spec tot e finalizzati'!G155</f>
        <v>3623</v>
      </c>
      <c r="G152" s="42">
        <f>+'Cons spec tot e finalizzati'!H155-'Cons spec tot e finalizzati'!I155</f>
        <v>4642</v>
      </c>
      <c r="H152" s="42">
        <f>+'Cons spec tot e finalizzati'!J155-'Cons spec tot e finalizzati'!K155</f>
        <v>4359</v>
      </c>
      <c r="I152" s="42">
        <f>+'Cons spec tot e finalizzati'!L155-'Cons spec tot e finalizzati'!M155</f>
        <v>3698</v>
      </c>
      <c r="J152" s="42">
        <f>+'Cons spec tot e finalizzati'!N155-'Cons spec tot e finalizzati'!O155</f>
        <v>3969</v>
      </c>
      <c r="K152" s="42">
        <f>+'Cons spec tot e finalizzati'!P155-'Cons spec tot e finalizzati'!Q155</f>
        <v>5001</v>
      </c>
      <c r="L152" s="42">
        <f>+'Cons spec tot e finalizzati'!R155-'Cons spec tot e finalizzati'!S155</f>
        <v>4210</v>
      </c>
      <c r="M152" s="42">
        <f>+'Cons spec tot e finalizzati'!T155-'Cons spec tot e finalizzati'!U155</f>
        <v>4329</v>
      </c>
      <c r="N152" s="171"/>
      <c r="O152" s="292"/>
      <c r="AB152" s="112"/>
      <c r="AC152" s="114"/>
    </row>
    <row r="153" spans="1:29" s="3" customFormat="1" ht="12.75">
      <c r="A153" s="164" t="s">
        <v>100</v>
      </c>
      <c r="B153" s="159"/>
      <c r="C153" s="159"/>
      <c r="D153" s="160"/>
      <c r="F153" s="163">
        <f aca="true" t="shared" si="21" ref="F153:L153">+F154+F157+F160</f>
        <v>1141</v>
      </c>
      <c r="G153" s="163">
        <f t="shared" si="21"/>
        <v>1106</v>
      </c>
      <c r="H153" s="163">
        <f t="shared" si="21"/>
        <v>1402</v>
      </c>
      <c r="I153" s="163">
        <f t="shared" si="21"/>
        <v>1380</v>
      </c>
      <c r="J153" s="163">
        <f t="shared" si="21"/>
        <v>1451.769603412747</v>
      </c>
      <c r="K153" s="163">
        <f t="shared" si="21"/>
        <v>1411</v>
      </c>
      <c r="L153" s="163">
        <f t="shared" si="21"/>
        <v>1195</v>
      </c>
      <c r="M153" s="163">
        <f>+M154+M157+M160</f>
        <v>965</v>
      </c>
      <c r="N153" s="171"/>
      <c r="O153" s="292"/>
      <c r="AB153" s="112"/>
      <c r="AC153" s="114"/>
    </row>
    <row r="154" spans="1:29" s="3" customFormat="1" ht="12.75">
      <c r="A154" s="68"/>
      <c r="B154" s="78" t="s">
        <v>185</v>
      </c>
      <c r="C154" s="55"/>
      <c r="D154" s="69"/>
      <c r="F154" s="169">
        <f aca="true" t="shared" si="22" ref="F154:L154">SUM(F155:F156)</f>
        <v>790</v>
      </c>
      <c r="G154" s="169">
        <f t="shared" si="22"/>
        <v>891</v>
      </c>
      <c r="H154" s="169">
        <f t="shared" si="22"/>
        <v>1127</v>
      </c>
      <c r="I154" s="169">
        <f t="shared" si="22"/>
        <v>1095</v>
      </c>
      <c r="J154" s="169">
        <f t="shared" si="22"/>
        <v>1253.769603412747</v>
      </c>
      <c r="K154" s="169">
        <f t="shared" si="22"/>
        <v>742</v>
      </c>
      <c r="L154" s="169">
        <f t="shared" si="22"/>
        <v>592</v>
      </c>
      <c r="M154" s="169">
        <f>SUM(M155:M156)</f>
        <v>475</v>
      </c>
      <c r="N154" s="171"/>
      <c r="O154" s="292"/>
      <c r="AB154" s="112"/>
      <c r="AC154" s="114"/>
    </row>
    <row r="155" spans="1:29" s="3" customFormat="1" ht="12.75">
      <c r="A155" s="17"/>
      <c r="B155" s="18"/>
      <c r="C155" s="18" t="s">
        <v>9</v>
      </c>
      <c r="D155" s="34"/>
      <c r="F155" s="41">
        <f>+'Cons spec tot e finalizzati'!F158-'Cons spec tot e finalizzati'!G158</f>
        <v>790</v>
      </c>
      <c r="G155" s="41">
        <f>+'Cons spec tot e finalizzati'!H158-'Cons spec tot e finalizzati'!I158</f>
        <v>891</v>
      </c>
      <c r="H155" s="41">
        <f>+'Cons spec tot e finalizzati'!J158-'Cons spec tot e finalizzati'!K158</f>
        <v>1127</v>
      </c>
      <c r="I155" s="41">
        <f>+'Cons spec tot e finalizzati'!L158-'Cons spec tot e finalizzati'!M158</f>
        <v>604</v>
      </c>
      <c r="J155" s="41">
        <f>+'Cons spec tot e finalizzati'!N158-'Cons spec tot e finalizzati'!O158</f>
        <v>559</v>
      </c>
      <c r="K155" s="41">
        <f>+'Cons spec tot e finalizzati'!P158-'Cons spec tot e finalizzati'!Q158</f>
        <v>33</v>
      </c>
      <c r="L155" s="41">
        <f>+'Cons spec tot e finalizzati'!R158-'Cons spec tot e finalizzati'!S158</f>
        <v>5</v>
      </c>
      <c r="M155" s="41">
        <f>+'Cons spec tot e finalizzati'!T158-'Cons spec tot e finalizzati'!U158</f>
        <v>36</v>
      </c>
      <c r="N155" s="171"/>
      <c r="O155" s="292"/>
      <c r="AB155" s="112"/>
      <c r="AC155" s="114"/>
    </row>
    <row r="156" spans="1:29" s="3" customFormat="1" ht="12.75">
      <c r="A156" s="17"/>
      <c r="B156" s="10"/>
      <c r="C156" s="18" t="s">
        <v>150</v>
      </c>
      <c r="D156" s="34"/>
      <c r="F156" s="41">
        <f>+'Cons spec tot e finalizzati'!F159-'Cons spec tot e finalizzati'!G159</f>
        <v>0</v>
      </c>
      <c r="G156" s="41">
        <f>+'Cons spec tot e finalizzati'!H159-'Cons spec tot e finalizzati'!I159</f>
        <v>0</v>
      </c>
      <c r="H156" s="41">
        <f>+'Cons spec tot e finalizzati'!J159-'Cons spec tot e finalizzati'!K159</f>
        <v>0</v>
      </c>
      <c r="I156" s="41">
        <f>+'Cons spec tot e finalizzati'!L159-'Cons spec tot e finalizzati'!M159</f>
        <v>491</v>
      </c>
      <c r="J156" s="41">
        <f>+'Cons spec tot e finalizzati'!N159-'Cons spec tot e finalizzati'!O159</f>
        <v>694.7696034127472</v>
      </c>
      <c r="K156" s="41">
        <f>+'Cons spec tot e finalizzati'!P159-'Cons spec tot e finalizzati'!Q159</f>
        <v>709</v>
      </c>
      <c r="L156" s="41">
        <f>+'Cons spec tot e finalizzati'!R159-'Cons spec tot e finalizzati'!S159</f>
        <v>587</v>
      </c>
      <c r="M156" s="41">
        <f>+'Cons spec tot e finalizzati'!T159-'Cons spec tot e finalizzati'!U159</f>
        <v>439</v>
      </c>
      <c r="N156" s="171"/>
      <c r="O156" s="292"/>
      <c r="AB156" s="112"/>
      <c r="AC156" s="114"/>
    </row>
    <row r="157" spans="1:29" s="3" customFormat="1" ht="12.75">
      <c r="A157" s="17"/>
      <c r="B157" s="22" t="s">
        <v>187</v>
      </c>
      <c r="C157" s="10"/>
      <c r="D157" s="34"/>
      <c r="F157" s="148">
        <f aca="true" t="shared" si="23" ref="F157:L157">SUM(F158:F159)</f>
        <v>0</v>
      </c>
      <c r="G157" s="148">
        <f t="shared" si="23"/>
        <v>0</v>
      </c>
      <c r="H157" s="148">
        <f t="shared" si="23"/>
        <v>0</v>
      </c>
      <c r="I157" s="148">
        <f t="shared" si="23"/>
        <v>0</v>
      </c>
      <c r="J157" s="148">
        <f>+'Cons spec tot e finalizzati'!N160-'Cons spec tot e finalizzati'!O160</f>
        <v>0</v>
      </c>
      <c r="K157" s="148">
        <f t="shared" si="23"/>
        <v>212</v>
      </c>
      <c r="L157" s="148">
        <f t="shared" si="23"/>
        <v>85</v>
      </c>
      <c r="M157" s="148">
        <f>SUM(M158:M159)</f>
        <v>43</v>
      </c>
      <c r="N157" s="171"/>
      <c r="O157" s="292"/>
      <c r="AB157" s="112"/>
      <c r="AC157" s="114"/>
    </row>
    <row r="158" spans="1:29" s="3" customFormat="1" ht="12.75">
      <c r="A158" s="17"/>
      <c r="B158" s="22"/>
      <c r="C158" s="56" t="s">
        <v>9</v>
      </c>
      <c r="D158" s="34"/>
      <c r="F158" s="41">
        <f>+'Cons spec tot e finalizzati'!F161-'Cons spec tot e finalizzati'!G161</f>
        <v>0</v>
      </c>
      <c r="G158" s="41">
        <f>+'Cons spec tot e finalizzati'!H161-'Cons spec tot e finalizzati'!I161</f>
        <v>0</v>
      </c>
      <c r="H158" s="41">
        <f>+'Cons spec tot e finalizzati'!J161-'Cons spec tot e finalizzati'!K161</f>
        <v>0</v>
      </c>
      <c r="I158" s="41">
        <f>+'Cons spec tot e finalizzati'!L161-'Cons spec tot e finalizzati'!M161</f>
        <v>0</v>
      </c>
      <c r="J158" s="41">
        <f>+'Cons spec tot e finalizzati'!N161-'Cons spec tot e finalizzati'!O161</f>
        <v>0</v>
      </c>
      <c r="K158" s="41">
        <f>+'Cons spec tot e finalizzati'!P161-'Cons spec tot e finalizzati'!Q161</f>
        <v>190</v>
      </c>
      <c r="L158" s="41">
        <f>+'Cons spec tot e finalizzati'!R161-'Cons spec tot e finalizzati'!S161</f>
        <v>80</v>
      </c>
      <c r="M158" s="41">
        <f>+'Cons spec tot e finalizzati'!T161-'Cons spec tot e finalizzati'!U161</f>
        <v>41</v>
      </c>
      <c r="N158" s="171"/>
      <c r="O158" s="292"/>
      <c r="AB158" s="112"/>
      <c r="AC158" s="114"/>
    </row>
    <row r="159" spans="1:29" s="3" customFormat="1" ht="12.75">
      <c r="A159" s="17"/>
      <c r="B159" s="22"/>
      <c r="C159" s="56" t="s">
        <v>152</v>
      </c>
      <c r="D159" s="34"/>
      <c r="F159" s="41">
        <f>+'Cons spec tot e finalizzati'!F162-'Cons spec tot e finalizzati'!G162</f>
        <v>0</v>
      </c>
      <c r="G159" s="41">
        <f>+'Cons spec tot e finalizzati'!H162-'Cons spec tot e finalizzati'!I162</f>
        <v>0</v>
      </c>
      <c r="H159" s="41">
        <f>+'Cons spec tot e finalizzati'!J162-'Cons spec tot e finalizzati'!K162</f>
        <v>0</v>
      </c>
      <c r="I159" s="41">
        <f>+'Cons spec tot e finalizzati'!L162-'Cons spec tot e finalizzati'!M162</f>
        <v>0</v>
      </c>
      <c r="J159" s="41">
        <f>+'Cons spec tot e finalizzati'!N162-'Cons spec tot e finalizzati'!O162</f>
        <v>0</v>
      </c>
      <c r="K159" s="41">
        <f>+'Cons spec tot e finalizzati'!P162-'Cons spec tot e finalizzati'!Q162</f>
        <v>22</v>
      </c>
      <c r="L159" s="41">
        <f>+'Cons spec tot e finalizzati'!R162-'Cons spec tot e finalizzati'!S162</f>
        <v>5</v>
      </c>
      <c r="M159" s="41">
        <f>+'Cons spec tot e finalizzati'!T162-'Cons spec tot e finalizzati'!U162</f>
        <v>2</v>
      </c>
      <c r="N159" s="171"/>
      <c r="O159" s="292"/>
      <c r="AB159" s="112"/>
      <c r="AC159" s="114"/>
    </row>
    <row r="160" spans="1:44" s="3" customFormat="1" ht="12.75">
      <c r="A160" s="17"/>
      <c r="B160" s="22" t="s">
        <v>186</v>
      </c>
      <c r="C160" s="10"/>
      <c r="D160" s="34"/>
      <c r="E160"/>
      <c r="F160" s="197">
        <f>SUM(F161:F164)</f>
        <v>351</v>
      </c>
      <c r="G160" s="197">
        <f aca="true" t="shared" si="24" ref="G160:L160">SUM(G161:G164)</f>
        <v>215</v>
      </c>
      <c r="H160" s="197">
        <f t="shared" si="24"/>
        <v>275</v>
      </c>
      <c r="I160" s="197">
        <f t="shared" si="24"/>
        <v>285</v>
      </c>
      <c r="J160" s="197">
        <f t="shared" si="24"/>
        <v>198</v>
      </c>
      <c r="K160" s="197">
        <f t="shared" si="24"/>
        <v>457</v>
      </c>
      <c r="L160" s="197">
        <f t="shared" si="24"/>
        <v>518</v>
      </c>
      <c r="M160" s="197">
        <f>SUM(M161:M164)</f>
        <v>447</v>
      </c>
      <c r="N160" s="197"/>
      <c r="O160" s="292"/>
      <c r="P160" s="197"/>
      <c r="Q160" s="255"/>
      <c r="R160" s="197"/>
      <c r="S160" s="209"/>
      <c r="T160" s="176"/>
      <c r="U160" s="176"/>
      <c r="V160" s="176"/>
      <c r="W160" s="176"/>
      <c r="X160" s="176"/>
      <c r="Y160" s="176"/>
      <c r="Z160" s="176"/>
      <c r="AA160" s="176"/>
      <c r="AB160" s="176"/>
      <c r="AC160" s="176"/>
      <c r="AD160" s="176"/>
      <c r="AE160" s="176"/>
      <c r="AF160" s="176"/>
      <c r="AG160" s="176"/>
      <c r="AH160" s="176"/>
      <c r="AI160" s="176"/>
      <c r="AJ160" s="176"/>
      <c r="AK160" s="176"/>
      <c r="AL160" s="176"/>
      <c r="AM160" s="176"/>
      <c r="AN160" s="176"/>
      <c r="AO160" s="176"/>
      <c r="AP160" s="176"/>
      <c r="AQ160" s="176"/>
      <c r="AR160" s="176"/>
    </row>
    <row r="161" spans="1:29" s="3" customFormat="1" ht="13.5" customHeight="1">
      <c r="A161" s="17"/>
      <c r="B161" s="22"/>
      <c r="C161" s="56" t="s">
        <v>9</v>
      </c>
      <c r="D161" s="34"/>
      <c r="F161" s="41">
        <f>+'Cons spec tot e finalizzati'!F164-'Cons spec tot e finalizzati'!G164</f>
        <v>0</v>
      </c>
      <c r="G161" s="41">
        <f>+'Cons spec tot e finalizzati'!H164-'Cons spec tot e finalizzati'!I164</f>
        <v>0</v>
      </c>
      <c r="H161" s="41">
        <f>+'Cons spec tot e finalizzati'!J164-'Cons spec tot e finalizzati'!K164</f>
        <v>0</v>
      </c>
      <c r="I161" s="41">
        <f>+'Cons spec tot e finalizzati'!L164-'Cons spec tot e finalizzati'!M164</f>
        <v>0</v>
      </c>
      <c r="J161" s="41">
        <f>+'Cons spec tot e finalizzati'!N164-'Cons spec tot e finalizzati'!O164</f>
        <v>0</v>
      </c>
      <c r="K161" s="41">
        <f>+'Cons spec tot e finalizzati'!P164-'Cons spec tot e finalizzati'!Q164</f>
        <v>115</v>
      </c>
      <c r="L161" s="41">
        <f>+'Cons spec tot e finalizzati'!R164-'Cons spec tot e finalizzati'!S164</f>
        <v>158</v>
      </c>
      <c r="M161" s="41">
        <f>+'Cons spec tot e finalizzati'!T164-'Cons spec tot e finalizzati'!U164</f>
        <v>163</v>
      </c>
      <c r="N161" s="171"/>
      <c r="O161" s="292"/>
      <c r="AB161" s="112"/>
      <c r="AC161" s="114"/>
    </row>
    <row r="162" spans="1:29" s="3" customFormat="1" ht="13.5" customHeight="1">
      <c r="A162" s="17"/>
      <c r="B162" s="22"/>
      <c r="C162" s="56" t="s">
        <v>40</v>
      </c>
      <c r="D162" s="34"/>
      <c r="F162" s="41">
        <f>+'Cons spec tot e finalizzati'!F165-'Cons spec tot e finalizzati'!G165</f>
        <v>193</v>
      </c>
      <c r="G162" s="41">
        <f>+'Cons spec tot e finalizzati'!H165-'Cons spec tot e finalizzati'!I165</f>
        <v>187</v>
      </c>
      <c r="H162" s="41">
        <f>+'Cons spec tot e finalizzati'!J165-'Cons spec tot e finalizzati'!K165</f>
        <v>262</v>
      </c>
      <c r="I162" s="41">
        <f>+'Cons spec tot e finalizzati'!L165-'Cons spec tot e finalizzati'!M165</f>
        <v>275</v>
      </c>
      <c r="J162" s="41">
        <f>+'Cons spec tot e finalizzati'!N165-'Cons spec tot e finalizzati'!O165</f>
        <v>187</v>
      </c>
      <c r="K162" s="41">
        <f>+'Cons spec tot e finalizzati'!P165-'Cons spec tot e finalizzati'!Q165</f>
        <v>233</v>
      </c>
      <c r="L162" s="41">
        <f>+'Cons spec tot e finalizzati'!R165-'Cons spec tot e finalizzati'!S165</f>
        <v>185</v>
      </c>
      <c r="M162" s="41">
        <f>+'Cons spec tot e finalizzati'!T165-'Cons spec tot e finalizzati'!U165</f>
        <v>145</v>
      </c>
      <c r="N162" s="171"/>
      <c r="O162" s="292"/>
      <c r="AB162" s="112"/>
      <c r="AC162" s="114"/>
    </row>
    <row r="163" spans="1:29" s="3" customFormat="1" ht="13.5" customHeight="1">
      <c r="A163" s="17"/>
      <c r="B163" s="22"/>
      <c r="C163" s="56" t="s">
        <v>41</v>
      </c>
      <c r="D163" s="34"/>
      <c r="F163" s="41">
        <f>+'Cons spec tot e finalizzati'!F166-'Cons spec tot e finalizzati'!G166</f>
        <v>10</v>
      </c>
      <c r="G163" s="41">
        <f>+'Cons spec tot e finalizzati'!H166-'Cons spec tot e finalizzati'!I166</f>
        <v>11</v>
      </c>
      <c r="H163" s="41">
        <f>+'Cons spec tot e finalizzati'!J166-'Cons spec tot e finalizzati'!K166</f>
        <v>13</v>
      </c>
      <c r="I163" s="41">
        <f>+'Cons spec tot e finalizzati'!L166-'Cons spec tot e finalizzati'!M166</f>
        <v>10</v>
      </c>
      <c r="J163" s="41">
        <f>+'Cons spec tot e finalizzati'!N166-'Cons spec tot e finalizzati'!O166</f>
        <v>11</v>
      </c>
      <c r="K163" s="41">
        <f>+'Cons spec tot e finalizzati'!P166-'Cons spec tot e finalizzati'!Q166</f>
        <v>7</v>
      </c>
      <c r="L163" s="41">
        <f>+'Cons spec tot e finalizzati'!R166-'Cons spec tot e finalizzati'!S166</f>
        <v>7</v>
      </c>
      <c r="M163" s="41">
        <f>+'Cons spec tot e finalizzati'!T166-'Cons spec tot e finalizzati'!U166</f>
        <v>8</v>
      </c>
      <c r="N163" s="171"/>
      <c r="O163" s="292"/>
      <c r="AB163" s="112"/>
      <c r="AC163" s="114"/>
    </row>
    <row r="164" spans="1:29" s="3" customFormat="1" ht="13.5" customHeight="1">
      <c r="A164" s="17"/>
      <c r="B164" s="22"/>
      <c r="C164" s="56" t="s">
        <v>151</v>
      </c>
      <c r="D164" s="34"/>
      <c r="F164" s="42">
        <f>+'Cons spec tot e finalizzati'!F167-'Cons spec tot e finalizzati'!G167</f>
        <v>148</v>
      </c>
      <c r="G164" s="42">
        <f>+'Cons spec tot e finalizzati'!H167-'Cons spec tot e finalizzati'!I167</f>
        <v>17</v>
      </c>
      <c r="H164" s="42">
        <f>+'Cons spec tot e finalizzati'!J167-'Cons spec tot e finalizzati'!K167</f>
        <v>0</v>
      </c>
      <c r="I164" s="42">
        <f>+'Cons spec tot e finalizzati'!L167-'Cons spec tot e finalizzati'!M167</f>
        <v>0</v>
      </c>
      <c r="J164" s="42">
        <f>+'Cons spec tot e finalizzati'!N167-'Cons spec tot e finalizzati'!O167</f>
        <v>0</v>
      </c>
      <c r="K164" s="42">
        <f>+'Cons spec tot e finalizzati'!P167-'Cons spec tot e finalizzati'!Q167</f>
        <v>102</v>
      </c>
      <c r="L164" s="42">
        <f>+'Cons spec tot e finalizzati'!R167-'Cons spec tot e finalizzati'!S167</f>
        <v>168</v>
      </c>
      <c r="M164" s="42">
        <f>+'Cons spec tot e finalizzati'!T167-'Cons spec tot e finalizzati'!U167</f>
        <v>131</v>
      </c>
      <c r="N164" s="171"/>
      <c r="O164" s="292"/>
      <c r="AB164" s="112"/>
      <c r="AC164" s="114"/>
    </row>
    <row r="165" spans="1:29" s="3" customFormat="1" ht="13.5" customHeight="1">
      <c r="A165" s="44" t="s">
        <v>173</v>
      </c>
      <c r="B165" s="50"/>
      <c r="C165" s="45"/>
      <c r="D165" s="46"/>
      <c r="F165" s="54">
        <f>SUM(F166:F171)</f>
        <v>1855</v>
      </c>
      <c r="G165" s="54">
        <f>SUM(G166:G171)</f>
        <v>2306</v>
      </c>
      <c r="H165" s="54">
        <f>SUM(H166:H171)</f>
        <v>2536</v>
      </c>
      <c r="I165" s="54">
        <f>SUM(I166:I171)-1</f>
        <v>3344</v>
      </c>
      <c r="J165" s="54">
        <f>SUM(J166:J171)</f>
        <v>3101</v>
      </c>
      <c r="K165" s="54">
        <f>SUM(K166:K171)</f>
        <v>3006</v>
      </c>
      <c r="L165" s="54">
        <f>SUM(L166:L171)</f>
        <v>4384</v>
      </c>
      <c r="M165" s="54">
        <f>SUM(M166:M171)</f>
        <v>6668</v>
      </c>
      <c r="N165" s="171"/>
      <c r="O165" s="292"/>
      <c r="AB165" s="112"/>
      <c r="AC165" s="113"/>
    </row>
    <row r="166" spans="1:29" s="3" customFormat="1" ht="12.75">
      <c r="A166" s="131"/>
      <c r="B166" s="18" t="s">
        <v>33</v>
      </c>
      <c r="C166" s="19"/>
      <c r="D166" s="20"/>
      <c r="F166" s="41">
        <f>+'Cons spec tot e finalizzati'!F169-'Cons spec tot e finalizzati'!G169</f>
        <v>529</v>
      </c>
      <c r="G166" s="41">
        <f>+'Cons spec tot e finalizzati'!H169-'Cons spec tot e finalizzati'!I169</f>
        <v>969</v>
      </c>
      <c r="H166" s="41">
        <f>+'Cons spec tot e finalizzati'!J169-'Cons spec tot e finalizzati'!K169</f>
        <v>754</v>
      </c>
      <c r="I166" s="41">
        <f>+'Cons spec tot e finalizzati'!L169-'Cons spec tot e finalizzati'!M169</f>
        <v>711</v>
      </c>
      <c r="J166" s="41">
        <f>+'Cons spec tot e finalizzati'!N169-'Cons spec tot e finalizzati'!O169</f>
        <v>1413</v>
      </c>
      <c r="K166" s="41">
        <f>+'Cons spec tot e finalizzati'!P169-'Cons spec tot e finalizzati'!Q169</f>
        <v>1010</v>
      </c>
      <c r="L166" s="41">
        <f>+'Cons spec tot e finalizzati'!R169-'Cons spec tot e finalizzati'!S169</f>
        <v>1281</v>
      </c>
      <c r="M166" s="41">
        <f>+'Cons spec tot e finalizzati'!T169-'Cons spec tot e finalizzati'!U169</f>
        <v>1251</v>
      </c>
      <c r="N166" s="171"/>
      <c r="O166" s="292"/>
      <c r="AB166" s="112"/>
      <c r="AC166" s="114"/>
    </row>
    <row r="167" spans="1:29" s="3" customFormat="1" ht="12.75">
      <c r="A167" s="131"/>
      <c r="B167" s="18" t="s">
        <v>5</v>
      </c>
      <c r="C167" s="19"/>
      <c r="D167" s="20"/>
      <c r="F167" s="41">
        <f>+'Cons spec tot e finalizzati'!F170-'Cons spec tot e finalizzati'!G170</f>
        <v>98</v>
      </c>
      <c r="G167" s="41">
        <f>+'Cons spec tot e finalizzati'!H170-'Cons spec tot e finalizzati'!I170</f>
        <v>98</v>
      </c>
      <c r="H167" s="41">
        <f>+'Cons spec tot e finalizzati'!J170-'Cons spec tot e finalizzati'!K170</f>
        <v>160</v>
      </c>
      <c r="I167" s="41">
        <f>+'Cons spec tot e finalizzati'!L170-'Cons spec tot e finalizzati'!M170</f>
        <v>124</v>
      </c>
      <c r="J167" s="41">
        <f>+'Cons spec tot e finalizzati'!N170-'Cons spec tot e finalizzati'!O170</f>
        <v>115</v>
      </c>
      <c r="K167" s="41">
        <f>+'Cons spec tot e finalizzati'!P170-'Cons spec tot e finalizzati'!Q170</f>
        <v>92</v>
      </c>
      <c r="L167" s="41">
        <f>+'Cons spec tot e finalizzati'!R170-'Cons spec tot e finalizzati'!S170</f>
        <v>87</v>
      </c>
      <c r="M167" s="41">
        <f>+'Cons spec tot e finalizzati'!T170-'Cons spec tot e finalizzati'!U170</f>
        <v>90</v>
      </c>
      <c r="N167" s="171"/>
      <c r="O167" s="292"/>
      <c r="AB167" s="112"/>
      <c r="AC167" s="114"/>
    </row>
    <row r="168" spans="1:29" s="3" customFormat="1" ht="12.75">
      <c r="A168" s="27"/>
      <c r="B168" s="18" t="s">
        <v>34</v>
      </c>
      <c r="C168" s="19"/>
      <c r="D168" s="20"/>
      <c r="F168" s="41">
        <f>+'Cons spec tot e finalizzati'!F171-'Cons spec tot e finalizzati'!G171</f>
        <v>0</v>
      </c>
      <c r="G168" s="41">
        <f>+'Cons spec tot e finalizzati'!H171-'Cons spec tot e finalizzati'!I171</f>
        <v>0</v>
      </c>
      <c r="H168" s="41">
        <f>+'Cons spec tot e finalizzati'!J171-'Cons spec tot e finalizzati'!K171</f>
        <v>0</v>
      </c>
      <c r="I168" s="41">
        <f>+'Cons spec tot e finalizzati'!L171-'Cons spec tot e finalizzati'!M171</f>
        <v>0</v>
      </c>
      <c r="J168" s="41">
        <f>+'Cons spec tot e finalizzati'!N171-'Cons spec tot e finalizzati'!O171</f>
        <v>0</v>
      </c>
      <c r="K168" s="41">
        <f>+'Cons spec tot e finalizzati'!P171-'Cons spec tot e finalizzati'!Q171</f>
        <v>0</v>
      </c>
      <c r="L168" s="41">
        <f>+'Cons spec tot e finalizzati'!R171-'Cons spec tot e finalizzati'!S171</f>
        <v>0</v>
      </c>
      <c r="M168" s="41">
        <f>+'Cons spec tot e finalizzati'!T171-'Cons spec tot e finalizzati'!U171</f>
        <v>0</v>
      </c>
      <c r="N168" s="171"/>
      <c r="O168" s="292"/>
      <c r="AB168" s="112"/>
      <c r="AC168" s="114"/>
    </row>
    <row r="169" spans="1:29" s="3" customFormat="1" ht="12.75">
      <c r="A169" s="27"/>
      <c r="B169" s="18" t="s">
        <v>157</v>
      </c>
      <c r="C169" s="19"/>
      <c r="D169" s="20"/>
      <c r="F169" s="41">
        <f>+'Cons spec tot e finalizzati'!F172-'Cons spec tot e finalizzati'!G172</f>
        <v>0</v>
      </c>
      <c r="G169" s="41">
        <f>+'Cons spec tot e finalizzati'!H172-'Cons spec tot e finalizzati'!I172</f>
        <v>0</v>
      </c>
      <c r="H169" s="41">
        <f>+'Cons spec tot e finalizzati'!J172-'Cons spec tot e finalizzati'!K172</f>
        <v>0</v>
      </c>
      <c r="I169" s="41">
        <f>+'Cons spec tot e finalizzati'!L172-'Cons spec tot e finalizzati'!M172</f>
        <v>0</v>
      </c>
      <c r="J169" s="41">
        <f>+'Cons spec tot e finalizzati'!N172-'Cons spec tot e finalizzati'!O172</f>
        <v>0</v>
      </c>
      <c r="K169" s="41">
        <f>+'Cons spec tot e finalizzati'!P172-'Cons spec tot e finalizzati'!Q172</f>
        <v>142</v>
      </c>
      <c r="L169" s="41">
        <f>+'Cons spec tot e finalizzati'!R172-'Cons spec tot e finalizzati'!S172</f>
        <v>77</v>
      </c>
      <c r="M169" s="41">
        <f>+'Cons spec tot e finalizzati'!T172-'Cons spec tot e finalizzati'!U172</f>
        <v>120</v>
      </c>
      <c r="N169" s="171"/>
      <c r="O169" s="292"/>
      <c r="AB169" s="112"/>
      <c r="AC169" s="114"/>
    </row>
    <row r="170" spans="1:29" s="3" customFormat="1" ht="12.75">
      <c r="A170" s="27"/>
      <c r="B170" s="56" t="s">
        <v>158</v>
      </c>
      <c r="C170" s="19"/>
      <c r="D170" s="20"/>
      <c r="F170" s="41">
        <f>+'Cons spec tot e finalizzati'!F173-'Cons spec tot e finalizzati'!G173</f>
        <v>0</v>
      </c>
      <c r="G170" s="41">
        <f>+'Cons spec tot e finalizzati'!H173-'Cons spec tot e finalizzati'!I173</f>
        <v>723</v>
      </c>
      <c r="H170" s="41">
        <f>+'Cons spec tot e finalizzati'!J173-'Cons spec tot e finalizzati'!K173</f>
        <v>1163</v>
      </c>
      <c r="I170" s="41">
        <f>+'Cons spec tot e finalizzati'!L173-'Cons spec tot e finalizzati'!M173</f>
        <v>1963</v>
      </c>
      <c r="J170" s="41">
        <f>+'Cons spec tot e finalizzati'!N173-'Cons spec tot e finalizzati'!O173</f>
        <v>659</v>
      </c>
      <c r="K170" s="41">
        <f>+'Cons spec tot e finalizzati'!P173-'Cons spec tot e finalizzati'!Q173</f>
        <v>1085</v>
      </c>
      <c r="L170" s="41">
        <f>+'Cons spec tot e finalizzati'!R173-'Cons spec tot e finalizzati'!S173</f>
        <v>2072</v>
      </c>
      <c r="M170" s="41">
        <f>+'Cons spec tot e finalizzati'!T173-'Cons spec tot e finalizzati'!U173</f>
        <v>4200</v>
      </c>
      <c r="N170" s="171"/>
      <c r="O170" s="292"/>
      <c r="AB170" s="112"/>
      <c r="AC170" s="114"/>
    </row>
    <row r="171" spans="1:29" s="3" customFormat="1" ht="12.75">
      <c r="A171" s="65"/>
      <c r="B171" s="96" t="s">
        <v>159</v>
      </c>
      <c r="C171" s="66"/>
      <c r="D171" s="67"/>
      <c r="E171" s="105"/>
      <c r="F171" s="41">
        <f>+'Cons spec tot e finalizzati'!F174-'Cons spec tot e finalizzati'!G174</f>
        <v>1228</v>
      </c>
      <c r="G171" s="41">
        <f>+'Cons spec tot e finalizzati'!H174-'Cons spec tot e finalizzati'!I174</f>
        <v>516</v>
      </c>
      <c r="H171" s="41">
        <f>+'Cons spec tot e finalizzati'!J174-'Cons spec tot e finalizzati'!K174</f>
        <v>459</v>
      </c>
      <c r="I171" s="41">
        <f>+'Cons spec tot e finalizzati'!L174-'Cons spec tot e finalizzati'!M174</f>
        <v>547</v>
      </c>
      <c r="J171" s="41">
        <f>+'Cons spec tot e finalizzati'!N174-'Cons spec tot e finalizzati'!O174</f>
        <v>914</v>
      </c>
      <c r="K171" s="41">
        <f>+'Cons spec tot e finalizzati'!P174-'Cons spec tot e finalizzati'!Q174</f>
        <v>677</v>
      </c>
      <c r="L171" s="41">
        <f>+'Cons spec tot e finalizzati'!R174-'Cons spec tot e finalizzati'!S174</f>
        <v>867</v>
      </c>
      <c r="M171" s="41">
        <f>+'Cons spec tot e finalizzati'!T174-'Cons spec tot e finalizzati'!U174</f>
        <v>1007</v>
      </c>
      <c r="N171" s="171"/>
      <c r="O171" s="292"/>
      <c r="AB171" s="112"/>
      <c r="AC171" s="114"/>
    </row>
    <row r="172" spans="1:29" s="3" customFormat="1" ht="12.75">
      <c r="A172" s="44" t="s">
        <v>101</v>
      </c>
      <c r="B172" s="45"/>
      <c r="C172" s="45"/>
      <c r="D172" s="46"/>
      <c r="F172" s="47">
        <f aca="true" t="shared" si="25" ref="F172:M172">+F173+F180+F187+F194+F201+F208+F215+F222+F229</f>
        <v>20865</v>
      </c>
      <c r="G172" s="47">
        <f t="shared" si="25"/>
        <v>23377</v>
      </c>
      <c r="H172" s="47">
        <f t="shared" si="25"/>
        <v>25259</v>
      </c>
      <c r="I172" s="47">
        <f t="shared" si="25"/>
        <v>26872.5</v>
      </c>
      <c r="J172" s="47">
        <f t="shared" si="25"/>
        <v>28608.891094733688</v>
      </c>
      <c r="K172" s="47">
        <f t="shared" si="25"/>
        <v>30082</v>
      </c>
      <c r="L172" s="47">
        <f t="shared" si="25"/>
        <v>31730</v>
      </c>
      <c r="M172" s="47">
        <f t="shared" si="25"/>
        <v>31966</v>
      </c>
      <c r="N172" s="171"/>
      <c r="O172" s="292"/>
      <c r="AB172" s="112"/>
      <c r="AC172" s="114"/>
    </row>
    <row r="173" spans="1:29" s="3" customFormat="1" ht="12.75">
      <c r="A173" s="26"/>
      <c r="B173" s="21" t="s">
        <v>42</v>
      </c>
      <c r="C173" s="18"/>
      <c r="D173" s="25"/>
      <c r="F173" s="126">
        <f aca="true" t="shared" si="26" ref="F173:M173">SUM(F174:F179)</f>
        <v>1315</v>
      </c>
      <c r="G173" s="126">
        <f t="shared" si="26"/>
        <v>1477</v>
      </c>
      <c r="H173" s="126">
        <f t="shared" si="26"/>
        <v>1496</v>
      </c>
      <c r="I173" s="126">
        <f t="shared" si="26"/>
        <v>1577</v>
      </c>
      <c r="J173" s="126">
        <f t="shared" si="26"/>
        <v>1656</v>
      </c>
      <c r="K173" s="126">
        <f t="shared" si="26"/>
        <v>1762</v>
      </c>
      <c r="L173" s="126">
        <f t="shared" si="26"/>
        <v>1864</v>
      </c>
      <c r="M173" s="126">
        <f t="shared" si="26"/>
        <v>1893</v>
      </c>
      <c r="N173" s="171"/>
      <c r="O173" s="292"/>
      <c r="AB173" s="112"/>
      <c r="AC173" s="114"/>
    </row>
    <row r="174" spans="1:29" s="3" customFormat="1" ht="12.75">
      <c r="A174" s="26"/>
      <c r="B174" s="18"/>
      <c r="C174" s="18" t="s">
        <v>43</v>
      </c>
      <c r="D174" s="25"/>
      <c r="F174" s="41">
        <f>+'Cons spec tot e finalizzati'!F177-'Cons spec tot e finalizzati'!G177</f>
        <v>50</v>
      </c>
      <c r="G174" s="41">
        <f>+'Cons spec tot e finalizzati'!H177-'Cons spec tot e finalizzati'!I177</f>
        <v>146</v>
      </c>
      <c r="H174" s="41">
        <f>+'Cons spec tot e finalizzati'!J177-'Cons spec tot e finalizzati'!K177</f>
        <v>156</v>
      </c>
      <c r="I174" s="41">
        <f>+'Cons spec tot e finalizzati'!L177-'Cons spec tot e finalizzati'!M177</f>
        <v>245</v>
      </c>
      <c r="J174" s="41">
        <f>+'Cons spec tot e finalizzati'!N177-'Cons spec tot e finalizzati'!O177</f>
        <v>262</v>
      </c>
      <c r="K174" s="41">
        <f>+'Cons spec tot e finalizzati'!P177-'Cons spec tot e finalizzati'!Q177</f>
        <v>281</v>
      </c>
      <c r="L174" s="41">
        <f>+'Cons spec tot e finalizzati'!R177-'Cons spec tot e finalizzati'!S177</f>
        <v>229</v>
      </c>
      <c r="M174" s="41">
        <f>+'Cons spec tot e finalizzati'!T177-'Cons spec tot e finalizzati'!U177</f>
        <v>259</v>
      </c>
      <c r="N174" s="171"/>
      <c r="O174" s="292"/>
      <c r="AB174" s="112"/>
      <c r="AC174" s="114"/>
    </row>
    <row r="175" spans="1:29" s="3" customFormat="1" ht="12.75">
      <c r="A175" s="26"/>
      <c r="B175" s="18"/>
      <c r="C175" s="18" t="s">
        <v>44</v>
      </c>
      <c r="D175" s="25"/>
      <c r="F175" s="41">
        <f>+'Cons spec tot e finalizzati'!F178-'Cons spec tot e finalizzati'!G178</f>
        <v>951</v>
      </c>
      <c r="G175" s="41">
        <f>+'Cons spec tot e finalizzati'!H178-'Cons spec tot e finalizzati'!I178</f>
        <v>972</v>
      </c>
      <c r="H175" s="41">
        <f>+'Cons spec tot e finalizzati'!J178-'Cons spec tot e finalizzati'!K178</f>
        <v>965</v>
      </c>
      <c r="I175" s="41">
        <f>+'Cons spec tot e finalizzati'!L178-'Cons spec tot e finalizzati'!M178</f>
        <v>943</v>
      </c>
      <c r="J175" s="41">
        <f>+'Cons spec tot e finalizzati'!N178-'Cons spec tot e finalizzati'!O178</f>
        <v>947</v>
      </c>
      <c r="K175" s="41">
        <f>+'Cons spec tot e finalizzati'!P178-'Cons spec tot e finalizzati'!Q178</f>
        <v>959</v>
      </c>
      <c r="L175" s="41">
        <f>+'Cons spec tot e finalizzati'!R178-'Cons spec tot e finalizzati'!S178</f>
        <v>1093</v>
      </c>
      <c r="M175" s="41">
        <f>+'Cons spec tot e finalizzati'!T178-'Cons spec tot e finalizzati'!U178</f>
        <v>1088</v>
      </c>
      <c r="N175" s="171"/>
      <c r="O175" s="292"/>
      <c r="AB175" s="116"/>
      <c r="AC175" s="117"/>
    </row>
    <row r="176" spans="1:29" s="3" customFormat="1" ht="12.75">
      <c r="A176" s="26"/>
      <c r="B176" s="18"/>
      <c r="C176" s="18" t="s">
        <v>45</v>
      </c>
      <c r="D176" s="25"/>
      <c r="F176" s="41">
        <f>+'Cons spec tot e finalizzati'!F179-'Cons spec tot e finalizzati'!G179</f>
        <v>0</v>
      </c>
      <c r="G176" s="41">
        <f>+'Cons spec tot e finalizzati'!H179-'Cons spec tot e finalizzati'!I179</f>
        <v>0</v>
      </c>
      <c r="H176" s="41">
        <f>+'Cons spec tot e finalizzati'!J179-'Cons spec tot e finalizzati'!K179</f>
        <v>0</v>
      </c>
      <c r="I176" s="41">
        <f>+'Cons spec tot e finalizzati'!L179-'Cons spec tot e finalizzati'!M179</f>
        <v>0</v>
      </c>
      <c r="J176" s="41">
        <f>+'Cons spec tot e finalizzati'!N179-'Cons spec tot e finalizzati'!O179</f>
        <v>0</v>
      </c>
      <c r="K176" s="41">
        <f>+'Cons spec tot e finalizzati'!P179-'Cons spec tot e finalizzati'!Q179</f>
        <v>7</v>
      </c>
      <c r="L176" s="41">
        <f>+'Cons spec tot e finalizzati'!R179-'Cons spec tot e finalizzati'!S179</f>
        <v>7</v>
      </c>
      <c r="M176" s="41">
        <f>+'Cons spec tot e finalizzati'!T179-'Cons spec tot e finalizzati'!U179</f>
        <v>1</v>
      </c>
      <c r="N176" s="171"/>
      <c r="O176" s="292"/>
      <c r="AB176" s="112"/>
      <c r="AC176" s="113"/>
    </row>
    <row r="177" spans="1:29" s="3" customFormat="1" ht="12.75">
      <c r="A177" s="26"/>
      <c r="B177" s="18"/>
      <c r="C177" s="18" t="s">
        <v>46</v>
      </c>
      <c r="D177" s="25"/>
      <c r="F177" s="41">
        <f>+'Cons spec tot e finalizzati'!F180-'Cons spec tot e finalizzati'!G180</f>
        <v>13</v>
      </c>
      <c r="G177" s="41">
        <f>+'Cons spec tot e finalizzati'!H180-'Cons spec tot e finalizzati'!I180</f>
        <v>3</v>
      </c>
      <c r="H177" s="41">
        <f>+'Cons spec tot e finalizzati'!J180-'Cons spec tot e finalizzati'!K180</f>
        <v>18</v>
      </c>
      <c r="I177" s="41">
        <f>+'Cons spec tot e finalizzati'!L180-'Cons spec tot e finalizzati'!M180</f>
        <v>14</v>
      </c>
      <c r="J177" s="41">
        <f>+'Cons spec tot e finalizzati'!N180-'Cons spec tot e finalizzati'!O180</f>
        <v>15</v>
      </c>
      <c r="K177" s="41">
        <f>+'Cons spec tot e finalizzati'!P180-'Cons spec tot e finalizzati'!Q180</f>
        <v>15</v>
      </c>
      <c r="L177" s="41">
        <f>+'Cons spec tot e finalizzati'!R180-'Cons spec tot e finalizzati'!S180</f>
        <v>63</v>
      </c>
      <c r="M177" s="41">
        <f>+'Cons spec tot e finalizzati'!T180-'Cons spec tot e finalizzati'!U180</f>
        <v>66</v>
      </c>
      <c r="N177" s="171"/>
      <c r="O177" s="292"/>
      <c r="AB177" s="112"/>
      <c r="AC177" s="114"/>
    </row>
    <row r="178" spans="1:29" s="3" customFormat="1" ht="12.75">
      <c r="A178" s="26"/>
      <c r="B178" s="18"/>
      <c r="C178" s="18" t="s">
        <v>188</v>
      </c>
      <c r="D178" s="25"/>
      <c r="F178" s="41">
        <f>+'Cons spec tot e finalizzati'!F181-'Cons spec tot e finalizzati'!G181</f>
        <v>253</v>
      </c>
      <c r="G178" s="41">
        <f>+'Cons spec tot e finalizzati'!H181-'Cons spec tot e finalizzati'!I181</f>
        <v>282</v>
      </c>
      <c r="H178" s="41">
        <f>+'Cons spec tot e finalizzati'!J181-'Cons spec tot e finalizzati'!K181</f>
        <v>290</v>
      </c>
      <c r="I178" s="41">
        <f>+'Cons spec tot e finalizzati'!L181-'Cons spec tot e finalizzati'!M181</f>
        <v>297</v>
      </c>
      <c r="J178" s="41">
        <f>+'Cons spec tot e finalizzati'!N181-'Cons spec tot e finalizzati'!O181</f>
        <v>343</v>
      </c>
      <c r="K178" s="41">
        <f>+'Cons spec tot e finalizzati'!P181-'Cons spec tot e finalizzati'!Q181</f>
        <v>262</v>
      </c>
      <c r="L178" s="41">
        <f>+'Cons spec tot e finalizzati'!R181-'Cons spec tot e finalizzati'!S181</f>
        <v>256</v>
      </c>
      <c r="M178" s="41">
        <f>+'Cons spec tot e finalizzati'!T181-'Cons spec tot e finalizzati'!U181</f>
        <v>311</v>
      </c>
      <c r="N178" s="171"/>
      <c r="O178" s="292"/>
      <c r="AB178" s="112"/>
      <c r="AC178" s="114"/>
    </row>
    <row r="179" spans="1:29" s="3" customFormat="1" ht="12.75">
      <c r="A179" s="26"/>
      <c r="B179" s="18"/>
      <c r="C179" s="18" t="s">
        <v>189</v>
      </c>
      <c r="D179" s="25"/>
      <c r="E179" s="105"/>
      <c r="F179" s="41">
        <f>+'Cons spec tot e finalizzati'!F182-'Cons spec tot e finalizzati'!G182</f>
        <v>48</v>
      </c>
      <c r="G179" s="41">
        <f>+'Cons spec tot e finalizzati'!H182-'Cons spec tot e finalizzati'!I182</f>
        <v>74</v>
      </c>
      <c r="H179" s="41">
        <f>+'Cons spec tot e finalizzati'!J182-'Cons spec tot e finalizzati'!K182</f>
        <v>67</v>
      </c>
      <c r="I179" s="41">
        <f>+'Cons spec tot e finalizzati'!L182-'Cons spec tot e finalizzati'!M182</f>
        <v>78</v>
      </c>
      <c r="J179" s="41">
        <f>+'Cons spec tot e finalizzati'!N182-'Cons spec tot e finalizzati'!O182</f>
        <v>89</v>
      </c>
      <c r="K179" s="41">
        <f>+'Cons spec tot e finalizzati'!P182-'Cons spec tot e finalizzati'!Q182</f>
        <v>238</v>
      </c>
      <c r="L179" s="41">
        <f>+'Cons spec tot e finalizzati'!R182-'Cons spec tot e finalizzati'!S182</f>
        <v>216</v>
      </c>
      <c r="M179" s="41">
        <f>+'Cons spec tot e finalizzati'!T182-'Cons spec tot e finalizzati'!U182</f>
        <v>168</v>
      </c>
      <c r="N179" s="171"/>
      <c r="O179" s="292"/>
      <c r="AB179" s="112"/>
      <c r="AC179" s="114"/>
    </row>
    <row r="180" spans="1:29" s="3" customFormat="1" ht="12.75">
      <c r="A180" s="134"/>
      <c r="B180" s="135" t="s">
        <v>47</v>
      </c>
      <c r="C180" s="136"/>
      <c r="D180" s="137"/>
      <c r="F180" s="138">
        <f aca="true" t="shared" si="27" ref="F180:M180">SUM(F181:F186)</f>
        <v>3348</v>
      </c>
      <c r="G180" s="138">
        <f t="shared" si="27"/>
        <v>3704</v>
      </c>
      <c r="H180" s="138">
        <f t="shared" si="27"/>
        <v>4133</v>
      </c>
      <c r="I180" s="138">
        <f t="shared" si="27"/>
        <v>4395</v>
      </c>
      <c r="J180" s="138">
        <f t="shared" si="27"/>
        <v>4774.384801706374</v>
      </c>
      <c r="K180" s="138">
        <f t="shared" si="27"/>
        <v>5164</v>
      </c>
      <c r="L180" s="138">
        <f t="shared" si="27"/>
        <v>5396</v>
      </c>
      <c r="M180" s="138">
        <f t="shared" si="27"/>
        <v>5352</v>
      </c>
      <c r="N180" s="171"/>
      <c r="O180" s="292"/>
      <c r="AB180" s="112"/>
      <c r="AC180" s="114"/>
    </row>
    <row r="181" spans="1:29" s="3" customFormat="1" ht="12.75">
      <c r="A181" s="26"/>
      <c r="B181" s="18"/>
      <c r="C181" s="18" t="s">
        <v>43</v>
      </c>
      <c r="D181" s="25"/>
      <c r="F181" s="41">
        <f>+'Cons spec tot e finalizzati'!F184-'Cons spec tot e finalizzati'!G184</f>
        <v>97</v>
      </c>
      <c r="G181" s="41">
        <f>+'Cons spec tot e finalizzati'!H184-'Cons spec tot e finalizzati'!I184</f>
        <v>178</v>
      </c>
      <c r="H181" s="41">
        <f>+'Cons spec tot e finalizzati'!J184-'Cons spec tot e finalizzati'!K184</f>
        <v>233</v>
      </c>
      <c r="I181" s="41">
        <f>+'Cons spec tot e finalizzati'!L184-'Cons spec tot e finalizzati'!M184</f>
        <v>194</v>
      </c>
      <c r="J181" s="41">
        <f>+'Cons spec tot e finalizzati'!N184-'Cons spec tot e finalizzati'!O184</f>
        <v>264.3848017063736</v>
      </c>
      <c r="K181" s="41">
        <f>+'Cons spec tot e finalizzati'!P184-'Cons spec tot e finalizzati'!Q184</f>
        <v>205</v>
      </c>
      <c r="L181" s="41">
        <f>+'Cons spec tot e finalizzati'!R184-'Cons spec tot e finalizzati'!S184</f>
        <v>155</v>
      </c>
      <c r="M181" s="41">
        <f>+'Cons spec tot e finalizzati'!T184-'Cons spec tot e finalizzati'!U184</f>
        <v>165</v>
      </c>
      <c r="N181" s="171"/>
      <c r="O181" s="292"/>
      <c r="AB181" s="112"/>
      <c r="AC181" s="114"/>
    </row>
    <row r="182" spans="1:29" s="3" customFormat="1" ht="12.75">
      <c r="A182" s="26"/>
      <c r="B182" s="18"/>
      <c r="C182" s="18" t="s">
        <v>44</v>
      </c>
      <c r="D182" s="25"/>
      <c r="F182" s="41">
        <f>+'Cons spec tot e finalizzati'!F185-'Cons spec tot e finalizzati'!G185</f>
        <v>2500</v>
      </c>
      <c r="G182" s="41">
        <f>+'Cons spec tot e finalizzati'!H185-'Cons spec tot e finalizzati'!I185</f>
        <v>2723</v>
      </c>
      <c r="H182" s="41">
        <f>+'Cons spec tot e finalizzati'!J185-'Cons spec tot e finalizzati'!K185</f>
        <v>2837</v>
      </c>
      <c r="I182" s="41">
        <f>+'Cons spec tot e finalizzati'!L185-'Cons spec tot e finalizzati'!M185</f>
        <v>3173</v>
      </c>
      <c r="J182" s="41">
        <f>+'Cons spec tot e finalizzati'!N185-'Cons spec tot e finalizzati'!O185</f>
        <v>3300</v>
      </c>
      <c r="K182" s="41">
        <f>+'Cons spec tot e finalizzati'!P185-'Cons spec tot e finalizzati'!Q185</f>
        <v>3244</v>
      </c>
      <c r="L182" s="41">
        <f>+'Cons spec tot e finalizzati'!R185-'Cons spec tot e finalizzati'!S185</f>
        <v>3393</v>
      </c>
      <c r="M182" s="41">
        <f>+'Cons spec tot e finalizzati'!T185-'Cons spec tot e finalizzati'!U185</f>
        <v>3171</v>
      </c>
      <c r="N182" s="171"/>
      <c r="O182" s="292"/>
      <c r="AB182" s="112"/>
      <c r="AC182" s="114"/>
    </row>
    <row r="183" spans="1:29" s="3" customFormat="1" ht="12.75">
      <c r="A183" s="26"/>
      <c r="B183" s="18"/>
      <c r="C183" s="18" t="s">
        <v>45</v>
      </c>
      <c r="D183" s="25"/>
      <c r="F183" s="41">
        <f>+'Cons spec tot e finalizzati'!F186-'Cons spec tot e finalizzati'!G186</f>
        <v>0</v>
      </c>
      <c r="G183" s="41">
        <f>+'Cons spec tot e finalizzati'!H186-'Cons spec tot e finalizzati'!I186</f>
        <v>0</v>
      </c>
      <c r="H183" s="41">
        <f>+'Cons spec tot e finalizzati'!J186-'Cons spec tot e finalizzati'!K186</f>
        <v>0</v>
      </c>
      <c r="I183" s="41">
        <f>+'Cons spec tot e finalizzati'!L186-'Cons spec tot e finalizzati'!M186</f>
        <v>0</v>
      </c>
      <c r="J183" s="41">
        <f>+'Cons spec tot e finalizzati'!N186-'Cons spec tot e finalizzati'!O186</f>
        <v>0</v>
      </c>
      <c r="K183" s="41">
        <f>+'Cons spec tot e finalizzati'!P186-'Cons spec tot e finalizzati'!Q186</f>
        <v>22</v>
      </c>
      <c r="L183" s="41">
        <f>+'Cons spec tot e finalizzati'!R186-'Cons spec tot e finalizzati'!S186</f>
        <v>26</v>
      </c>
      <c r="M183" s="41">
        <f>+'Cons spec tot e finalizzati'!T186-'Cons spec tot e finalizzati'!U186</f>
        <v>36</v>
      </c>
      <c r="N183" s="171"/>
      <c r="O183" s="292"/>
      <c r="AB183" s="112"/>
      <c r="AC183" s="35"/>
    </row>
    <row r="184" spans="1:29" s="3" customFormat="1" ht="12.75">
      <c r="A184" s="26"/>
      <c r="B184" s="18"/>
      <c r="C184" s="18" t="s">
        <v>46</v>
      </c>
      <c r="D184" s="25"/>
      <c r="F184" s="41">
        <f>+'Cons spec tot e finalizzati'!F187-'Cons spec tot e finalizzati'!G187</f>
        <v>46</v>
      </c>
      <c r="G184" s="41">
        <f>+'Cons spec tot e finalizzati'!H187-'Cons spec tot e finalizzati'!I187</f>
        <v>11</v>
      </c>
      <c r="H184" s="41">
        <f>+'Cons spec tot e finalizzati'!J187-'Cons spec tot e finalizzati'!K187</f>
        <v>61</v>
      </c>
      <c r="I184" s="41">
        <f>+'Cons spec tot e finalizzati'!L187-'Cons spec tot e finalizzati'!M187</f>
        <v>51</v>
      </c>
      <c r="J184" s="41">
        <f>+'Cons spec tot e finalizzati'!N187-'Cons spec tot e finalizzati'!O187</f>
        <v>51</v>
      </c>
      <c r="K184" s="41">
        <f>+'Cons spec tot e finalizzati'!P187-'Cons spec tot e finalizzati'!Q187</f>
        <v>97</v>
      </c>
      <c r="L184" s="41">
        <f>+'Cons spec tot e finalizzati'!R187-'Cons spec tot e finalizzati'!S187</f>
        <v>66</v>
      </c>
      <c r="M184" s="41">
        <f>+'Cons spec tot e finalizzati'!T187-'Cons spec tot e finalizzati'!U187</f>
        <v>76</v>
      </c>
      <c r="N184" s="171"/>
      <c r="O184" s="292"/>
      <c r="AB184" s="112"/>
      <c r="AC184" s="118"/>
    </row>
    <row r="185" spans="1:29" s="3" customFormat="1" ht="12.75">
      <c r="A185" s="26"/>
      <c r="B185" s="18"/>
      <c r="C185" s="18" t="s">
        <v>188</v>
      </c>
      <c r="D185" s="25"/>
      <c r="F185" s="41">
        <f>+'Cons spec tot e finalizzati'!F188-'Cons spec tot e finalizzati'!G188</f>
        <v>666</v>
      </c>
      <c r="G185" s="41">
        <f>+'Cons spec tot e finalizzati'!H188-'Cons spec tot e finalizzati'!I188</f>
        <v>731</v>
      </c>
      <c r="H185" s="41">
        <f>+'Cons spec tot e finalizzati'!J188-'Cons spec tot e finalizzati'!K188</f>
        <v>855</v>
      </c>
      <c r="I185" s="41">
        <f>+'Cons spec tot e finalizzati'!L188-'Cons spec tot e finalizzati'!M188</f>
        <v>798</v>
      </c>
      <c r="J185" s="41">
        <f>+'Cons spec tot e finalizzati'!N188-'Cons spec tot e finalizzati'!O188</f>
        <v>948</v>
      </c>
      <c r="K185" s="41">
        <f>+'Cons spec tot e finalizzati'!P188-'Cons spec tot e finalizzati'!Q188</f>
        <v>1085</v>
      </c>
      <c r="L185" s="41">
        <f>+'Cons spec tot e finalizzati'!R188-'Cons spec tot e finalizzati'!S188</f>
        <v>1128</v>
      </c>
      <c r="M185" s="41">
        <f>+'Cons spec tot e finalizzati'!T188-'Cons spec tot e finalizzati'!U188</f>
        <v>1324</v>
      </c>
      <c r="N185" s="171"/>
      <c r="O185" s="292"/>
      <c r="AB185" s="112"/>
      <c r="AC185" s="114"/>
    </row>
    <row r="186" spans="1:29" s="3" customFormat="1" ht="12.75">
      <c r="A186" s="26"/>
      <c r="B186" s="18"/>
      <c r="C186" s="18" t="s">
        <v>189</v>
      </c>
      <c r="D186" s="25"/>
      <c r="E186" s="105"/>
      <c r="F186" s="41">
        <f>+'Cons spec tot e finalizzati'!F189-'Cons spec tot e finalizzati'!G189</f>
        <v>39</v>
      </c>
      <c r="G186" s="41">
        <f>+'Cons spec tot e finalizzati'!H189-'Cons spec tot e finalizzati'!I189</f>
        <v>61</v>
      </c>
      <c r="H186" s="41">
        <f>+'Cons spec tot e finalizzati'!J189-'Cons spec tot e finalizzati'!K189</f>
        <v>147</v>
      </c>
      <c r="I186" s="41">
        <f>+'Cons spec tot e finalizzati'!L189-'Cons spec tot e finalizzati'!M189</f>
        <v>179</v>
      </c>
      <c r="J186" s="41">
        <f>+'Cons spec tot e finalizzati'!N189-'Cons spec tot e finalizzati'!O189</f>
        <v>211</v>
      </c>
      <c r="K186" s="41">
        <f>+'Cons spec tot e finalizzati'!P189-'Cons spec tot e finalizzati'!Q189</f>
        <v>511</v>
      </c>
      <c r="L186" s="41">
        <f>+'Cons spec tot e finalizzati'!R189-'Cons spec tot e finalizzati'!S189</f>
        <v>628</v>
      </c>
      <c r="M186" s="41">
        <f>+'Cons spec tot e finalizzati'!T189-'Cons spec tot e finalizzati'!U189</f>
        <v>580</v>
      </c>
      <c r="N186" s="171"/>
      <c r="O186" s="292"/>
      <c r="AB186" s="112"/>
      <c r="AC186" s="114"/>
    </row>
    <row r="187" spans="1:29" s="3" customFormat="1" ht="12.75">
      <c r="A187" s="134"/>
      <c r="B187" s="135" t="s">
        <v>48</v>
      </c>
      <c r="C187" s="136"/>
      <c r="D187" s="137"/>
      <c r="F187" s="138">
        <f aca="true" t="shared" si="28" ref="F187:M187">SUM(F188:F193)</f>
        <v>2080</v>
      </c>
      <c r="G187" s="138">
        <f t="shared" si="28"/>
        <v>2417</v>
      </c>
      <c r="H187" s="138">
        <f t="shared" si="28"/>
        <v>2523</v>
      </c>
      <c r="I187" s="138">
        <f t="shared" si="28"/>
        <v>2656</v>
      </c>
      <c r="J187" s="138">
        <f t="shared" si="28"/>
        <v>2762</v>
      </c>
      <c r="K187" s="138">
        <f t="shared" si="28"/>
        <v>2844</v>
      </c>
      <c r="L187" s="138">
        <f t="shared" si="28"/>
        <v>2847</v>
      </c>
      <c r="M187" s="138">
        <f t="shared" si="28"/>
        <v>2921</v>
      </c>
      <c r="N187" s="171"/>
      <c r="O187" s="292"/>
      <c r="AB187" s="112"/>
      <c r="AC187" s="114"/>
    </row>
    <row r="188" spans="1:29" s="3" customFormat="1" ht="12.75">
      <c r="A188" s="26"/>
      <c r="B188" s="18"/>
      <c r="C188" s="18" t="s">
        <v>43</v>
      </c>
      <c r="D188" s="25"/>
      <c r="F188" s="41">
        <f>+'Cons spec tot e finalizzati'!F191-'Cons spec tot e finalizzati'!G191</f>
        <v>44</v>
      </c>
      <c r="G188" s="41">
        <f>+'Cons spec tot e finalizzati'!H191-'Cons spec tot e finalizzati'!I191</f>
        <v>107</v>
      </c>
      <c r="H188" s="41">
        <f>+'Cons spec tot e finalizzati'!J191-'Cons spec tot e finalizzati'!K191</f>
        <v>153</v>
      </c>
      <c r="I188" s="41">
        <f>+'Cons spec tot e finalizzati'!L191-'Cons spec tot e finalizzati'!M191</f>
        <v>244</v>
      </c>
      <c r="J188" s="41">
        <f>+'Cons spec tot e finalizzati'!N191-'Cons spec tot e finalizzati'!O191</f>
        <v>244</v>
      </c>
      <c r="K188" s="41">
        <f>+'Cons spec tot e finalizzati'!P191-'Cons spec tot e finalizzati'!Q191</f>
        <v>170</v>
      </c>
      <c r="L188" s="41">
        <f>+'Cons spec tot e finalizzati'!R191-'Cons spec tot e finalizzati'!S191</f>
        <v>178</v>
      </c>
      <c r="M188" s="41">
        <f>+'Cons spec tot e finalizzati'!T191-'Cons spec tot e finalizzati'!U191</f>
        <v>156</v>
      </c>
      <c r="N188" s="171"/>
      <c r="O188" s="292"/>
      <c r="AB188" s="112"/>
      <c r="AC188" s="114"/>
    </row>
    <row r="189" spans="1:29" s="3" customFormat="1" ht="12.75">
      <c r="A189" s="26"/>
      <c r="B189" s="18"/>
      <c r="C189" s="18" t="s">
        <v>44</v>
      </c>
      <c r="D189" s="25"/>
      <c r="F189" s="41">
        <f>+'Cons spec tot e finalizzati'!F192-'Cons spec tot e finalizzati'!G192</f>
        <v>1762</v>
      </c>
      <c r="G189" s="41">
        <f>+'Cons spec tot e finalizzati'!H192-'Cons spec tot e finalizzati'!I192</f>
        <v>1928</v>
      </c>
      <c r="H189" s="41">
        <f>+'Cons spec tot e finalizzati'!J192-'Cons spec tot e finalizzati'!K192</f>
        <v>1927</v>
      </c>
      <c r="I189" s="41">
        <f>+'Cons spec tot e finalizzati'!L192-'Cons spec tot e finalizzati'!M192</f>
        <v>1954</v>
      </c>
      <c r="J189" s="41">
        <f>+'Cons spec tot e finalizzati'!N192-'Cons spec tot e finalizzati'!O192</f>
        <v>2005</v>
      </c>
      <c r="K189" s="41">
        <f>+'Cons spec tot e finalizzati'!P192-'Cons spec tot e finalizzati'!Q192</f>
        <v>2041</v>
      </c>
      <c r="L189" s="41">
        <f>+'Cons spec tot e finalizzati'!R192-'Cons spec tot e finalizzati'!S192</f>
        <v>1975</v>
      </c>
      <c r="M189" s="41">
        <f>+'Cons spec tot e finalizzati'!T192-'Cons spec tot e finalizzati'!U192</f>
        <v>2090</v>
      </c>
      <c r="N189" s="171"/>
      <c r="O189" s="292"/>
      <c r="AB189" s="112"/>
      <c r="AC189" s="114"/>
    </row>
    <row r="190" spans="1:29" s="3" customFormat="1" ht="12.75">
      <c r="A190" s="26"/>
      <c r="B190" s="18"/>
      <c r="C190" s="18" t="s">
        <v>45</v>
      </c>
      <c r="D190" s="25"/>
      <c r="F190" s="41">
        <f>+'Cons spec tot e finalizzati'!F193-'Cons spec tot e finalizzati'!G193</f>
        <v>0</v>
      </c>
      <c r="G190" s="41">
        <f>+'Cons spec tot e finalizzati'!H193-'Cons spec tot e finalizzati'!I193</f>
        <v>0</v>
      </c>
      <c r="H190" s="41">
        <f>+'Cons spec tot e finalizzati'!J193-'Cons spec tot e finalizzati'!K193</f>
        <v>0</v>
      </c>
      <c r="I190" s="41">
        <f>+'Cons spec tot e finalizzati'!L193-'Cons spec tot e finalizzati'!M193</f>
        <v>0</v>
      </c>
      <c r="J190" s="41">
        <f>+'Cons spec tot e finalizzati'!N193-'Cons spec tot e finalizzati'!O193</f>
        <v>0</v>
      </c>
      <c r="K190" s="41">
        <f>+'Cons spec tot e finalizzati'!P193-'Cons spec tot e finalizzati'!Q193</f>
        <v>26</v>
      </c>
      <c r="L190" s="41">
        <f>+'Cons spec tot e finalizzati'!R193-'Cons spec tot e finalizzati'!S193</f>
        <v>26</v>
      </c>
      <c r="M190" s="41">
        <f>+'Cons spec tot e finalizzati'!T193-'Cons spec tot e finalizzati'!U193</f>
        <v>27</v>
      </c>
      <c r="N190" s="171"/>
      <c r="O190" s="292"/>
      <c r="AB190" s="112"/>
      <c r="AC190" s="113"/>
    </row>
    <row r="191" spans="1:29" s="3" customFormat="1" ht="12.75">
      <c r="A191" s="26"/>
      <c r="B191" s="18"/>
      <c r="C191" s="18" t="s">
        <v>46</v>
      </c>
      <c r="D191" s="25"/>
      <c r="F191" s="41">
        <f>+'Cons spec tot e finalizzati'!F194-'Cons spec tot e finalizzati'!G194</f>
        <v>44</v>
      </c>
      <c r="G191" s="41">
        <f>+'Cons spec tot e finalizzati'!H194-'Cons spec tot e finalizzati'!I194</f>
        <v>10</v>
      </c>
      <c r="H191" s="41">
        <f>+'Cons spec tot e finalizzati'!J194-'Cons spec tot e finalizzati'!K194</f>
        <v>52</v>
      </c>
      <c r="I191" s="41">
        <f>+'Cons spec tot e finalizzati'!L194-'Cons spec tot e finalizzati'!M194</f>
        <v>42</v>
      </c>
      <c r="J191" s="41">
        <f>+'Cons spec tot e finalizzati'!N194-'Cons spec tot e finalizzati'!O194</f>
        <v>51</v>
      </c>
      <c r="K191" s="41">
        <f>+'Cons spec tot e finalizzati'!P194-'Cons spec tot e finalizzati'!Q194</f>
        <v>50</v>
      </c>
      <c r="L191" s="41">
        <f>+'Cons spec tot e finalizzati'!R194-'Cons spec tot e finalizzati'!S194</f>
        <v>60</v>
      </c>
      <c r="M191" s="41">
        <f>+'Cons spec tot e finalizzati'!T194-'Cons spec tot e finalizzati'!U194</f>
        <v>76</v>
      </c>
      <c r="N191" s="171"/>
      <c r="O191" s="292"/>
      <c r="AB191" s="112"/>
      <c r="AC191" s="119"/>
    </row>
    <row r="192" spans="1:29" s="3" customFormat="1" ht="12.75">
      <c r="A192" s="26"/>
      <c r="B192" s="18"/>
      <c r="C192" s="18" t="s">
        <v>188</v>
      </c>
      <c r="D192" s="25"/>
      <c r="F192" s="41">
        <f>+'Cons spec tot e finalizzati'!F195-'Cons spec tot e finalizzati'!G195</f>
        <v>191</v>
      </c>
      <c r="G192" s="41">
        <f>+'Cons spec tot e finalizzati'!H195-'Cons spec tot e finalizzati'!I195</f>
        <v>250</v>
      </c>
      <c r="H192" s="41">
        <f>+'Cons spec tot e finalizzati'!J195-'Cons spec tot e finalizzati'!K195</f>
        <v>269</v>
      </c>
      <c r="I192" s="41">
        <f>+'Cons spec tot e finalizzati'!L195-'Cons spec tot e finalizzati'!M195</f>
        <v>270</v>
      </c>
      <c r="J192" s="41">
        <f>+'Cons spec tot e finalizzati'!N195-'Cons spec tot e finalizzati'!O195</f>
        <v>338</v>
      </c>
      <c r="K192" s="41">
        <f>+'Cons spec tot e finalizzati'!P195-'Cons spec tot e finalizzati'!Q195</f>
        <v>387</v>
      </c>
      <c r="L192" s="41">
        <f>+'Cons spec tot e finalizzati'!R195-'Cons spec tot e finalizzati'!S195</f>
        <v>417</v>
      </c>
      <c r="M192" s="41">
        <f>+'Cons spec tot e finalizzati'!T195-'Cons spec tot e finalizzati'!U195</f>
        <v>437</v>
      </c>
      <c r="N192" s="171"/>
      <c r="O192" s="292"/>
      <c r="AB192" s="112"/>
      <c r="AC192" s="114"/>
    </row>
    <row r="193" spans="1:29" s="3" customFormat="1" ht="12.75">
      <c r="A193" s="26"/>
      <c r="B193" s="18"/>
      <c r="C193" s="18" t="s">
        <v>189</v>
      </c>
      <c r="D193" s="25"/>
      <c r="E193" s="105"/>
      <c r="F193" s="41">
        <f>+'Cons spec tot e finalizzati'!F196-'Cons spec tot e finalizzati'!G196</f>
        <v>39</v>
      </c>
      <c r="G193" s="41">
        <f>+'Cons spec tot e finalizzati'!H196-'Cons spec tot e finalizzati'!I196</f>
        <v>122</v>
      </c>
      <c r="H193" s="41">
        <f>+'Cons spec tot e finalizzati'!J196-'Cons spec tot e finalizzati'!K196</f>
        <v>122</v>
      </c>
      <c r="I193" s="41">
        <f>+'Cons spec tot e finalizzati'!L196-'Cons spec tot e finalizzati'!M196</f>
        <v>146</v>
      </c>
      <c r="J193" s="41">
        <f>+'Cons spec tot e finalizzati'!N196-'Cons spec tot e finalizzati'!O196</f>
        <v>124</v>
      </c>
      <c r="K193" s="41">
        <f>+'Cons spec tot e finalizzati'!P196-'Cons spec tot e finalizzati'!Q196</f>
        <v>170</v>
      </c>
      <c r="L193" s="41">
        <f>+'Cons spec tot e finalizzati'!R196-'Cons spec tot e finalizzati'!S196</f>
        <v>191</v>
      </c>
      <c r="M193" s="41">
        <f>+'Cons spec tot e finalizzati'!T196-'Cons spec tot e finalizzati'!U196</f>
        <v>135</v>
      </c>
      <c r="N193" s="171"/>
      <c r="O193" s="292"/>
      <c r="AB193" s="112"/>
      <c r="AC193" s="114"/>
    </row>
    <row r="194" spans="1:29" s="3" customFormat="1" ht="12.75">
      <c r="A194" s="134"/>
      <c r="B194" s="135" t="s">
        <v>49</v>
      </c>
      <c r="C194" s="136"/>
      <c r="D194" s="137"/>
      <c r="F194" s="138">
        <f aca="true" t="shared" si="29" ref="F194:M194">SUM(F195:F200)</f>
        <v>1334</v>
      </c>
      <c r="G194" s="138">
        <f t="shared" si="29"/>
        <v>1937</v>
      </c>
      <c r="H194" s="138">
        <f t="shared" si="29"/>
        <v>2061</v>
      </c>
      <c r="I194" s="138">
        <f t="shared" si="29"/>
        <v>2175</v>
      </c>
      <c r="J194" s="138">
        <f t="shared" si="29"/>
        <v>2365</v>
      </c>
      <c r="K194" s="138">
        <f t="shared" si="29"/>
        <v>2542</v>
      </c>
      <c r="L194" s="138">
        <f t="shared" si="29"/>
        <v>2821</v>
      </c>
      <c r="M194" s="138">
        <f t="shared" si="29"/>
        <v>2964</v>
      </c>
      <c r="N194" s="171"/>
      <c r="O194" s="292"/>
      <c r="AB194" s="112"/>
      <c r="AC194" s="114"/>
    </row>
    <row r="195" spans="1:29" s="3" customFormat="1" ht="12.75">
      <c r="A195" s="26"/>
      <c r="B195" s="18"/>
      <c r="C195" s="18" t="s">
        <v>43</v>
      </c>
      <c r="D195" s="25"/>
      <c r="F195" s="41">
        <f>+'Cons spec tot e finalizzati'!F198-'Cons spec tot e finalizzati'!G198</f>
        <v>56</v>
      </c>
      <c r="G195" s="41">
        <f>+'Cons spec tot e finalizzati'!H198-'Cons spec tot e finalizzati'!I198</f>
        <v>123</v>
      </c>
      <c r="H195" s="41">
        <f>+'Cons spec tot e finalizzati'!J198-'Cons spec tot e finalizzati'!K198</f>
        <v>80</v>
      </c>
      <c r="I195" s="41">
        <f>+'Cons spec tot e finalizzati'!L198-'Cons spec tot e finalizzati'!M198</f>
        <v>104</v>
      </c>
      <c r="J195" s="41">
        <f>+'Cons spec tot e finalizzati'!N198-'Cons spec tot e finalizzati'!O198</f>
        <v>102</v>
      </c>
      <c r="K195" s="41">
        <f>+'Cons spec tot e finalizzati'!P198-'Cons spec tot e finalizzati'!Q198</f>
        <v>159</v>
      </c>
      <c r="L195" s="41">
        <f>+'Cons spec tot e finalizzati'!R198-'Cons spec tot e finalizzati'!S198</f>
        <v>115</v>
      </c>
      <c r="M195" s="41">
        <f>+'Cons spec tot e finalizzati'!T198-'Cons spec tot e finalizzati'!U198</f>
        <v>144</v>
      </c>
      <c r="N195" s="171"/>
      <c r="O195" s="292"/>
      <c r="AB195" s="112"/>
      <c r="AC195" s="114"/>
    </row>
    <row r="196" spans="1:29" s="3" customFormat="1" ht="12.75">
      <c r="A196" s="26"/>
      <c r="B196" s="18"/>
      <c r="C196" s="18" t="s">
        <v>44</v>
      </c>
      <c r="D196" s="25"/>
      <c r="F196" s="41">
        <f>+'Cons spec tot e finalizzati'!F199-'Cons spec tot e finalizzati'!G199</f>
        <v>983</v>
      </c>
      <c r="G196" s="41">
        <f>+'Cons spec tot e finalizzati'!H199-'Cons spec tot e finalizzati'!I199</f>
        <v>1195</v>
      </c>
      <c r="H196" s="41">
        <f>+'Cons spec tot e finalizzati'!J199-'Cons spec tot e finalizzati'!K199</f>
        <v>1307</v>
      </c>
      <c r="I196" s="41">
        <f>+'Cons spec tot e finalizzati'!L199-'Cons spec tot e finalizzati'!M199</f>
        <v>1402</v>
      </c>
      <c r="J196" s="41">
        <f>+'Cons spec tot e finalizzati'!N199-'Cons spec tot e finalizzati'!O199</f>
        <v>1526</v>
      </c>
      <c r="K196" s="41">
        <f>+'Cons spec tot e finalizzati'!P199-'Cons spec tot e finalizzati'!Q199</f>
        <v>1516</v>
      </c>
      <c r="L196" s="41">
        <f>+'Cons spec tot e finalizzati'!R199-'Cons spec tot e finalizzati'!S199</f>
        <v>1708</v>
      </c>
      <c r="M196" s="41">
        <f>+'Cons spec tot e finalizzati'!T199-'Cons spec tot e finalizzati'!U199</f>
        <v>1805</v>
      </c>
      <c r="N196" s="171"/>
      <c r="O196" s="292"/>
      <c r="AB196" s="116"/>
      <c r="AC196" s="117"/>
    </row>
    <row r="197" spans="1:29" s="3" customFormat="1" ht="12.75">
      <c r="A197" s="26"/>
      <c r="B197" s="18"/>
      <c r="C197" s="18" t="s">
        <v>45</v>
      </c>
      <c r="D197" s="25"/>
      <c r="F197" s="41">
        <f>+'Cons spec tot e finalizzati'!F200-'Cons spec tot e finalizzati'!G200</f>
        <v>0</v>
      </c>
      <c r="G197" s="41">
        <f>+'Cons spec tot e finalizzati'!H200-'Cons spec tot e finalizzati'!I200</f>
        <v>0</v>
      </c>
      <c r="H197" s="41">
        <f>+'Cons spec tot e finalizzati'!J200-'Cons spec tot e finalizzati'!K200</f>
        <v>0</v>
      </c>
      <c r="I197" s="41">
        <f>+'Cons spec tot e finalizzati'!L200-'Cons spec tot e finalizzati'!M200</f>
        <v>0</v>
      </c>
      <c r="J197" s="41">
        <f>+'Cons spec tot e finalizzati'!N200-'Cons spec tot e finalizzati'!O200</f>
        <v>0</v>
      </c>
      <c r="K197" s="41">
        <f>+'Cons spec tot e finalizzati'!P200-'Cons spec tot e finalizzati'!Q200</f>
        <v>26</v>
      </c>
      <c r="L197" s="41">
        <f>+'Cons spec tot e finalizzati'!R200-'Cons spec tot e finalizzati'!S200</f>
        <v>30</v>
      </c>
      <c r="M197" s="41">
        <f>+'Cons spec tot e finalizzati'!T200-'Cons spec tot e finalizzati'!U200</f>
        <v>40</v>
      </c>
      <c r="N197" s="171"/>
      <c r="O197" s="292"/>
      <c r="AB197" s="112"/>
      <c r="AC197" s="113"/>
    </row>
    <row r="198" spans="1:29" s="3" customFormat="1" ht="12.75">
      <c r="A198" s="26"/>
      <c r="B198" s="18"/>
      <c r="C198" s="18" t="s">
        <v>46</v>
      </c>
      <c r="D198" s="25"/>
      <c r="F198" s="41">
        <f>+'Cons spec tot e finalizzati'!F201-'Cons spec tot e finalizzati'!G201</f>
        <v>19</v>
      </c>
      <c r="G198" s="41">
        <f>+'Cons spec tot e finalizzati'!H201-'Cons spec tot e finalizzati'!I201</f>
        <v>6</v>
      </c>
      <c r="H198" s="41">
        <f>+'Cons spec tot e finalizzati'!J201-'Cons spec tot e finalizzati'!K201</f>
        <v>35</v>
      </c>
      <c r="I198" s="41">
        <f>+'Cons spec tot e finalizzati'!L201-'Cons spec tot e finalizzati'!M201</f>
        <v>29</v>
      </c>
      <c r="J198" s="41">
        <f>+'Cons spec tot e finalizzati'!N201-'Cons spec tot e finalizzati'!O201</f>
        <v>29</v>
      </c>
      <c r="K198" s="41">
        <f>+'Cons spec tot e finalizzati'!P201-'Cons spec tot e finalizzati'!Q201</f>
        <v>29</v>
      </c>
      <c r="L198" s="41">
        <f>+'Cons spec tot e finalizzati'!R201-'Cons spec tot e finalizzati'!S201</f>
        <v>35</v>
      </c>
      <c r="M198" s="41">
        <f>+'Cons spec tot e finalizzati'!T201-'Cons spec tot e finalizzati'!U201</f>
        <v>44</v>
      </c>
      <c r="N198" s="171"/>
      <c r="O198" s="292"/>
      <c r="AB198" s="112"/>
      <c r="AC198" s="114"/>
    </row>
    <row r="199" spans="1:29" s="3" customFormat="1" ht="12.75">
      <c r="A199" s="26"/>
      <c r="B199" s="18"/>
      <c r="C199" s="18" t="s">
        <v>188</v>
      </c>
      <c r="D199" s="25"/>
      <c r="F199" s="41">
        <f>+'Cons spec tot e finalizzati'!F202-'Cons spec tot e finalizzati'!G202</f>
        <v>244</v>
      </c>
      <c r="G199" s="41">
        <f>+'Cons spec tot e finalizzati'!H202-'Cons spec tot e finalizzati'!I202</f>
        <v>348</v>
      </c>
      <c r="H199" s="41">
        <f>+'Cons spec tot e finalizzati'!J202-'Cons spec tot e finalizzati'!K202</f>
        <v>325</v>
      </c>
      <c r="I199" s="41">
        <f>+'Cons spec tot e finalizzati'!L202-'Cons spec tot e finalizzati'!M202</f>
        <v>329</v>
      </c>
      <c r="J199" s="41">
        <f>+'Cons spec tot e finalizzati'!N202-'Cons spec tot e finalizzati'!O202</f>
        <v>393</v>
      </c>
      <c r="K199" s="41">
        <f>+'Cons spec tot e finalizzati'!P202-'Cons spec tot e finalizzati'!Q202</f>
        <v>441</v>
      </c>
      <c r="L199" s="41">
        <f>+'Cons spec tot e finalizzati'!R202-'Cons spec tot e finalizzati'!S202</f>
        <v>474</v>
      </c>
      <c r="M199" s="41">
        <f>+'Cons spec tot e finalizzati'!T202-'Cons spec tot e finalizzati'!U202</f>
        <v>506</v>
      </c>
      <c r="N199" s="171"/>
      <c r="O199" s="292"/>
      <c r="AB199" s="112"/>
      <c r="AC199" s="114"/>
    </row>
    <row r="200" spans="1:29" s="3" customFormat="1" ht="12.75">
      <c r="A200" s="132"/>
      <c r="B200" s="32"/>
      <c r="C200" s="32" t="s">
        <v>189</v>
      </c>
      <c r="D200" s="133"/>
      <c r="E200" s="162"/>
      <c r="F200" s="42">
        <f>+'Cons spec tot e finalizzati'!F203-'Cons spec tot e finalizzati'!G203</f>
        <v>32</v>
      </c>
      <c r="G200" s="42">
        <f>+'Cons spec tot e finalizzati'!H203-'Cons spec tot e finalizzati'!I203</f>
        <v>265</v>
      </c>
      <c r="H200" s="42">
        <f>+'Cons spec tot e finalizzati'!J203-'Cons spec tot e finalizzati'!K203</f>
        <v>314</v>
      </c>
      <c r="I200" s="42">
        <f>+'Cons spec tot e finalizzati'!L203-'Cons spec tot e finalizzati'!M203</f>
        <v>311</v>
      </c>
      <c r="J200" s="42">
        <f>+'Cons spec tot e finalizzati'!N203-'Cons spec tot e finalizzati'!O203</f>
        <v>315</v>
      </c>
      <c r="K200" s="42">
        <f>+'Cons spec tot e finalizzati'!P203-'Cons spec tot e finalizzati'!Q203</f>
        <v>371</v>
      </c>
      <c r="L200" s="42">
        <f>+'Cons spec tot e finalizzati'!R203-'Cons spec tot e finalizzati'!S203</f>
        <v>459</v>
      </c>
      <c r="M200" s="42">
        <f>+'Cons spec tot e finalizzati'!T203-'Cons spec tot e finalizzati'!U203</f>
        <v>425</v>
      </c>
      <c r="N200" s="171"/>
      <c r="O200" s="292"/>
      <c r="AB200" s="112"/>
      <c r="AC200" s="114"/>
    </row>
    <row r="201" spans="1:29" s="3" customFormat="1" ht="12.75">
      <c r="A201" s="26"/>
      <c r="B201" s="21" t="s">
        <v>50</v>
      </c>
      <c r="C201" s="18"/>
      <c r="D201" s="25"/>
      <c r="F201" s="126">
        <f aca="true" t="shared" si="30" ref="F201:M201">SUM(F202:F207)</f>
        <v>1722</v>
      </c>
      <c r="G201" s="126">
        <f t="shared" si="30"/>
        <v>1924</v>
      </c>
      <c r="H201" s="126">
        <f t="shared" si="30"/>
        <v>2143</v>
      </c>
      <c r="I201" s="126">
        <f t="shared" si="30"/>
        <v>2288</v>
      </c>
      <c r="J201" s="126">
        <f t="shared" si="30"/>
        <v>2609</v>
      </c>
      <c r="K201" s="126">
        <f t="shared" si="30"/>
        <v>2694</v>
      </c>
      <c r="L201" s="126">
        <f t="shared" si="30"/>
        <v>2995</v>
      </c>
      <c r="M201" s="126">
        <f t="shared" si="30"/>
        <v>2996</v>
      </c>
      <c r="N201" s="171"/>
      <c r="O201" s="292"/>
      <c r="AB201" s="112"/>
      <c r="AC201" s="114"/>
    </row>
    <row r="202" spans="1:29" s="3" customFormat="1" ht="12.75">
      <c r="A202" s="26"/>
      <c r="B202" s="18"/>
      <c r="C202" s="18" t="s">
        <v>43</v>
      </c>
      <c r="D202" s="25"/>
      <c r="F202" s="41">
        <f>+'Cons spec tot e finalizzati'!F205-'Cons spec tot e finalizzati'!G205</f>
        <v>52</v>
      </c>
      <c r="G202" s="41">
        <f>+'Cons spec tot e finalizzati'!H205-'Cons spec tot e finalizzati'!I205</f>
        <v>99</v>
      </c>
      <c r="H202" s="41">
        <f>+'Cons spec tot e finalizzati'!J205-'Cons spec tot e finalizzati'!K205</f>
        <v>94</v>
      </c>
      <c r="I202" s="41">
        <f>+'Cons spec tot e finalizzati'!L205-'Cons spec tot e finalizzati'!M205</f>
        <v>149</v>
      </c>
      <c r="J202" s="41">
        <f>+'Cons spec tot e finalizzati'!N205-'Cons spec tot e finalizzati'!O205</f>
        <v>145</v>
      </c>
      <c r="K202" s="41">
        <f>+'Cons spec tot e finalizzati'!P205-'Cons spec tot e finalizzati'!Q205</f>
        <v>89</v>
      </c>
      <c r="L202" s="41">
        <f>+'Cons spec tot e finalizzati'!R205-'Cons spec tot e finalizzati'!S205</f>
        <v>70</v>
      </c>
      <c r="M202" s="41">
        <f>+'Cons spec tot e finalizzati'!T205-'Cons spec tot e finalizzati'!U205</f>
        <v>138</v>
      </c>
      <c r="N202" s="171"/>
      <c r="O202" s="292"/>
      <c r="AB202" s="112"/>
      <c r="AC202" s="114"/>
    </row>
    <row r="203" spans="1:29" s="3" customFormat="1" ht="12.75">
      <c r="A203" s="26"/>
      <c r="B203" s="18"/>
      <c r="C203" s="18" t="s">
        <v>44</v>
      </c>
      <c r="D203" s="25"/>
      <c r="F203" s="41">
        <f>+'Cons spec tot e finalizzati'!F206-'Cons spec tot e finalizzati'!G206</f>
        <v>1306</v>
      </c>
      <c r="G203" s="41">
        <f>+'Cons spec tot e finalizzati'!H206-'Cons spec tot e finalizzati'!I206</f>
        <v>1408</v>
      </c>
      <c r="H203" s="41">
        <f>+'Cons spec tot e finalizzati'!J206-'Cons spec tot e finalizzati'!K206</f>
        <v>1565</v>
      </c>
      <c r="I203" s="41">
        <f>+'Cons spec tot e finalizzati'!L206-'Cons spec tot e finalizzati'!M206</f>
        <v>1628</v>
      </c>
      <c r="J203" s="41">
        <f>+'Cons spec tot e finalizzati'!N206-'Cons spec tot e finalizzati'!O206</f>
        <v>1858</v>
      </c>
      <c r="K203" s="41">
        <f>+'Cons spec tot e finalizzati'!P206-'Cons spec tot e finalizzati'!Q206</f>
        <v>1753</v>
      </c>
      <c r="L203" s="41">
        <f>+'Cons spec tot e finalizzati'!R206-'Cons spec tot e finalizzati'!S206</f>
        <v>2070</v>
      </c>
      <c r="M203" s="41">
        <f>+'Cons spec tot e finalizzati'!T206-'Cons spec tot e finalizzati'!U206</f>
        <v>1922</v>
      </c>
      <c r="N203" s="171"/>
      <c r="O203" s="292"/>
      <c r="AB203" s="112"/>
      <c r="AC203" s="114"/>
    </row>
    <row r="204" spans="1:29" s="3" customFormat="1" ht="12.75">
      <c r="A204" s="26"/>
      <c r="B204" s="18"/>
      <c r="C204" s="18" t="s">
        <v>45</v>
      </c>
      <c r="D204" s="25"/>
      <c r="F204" s="41">
        <f>+'Cons spec tot e finalizzati'!F207-'Cons spec tot e finalizzati'!G207</f>
        <v>0</v>
      </c>
      <c r="G204" s="41">
        <f>+'Cons spec tot e finalizzati'!H207-'Cons spec tot e finalizzati'!I207</f>
        <v>0</v>
      </c>
      <c r="H204" s="41">
        <f>+'Cons spec tot e finalizzati'!J207-'Cons spec tot e finalizzati'!K207</f>
        <v>0</v>
      </c>
      <c r="I204" s="41">
        <f>+'Cons spec tot e finalizzati'!L207-'Cons spec tot e finalizzati'!M207</f>
        <v>0</v>
      </c>
      <c r="J204" s="41">
        <f>+'Cons spec tot e finalizzati'!N207-'Cons spec tot e finalizzati'!O207</f>
        <v>0</v>
      </c>
      <c r="K204" s="41">
        <f>+'Cons spec tot e finalizzati'!P207-'Cons spec tot e finalizzati'!Q207</f>
        <v>24</v>
      </c>
      <c r="L204" s="41">
        <f>+'Cons spec tot e finalizzati'!R207-'Cons spec tot e finalizzati'!S207</f>
        <v>39</v>
      </c>
      <c r="M204" s="41">
        <f>+'Cons spec tot e finalizzati'!T207-'Cons spec tot e finalizzati'!U207</f>
        <v>41</v>
      </c>
      <c r="N204" s="171"/>
      <c r="O204" s="292"/>
      <c r="AB204" s="112"/>
      <c r="AC204" s="113"/>
    </row>
    <row r="205" spans="1:29" s="3" customFormat="1" ht="12.75">
      <c r="A205" s="26"/>
      <c r="B205" s="18"/>
      <c r="C205" s="18" t="s">
        <v>46</v>
      </c>
      <c r="D205" s="25"/>
      <c r="F205" s="41">
        <f>+'Cons spec tot e finalizzati'!F208-'Cons spec tot e finalizzati'!G208</f>
        <v>0</v>
      </c>
      <c r="G205" s="41">
        <f>+'Cons spec tot e finalizzati'!H208-'Cons spec tot e finalizzati'!I208</f>
        <v>0</v>
      </c>
      <c r="H205" s="41">
        <f>+'Cons spec tot e finalizzati'!J208-'Cons spec tot e finalizzati'!K208</f>
        <v>0</v>
      </c>
      <c r="I205" s="41">
        <f>+'Cons spec tot e finalizzati'!L208-'Cons spec tot e finalizzati'!M208</f>
        <v>0</v>
      </c>
      <c r="J205" s="41">
        <f>+'Cons spec tot e finalizzati'!N208-'Cons spec tot e finalizzati'!O208</f>
        <v>0</v>
      </c>
      <c r="K205" s="41">
        <f>+'Cons spec tot e finalizzati'!P208-'Cons spec tot e finalizzati'!Q208</f>
        <v>0</v>
      </c>
      <c r="L205" s="41">
        <f>+'Cons spec tot e finalizzati'!R208-'Cons spec tot e finalizzati'!S208</f>
        <v>0</v>
      </c>
      <c r="M205" s="41">
        <f>+'Cons spec tot e finalizzati'!T208-'Cons spec tot e finalizzati'!U208</f>
        <v>0</v>
      </c>
      <c r="N205" s="171"/>
      <c r="O205" s="292"/>
      <c r="AB205" s="112"/>
      <c r="AC205" s="114"/>
    </row>
    <row r="206" spans="1:29" s="3" customFormat="1" ht="12.75">
      <c r="A206" s="26"/>
      <c r="B206" s="18"/>
      <c r="C206" s="18" t="s">
        <v>188</v>
      </c>
      <c r="D206" s="25"/>
      <c r="F206" s="41">
        <f>+'Cons spec tot e finalizzati'!F209-'Cons spec tot e finalizzati'!G209</f>
        <v>346</v>
      </c>
      <c r="G206" s="41">
        <f>+'Cons spec tot e finalizzati'!H209-'Cons spec tot e finalizzati'!I209</f>
        <v>390</v>
      </c>
      <c r="H206" s="41">
        <f>+'Cons spec tot e finalizzati'!J209-'Cons spec tot e finalizzati'!K209</f>
        <v>457</v>
      </c>
      <c r="I206" s="41">
        <f>+'Cons spec tot e finalizzati'!L209-'Cons spec tot e finalizzati'!M209</f>
        <v>478</v>
      </c>
      <c r="J206" s="41">
        <f>+'Cons spec tot e finalizzati'!N209-'Cons spec tot e finalizzati'!O209</f>
        <v>588</v>
      </c>
      <c r="K206" s="41">
        <f>+'Cons spec tot e finalizzati'!P209-'Cons spec tot e finalizzati'!Q209</f>
        <v>634</v>
      </c>
      <c r="L206" s="41">
        <f>+'Cons spec tot e finalizzati'!R209-'Cons spec tot e finalizzati'!S209</f>
        <v>622</v>
      </c>
      <c r="M206" s="41">
        <f>+'Cons spec tot e finalizzati'!T209-'Cons spec tot e finalizzati'!U209</f>
        <v>741</v>
      </c>
      <c r="N206" s="171"/>
      <c r="O206" s="292"/>
      <c r="AB206" s="112"/>
      <c r="AC206" s="114"/>
    </row>
    <row r="207" spans="1:29" s="3" customFormat="1" ht="12.75">
      <c r="A207" s="26"/>
      <c r="B207" s="18"/>
      <c r="C207" s="18" t="s">
        <v>189</v>
      </c>
      <c r="D207" s="25"/>
      <c r="E207" s="105"/>
      <c r="F207" s="41">
        <f>+'Cons spec tot e finalizzati'!F210-'Cons spec tot e finalizzati'!G210</f>
        <v>18</v>
      </c>
      <c r="G207" s="41">
        <f>+'Cons spec tot e finalizzati'!H210-'Cons spec tot e finalizzati'!I210</f>
        <v>27</v>
      </c>
      <c r="H207" s="41">
        <f>+'Cons spec tot e finalizzati'!J210-'Cons spec tot e finalizzati'!K210</f>
        <v>27</v>
      </c>
      <c r="I207" s="41">
        <f>+'Cons spec tot e finalizzati'!L210-'Cons spec tot e finalizzati'!M210</f>
        <v>33</v>
      </c>
      <c r="J207" s="41">
        <f>+'Cons spec tot e finalizzati'!N210-'Cons spec tot e finalizzati'!O210</f>
        <v>18</v>
      </c>
      <c r="K207" s="41">
        <f>+'Cons spec tot e finalizzati'!P210-'Cons spec tot e finalizzati'!Q210</f>
        <v>194</v>
      </c>
      <c r="L207" s="41">
        <f>+'Cons spec tot e finalizzati'!R210-'Cons spec tot e finalizzati'!S210</f>
        <v>194</v>
      </c>
      <c r="M207" s="41">
        <f>+'Cons spec tot e finalizzati'!T210-'Cons spec tot e finalizzati'!U210</f>
        <v>154</v>
      </c>
      <c r="N207" s="171"/>
      <c r="O207" s="292"/>
      <c r="AB207" s="112"/>
      <c r="AC207" s="114"/>
    </row>
    <row r="208" spans="1:29" s="3" customFormat="1" ht="12.75">
      <c r="A208" s="134"/>
      <c r="B208" s="135" t="s">
        <v>51</v>
      </c>
      <c r="C208" s="136"/>
      <c r="D208" s="137"/>
      <c r="F208" s="138">
        <f aca="true" t="shared" si="31" ref="F208:M208">SUM(F209:F214)</f>
        <v>2670</v>
      </c>
      <c r="G208" s="138">
        <f t="shared" si="31"/>
        <v>2819</v>
      </c>
      <c r="H208" s="138">
        <f t="shared" si="31"/>
        <v>3149</v>
      </c>
      <c r="I208" s="138">
        <f t="shared" si="31"/>
        <v>3287</v>
      </c>
      <c r="J208" s="138">
        <f t="shared" si="31"/>
        <v>3312</v>
      </c>
      <c r="K208" s="138">
        <f t="shared" si="31"/>
        <v>3424</v>
      </c>
      <c r="L208" s="138">
        <f t="shared" si="31"/>
        <v>3530</v>
      </c>
      <c r="M208" s="138">
        <f t="shared" si="31"/>
        <v>3386</v>
      </c>
      <c r="N208" s="171"/>
      <c r="O208" s="292"/>
      <c r="AB208" s="112"/>
      <c r="AC208" s="114"/>
    </row>
    <row r="209" spans="1:29" s="3" customFormat="1" ht="12.75">
      <c r="A209" s="26"/>
      <c r="B209" s="18"/>
      <c r="C209" s="18" t="s">
        <v>43</v>
      </c>
      <c r="D209" s="25"/>
      <c r="F209" s="41">
        <f>+'Cons spec tot e finalizzati'!F212-'Cons spec tot e finalizzati'!G212</f>
        <v>77</v>
      </c>
      <c r="G209" s="41">
        <f>+'Cons spec tot e finalizzati'!H212-'Cons spec tot e finalizzati'!I212</f>
        <v>183</v>
      </c>
      <c r="H209" s="41">
        <f>+'Cons spec tot e finalizzati'!J212-'Cons spec tot e finalizzati'!K212</f>
        <v>180</v>
      </c>
      <c r="I209" s="41">
        <f>+'Cons spec tot e finalizzati'!L212-'Cons spec tot e finalizzati'!M212</f>
        <v>212</v>
      </c>
      <c r="J209" s="41">
        <f>+'Cons spec tot e finalizzati'!N212-'Cons spec tot e finalizzati'!O212</f>
        <v>259</v>
      </c>
      <c r="K209" s="41">
        <f>+'Cons spec tot e finalizzati'!P212-'Cons spec tot e finalizzati'!Q212</f>
        <v>206</v>
      </c>
      <c r="L209" s="41">
        <f>+'Cons spec tot e finalizzati'!R212-'Cons spec tot e finalizzati'!S212</f>
        <v>158</v>
      </c>
      <c r="M209" s="41">
        <f>+'Cons spec tot e finalizzati'!T212-'Cons spec tot e finalizzati'!U212</f>
        <v>156</v>
      </c>
      <c r="N209" s="171"/>
      <c r="O209" s="292"/>
      <c r="AB209" s="112"/>
      <c r="AC209" s="114"/>
    </row>
    <row r="210" spans="1:29" s="3" customFormat="1" ht="12.75">
      <c r="A210" s="26"/>
      <c r="B210" s="18"/>
      <c r="C210" s="18" t="s">
        <v>44</v>
      </c>
      <c r="D210" s="25"/>
      <c r="F210" s="41">
        <f>+'Cons spec tot e finalizzati'!F213-'Cons spec tot e finalizzati'!G213</f>
        <v>2038</v>
      </c>
      <c r="G210" s="41">
        <f>+'Cons spec tot e finalizzati'!H213-'Cons spec tot e finalizzati'!I213</f>
        <v>2166</v>
      </c>
      <c r="H210" s="41">
        <f>+'Cons spec tot e finalizzati'!J213-'Cons spec tot e finalizzati'!K213</f>
        <v>2264</v>
      </c>
      <c r="I210" s="41">
        <f>+'Cons spec tot e finalizzati'!L213-'Cons spec tot e finalizzati'!M213</f>
        <v>2328</v>
      </c>
      <c r="J210" s="41">
        <f>+'Cons spec tot e finalizzati'!N213-'Cons spec tot e finalizzati'!O213</f>
        <v>2228</v>
      </c>
      <c r="K210" s="41">
        <f>+'Cons spec tot e finalizzati'!P213-'Cons spec tot e finalizzati'!Q213</f>
        <v>2309</v>
      </c>
      <c r="L210" s="41">
        <f>+'Cons spec tot e finalizzati'!R213-'Cons spec tot e finalizzati'!S213</f>
        <v>2417</v>
      </c>
      <c r="M210" s="41">
        <f>+'Cons spec tot e finalizzati'!T213-'Cons spec tot e finalizzati'!U213</f>
        <v>2305</v>
      </c>
      <c r="N210" s="171"/>
      <c r="O210" s="292"/>
      <c r="AB210" s="112"/>
      <c r="AC210" s="114"/>
    </row>
    <row r="211" spans="1:29" s="3" customFormat="1" ht="12.75">
      <c r="A211" s="26"/>
      <c r="B211" s="18"/>
      <c r="C211" s="18" t="s">
        <v>45</v>
      </c>
      <c r="D211" s="25"/>
      <c r="F211" s="41">
        <f>+'Cons spec tot e finalizzati'!F214-'Cons spec tot e finalizzati'!G214</f>
        <v>0</v>
      </c>
      <c r="G211" s="41">
        <f>+'Cons spec tot e finalizzati'!H214-'Cons spec tot e finalizzati'!I214</f>
        <v>0</v>
      </c>
      <c r="H211" s="41">
        <f>+'Cons spec tot e finalizzati'!J214-'Cons spec tot e finalizzati'!K214</f>
        <v>0</v>
      </c>
      <c r="I211" s="41">
        <f>+'Cons spec tot e finalizzati'!L214-'Cons spec tot e finalizzati'!M214</f>
        <v>0</v>
      </c>
      <c r="J211" s="41">
        <f>+'Cons spec tot e finalizzati'!N214-'Cons spec tot e finalizzati'!O214</f>
        <v>0</v>
      </c>
      <c r="K211" s="41">
        <f>+'Cons spec tot e finalizzati'!P214-'Cons spec tot e finalizzati'!Q214</f>
        <v>46</v>
      </c>
      <c r="L211" s="41">
        <f>+'Cons spec tot e finalizzati'!R214-'Cons spec tot e finalizzati'!S214</f>
        <v>56</v>
      </c>
      <c r="M211" s="41">
        <f>+'Cons spec tot e finalizzati'!T214-'Cons spec tot e finalizzati'!U214</f>
        <v>47</v>
      </c>
      <c r="N211" s="171"/>
      <c r="O211" s="292"/>
      <c r="AB211" s="112"/>
      <c r="AC211" s="113"/>
    </row>
    <row r="212" spans="1:29" s="3" customFormat="1" ht="12.75">
      <c r="A212" s="26"/>
      <c r="B212" s="18"/>
      <c r="C212" s="18" t="s">
        <v>46</v>
      </c>
      <c r="D212" s="25"/>
      <c r="F212" s="41">
        <f>+'Cons spec tot e finalizzati'!F215-'Cons spec tot e finalizzati'!G215</f>
        <v>72</v>
      </c>
      <c r="G212" s="41">
        <f>+'Cons spec tot e finalizzati'!H215-'Cons spec tot e finalizzati'!I215</f>
        <v>0</v>
      </c>
      <c r="H212" s="41">
        <f>+'Cons spec tot e finalizzati'!J215-'Cons spec tot e finalizzati'!K215</f>
        <v>181</v>
      </c>
      <c r="I212" s="41">
        <f>+'Cons spec tot e finalizzati'!L215-'Cons spec tot e finalizzati'!M215</f>
        <v>135</v>
      </c>
      <c r="J212" s="41">
        <f>+'Cons spec tot e finalizzati'!N215-'Cons spec tot e finalizzati'!O215</f>
        <v>135</v>
      </c>
      <c r="K212" s="41">
        <f>+'Cons spec tot e finalizzati'!P215-'Cons spec tot e finalizzati'!Q215</f>
        <v>135</v>
      </c>
      <c r="L212" s="41">
        <f>+'Cons spec tot e finalizzati'!R215-'Cons spec tot e finalizzati'!S215</f>
        <v>169</v>
      </c>
      <c r="M212" s="41">
        <f>+'Cons spec tot e finalizzati'!T215-'Cons spec tot e finalizzati'!U215</f>
        <v>214</v>
      </c>
      <c r="N212" s="171"/>
      <c r="O212" s="292"/>
      <c r="AB212" s="79"/>
      <c r="AC212" s="91"/>
    </row>
    <row r="213" spans="1:29" s="3" customFormat="1" ht="12.75">
      <c r="A213" s="26"/>
      <c r="B213" s="18"/>
      <c r="C213" s="18" t="s">
        <v>188</v>
      </c>
      <c r="D213" s="25"/>
      <c r="F213" s="41">
        <f>+'Cons spec tot e finalizzati'!F216-'Cons spec tot e finalizzati'!G216</f>
        <v>477</v>
      </c>
      <c r="G213" s="41">
        <f>+'Cons spec tot e finalizzati'!H216-'Cons spec tot e finalizzati'!I216</f>
        <v>452</v>
      </c>
      <c r="H213" s="41">
        <f>+'Cons spec tot e finalizzati'!J216-'Cons spec tot e finalizzati'!K216</f>
        <v>506</v>
      </c>
      <c r="I213" s="41">
        <f>+'Cons spec tot e finalizzati'!L216-'Cons spec tot e finalizzati'!M216</f>
        <v>590</v>
      </c>
      <c r="J213" s="41">
        <f>+'Cons spec tot e finalizzati'!N216-'Cons spec tot e finalizzati'!O216</f>
        <v>669</v>
      </c>
      <c r="K213" s="41">
        <f>+'Cons spec tot e finalizzati'!P216-'Cons spec tot e finalizzati'!Q216</f>
        <v>656</v>
      </c>
      <c r="L213" s="41">
        <f>+'Cons spec tot e finalizzati'!R216-'Cons spec tot e finalizzati'!S216</f>
        <v>650</v>
      </c>
      <c r="M213" s="41">
        <f>+'Cons spec tot e finalizzati'!T216-'Cons spec tot e finalizzati'!U216</f>
        <v>584</v>
      </c>
      <c r="N213" s="171"/>
      <c r="O213" s="292"/>
      <c r="AB213" s="79"/>
      <c r="AC213" s="91"/>
    </row>
    <row r="214" spans="1:29" s="3" customFormat="1" ht="12.75">
      <c r="A214" s="26"/>
      <c r="B214" s="18"/>
      <c r="C214" s="18" t="s">
        <v>189</v>
      </c>
      <c r="D214" s="25"/>
      <c r="E214" s="105"/>
      <c r="F214" s="42">
        <f>+'Cons spec tot e finalizzati'!F217-'Cons spec tot e finalizzati'!G217</f>
        <v>6</v>
      </c>
      <c r="G214" s="42">
        <f>+'Cons spec tot e finalizzati'!H217-'Cons spec tot e finalizzati'!I217</f>
        <v>18</v>
      </c>
      <c r="H214" s="42">
        <f>+'Cons spec tot e finalizzati'!J217-'Cons spec tot e finalizzati'!K217</f>
        <v>18</v>
      </c>
      <c r="I214" s="42">
        <f>+'Cons spec tot e finalizzati'!L217-'Cons spec tot e finalizzati'!M217</f>
        <v>22</v>
      </c>
      <c r="J214" s="42">
        <f>+'Cons spec tot e finalizzati'!N217-'Cons spec tot e finalizzati'!O217</f>
        <v>21</v>
      </c>
      <c r="K214" s="42">
        <f>+'Cons spec tot e finalizzati'!P217-'Cons spec tot e finalizzati'!Q217</f>
        <v>72</v>
      </c>
      <c r="L214" s="42">
        <f>+'Cons spec tot e finalizzati'!R217-'Cons spec tot e finalizzati'!S217</f>
        <v>80</v>
      </c>
      <c r="M214" s="42">
        <f>+'Cons spec tot e finalizzati'!T217-'Cons spec tot e finalizzati'!U217</f>
        <v>80</v>
      </c>
      <c r="N214" s="171"/>
      <c r="O214" s="292"/>
      <c r="AB214" s="79"/>
      <c r="AC214" s="91"/>
    </row>
    <row r="215" spans="1:29" s="3" customFormat="1" ht="12.75">
      <c r="A215" s="134"/>
      <c r="B215" s="135" t="s">
        <v>52</v>
      </c>
      <c r="C215" s="136"/>
      <c r="D215" s="137"/>
      <c r="F215" s="126">
        <f aca="true" t="shared" si="32" ref="F215:M215">SUM(F216:F221)</f>
        <v>2606</v>
      </c>
      <c r="G215" s="126">
        <f t="shared" si="32"/>
        <v>2725</v>
      </c>
      <c r="H215" s="126">
        <f t="shared" si="32"/>
        <v>2991</v>
      </c>
      <c r="I215" s="126">
        <f t="shared" si="32"/>
        <v>3170</v>
      </c>
      <c r="J215" s="126">
        <f t="shared" si="32"/>
        <v>3484</v>
      </c>
      <c r="K215" s="126">
        <f t="shared" si="32"/>
        <v>3564</v>
      </c>
      <c r="L215" s="126">
        <f t="shared" si="32"/>
        <v>3958</v>
      </c>
      <c r="M215" s="126">
        <f t="shared" si="32"/>
        <v>4002</v>
      </c>
      <c r="N215" s="171"/>
      <c r="O215" s="292"/>
      <c r="AB215" s="79"/>
      <c r="AC215" s="91"/>
    </row>
    <row r="216" spans="1:29" s="3" customFormat="1" ht="12.75">
      <c r="A216" s="26"/>
      <c r="B216" s="18"/>
      <c r="C216" s="18" t="s">
        <v>43</v>
      </c>
      <c r="D216" s="30"/>
      <c r="F216" s="41">
        <f>+'Cons spec tot e finalizzati'!F219-'Cons spec tot e finalizzati'!G219</f>
        <v>65</v>
      </c>
      <c r="G216" s="41">
        <f>+'Cons spec tot e finalizzati'!H219-'Cons spec tot e finalizzati'!I219</f>
        <v>168</v>
      </c>
      <c r="H216" s="41">
        <f>+'Cons spec tot e finalizzati'!J219-'Cons spec tot e finalizzati'!K219</f>
        <v>284</v>
      </c>
      <c r="I216" s="41">
        <f>+'Cons spec tot e finalizzati'!L219-'Cons spec tot e finalizzati'!M219</f>
        <v>158</v>
      </c>
      <c r="J216" s="41">
        <f>+'Cons spec tot e finalizzati'!N219-'Cons spec tot e finalizzati'!O219</f>
        <v>159</v>
      </c>
      <c r="K216" s="41">
        <f>+'Cons spec tot e finalizzati'!P219-'Cons spec tot e finalizzati'!Q219</f>
        <v>192</v>
      </c>
      <c r="L216" s="41">
        <f>+'Cons spec tot e finalizzati'!R219-'Cons spec tot e finalizzati'!S219</f>
        <v>198</v>
      </c>
      <c r="M216" s="41">
        <f>+'Cons spec tot e finalizzati'!T219-'Cons spec tot e finalizzati'!U219</f>
        <v>187</v>
      </c>
      <c r="N216" s="171"/>
      <c r="O216" s="292"/>
      <c r="AB216" s="79"/>
      <c r="AC216" s="91"/>
    </row>
    <row r="217" spans="1:29" s="3" customFormat="1" ht="12.75">
      <c r="A217" s="26"/>
      <c r="B217" s="18"/>
      <c r="C217" s="18" t="s">
        <v>44</v>
      </c>
      <c r="D217" s="25"/>
      <c r="F217" s="41">
        <f>+'Cons spec tot e finalizzati'!F220-'Cons spec tot e finalizzati'!G220</f>
        <v>2104</v>
      </c>
      <c r="G217" s="41">
        <f>+'Cons spec tot e finalizzati'!H220-'Cons spec tot e finalizzati'!I220</f>
        <v>2053</v>
      </c>
      <c r="H217" s="41">
        <f>+'Cons spec tot e finalizzati'!J220-'Cons spec tot e finalizzati'!K220</f>
        <v>2095</v>
      </c>
      <c r="I217" s="41">
        <f>+'Cons spec tot e finalizzati'!L220-'Cons spec tot e finalizzati'!M220</f>
        <v>2411</v>
      </c>
      <c r="J217" s="41">
        <f>+'Cons spec tot e finalizzati'!N220-'Cons spec tot e finalizzati'!O220</f>
        <v>2573</v>
      </c>
      <c r="K217" s="41">
        <f>+'Cons spec tot e finalizzati'!P220-'Cons spec tot e finalizzati'!Q220</f>
        <v>2528</v>
      </c>
      <c r="L217" s="41">
        <f>+'Cons spec tot e finalizzati'!R220-'Cons spec tot e finalizzati'!S220</f>
        <v>2798</v>
      </c>
      <c r="M217" s="41">
        <f>+'Cons spec tot e finalizzati'!T220-'Cons spec tot e finalizzati'!U220</f>
        <v>2787</v>
      </c>
      <c r="N217" s="171"/>
      <c r="O217" s="292"/>
      <c r="AB217" s="79"/>
      <c r="AC217" s="91"/>
    </row>
    <row r="218" spans="1:29" s="3" customFormat="1" ht="12.75">
      <c r="A218" s="26"/>
      <c r="B218" s="18"/>
      <c r="C218" s="18" t="s">
        <v>45</v>
      </c>
      <c r="D218" s="25"/>
      <c r="F218" s="41">
        <f>+'Cons spec tot e finalizzati'!F221-'Cons spec tot e finalizzati'!G221</f>
        <v>0</v>
      </c>
      <c r="G218" s="41">
        <f>+'Cons spec tot e finalizzati'!H221-'Cons spec tot e finalizzati'!I221</f>
        <v>0</v>
      </c>
      <c r="H218" s="41">
        <f>+'Cons spec tot e finalizzati'!J221-'Cons spec tot e finalizzati'!K221</f>
        <v>0</v>
      </c>
      <c r="I218" s="41">
        <f>+'Cons spec tot e finalizzati'!L221-'Cons spec tot e finalizzati'!M221</f>
        <v>0</v>
      </c>
      <c r="J218" s="41">
        <f>+'Cons spec tot e finalizzati'!N221-'Cons spec tot e finalizzati'!O221</f>
        <v>0</v>
      </c>
      <c r="K218" s="41">
        <f>+'Cons spec tot e finalizzati'!P221-'Cons spec tot e finalizzati'!Q221</f>
        <v>59</v>
      </c>
      <c r="L218" s="41">
        <f>+'Cons spec tot e finalizzati'!R221-'Cons spec tot e finalizzati'!S221</f>
        <v>46</v>
      </c>
      <c r="M218" s="41">
        <f>+'Cons spec tot e finalizzati'!T221-'Cons spec tot e finalizzati'!U221</f>
        <v>78</v>
      </c>
      <c r="N218" s="171"/>
      <c r="O218" s="292"/>
      <c r="AB218" s="73"/>
      <c r="AC218" s="85"/>
    </row>
    <row r="219" spans="1:29" s="3" customFormat="1" ht="12.75">
      <c r="A219" s="26"/>
      <c r="B219" s="18"/>
      <c r="C219" s="18" t="s">
        <v>46</v>
      </c>
      <c r="D219" s="25"/>
      <c r="F219" s="41">
        <f>+'Cons spec tot e finalizzati'!F222-'Cons spec tot e finalizzati'!G222</f>
        <v>46</v>
      </c>
      <c r="G219" s="41">
        <f>+'Cons spec tot e finalizzati'!H222-'Cons spec tot e finalizzati'!I222</f>
        <v>13</v>
      </c>
      <c r="H219" s="41">
        <f>+'Cons spec tot e finalizzati'!J222-'Cons spec tot e finalizzati'!K222</f>
        <v>70</v>
      </c>
      <c r="I219" s="41">
        <f>+'Cons spec tot e finalizzati'!L222-'Cons spec tot e finalizzati'!M222</f>
        <v>58</v>
      </c>
      <c r="J219" s="41">
        <f>+'Cons spec tot e finalizzati'!N222-'Cons spec tot e finalizzati'!O222</f>
        <v>51</v>
      </c>
      <c r="K219" s="41">
        <f>+'Cons spec tot e finalizzati'!P222-'Cons spec tot e finalizzati'!Q222</f>
        <v>108</v>
      </c>
      <c r="L219" s="41">
        <f>+'Cons spec tot e finalizzati'!R222-'Cons spec tot e finalizzati'!S222</f>
        <v>83</v>
      </c>
      <c r="M219" s="41">
        <f>+'Cons spec tot e finalizzati'!T222-'Cons spec tot e finalizzati'!U222</f>
        <v>123</v>
      </c>
      <c r="N219" s="171"/>
      <c r="O219" s="292"/>
      <c r="AB219" s="79"/>
      <c r="AC219" s="91"/>
    </row>
    <row r="220" spans="1:29" s="3" customFormat="1" ht="12.75">
      <c r="A220" s="26"/>
      <c r="B220" s="18"/>
      <c r="C220" s="18" t="s">
        <v>188</v>
      </c>
      <c r="D220" s="25"/>
      <c r="F220" s="41">
        <f>+'Cons spec tot e finalizzati'!F223-'Cons spec tot e finalizzati'!G223</f>
        <v>380</v>
      </c>
      <c r="G220" s="41">
        <f>+'Cons spec tot e finalizzati'!H223-'Cons spec tot e finalizzati'!I223</f>
        <v>408</v>
      </c>
      <c r="H220" s="41">
        <f>+'Cons spec tot e finalizzati'!J223-'Cons spec tot e finalizzati'!K223</f>
        <v>441</v>
      </c>
      <c r="I220" s="41">
        <f>+'Cons spec tot e finalizzati'!L223-'Cons spec tot e finalizzati'!M223</f>
        <v>445</v>
      </c>
      <c r="J220" s="41">
        <f>+'Cons spec tot e finalizzati'!N223-'Cons spec tot e finalizzati'!O223</f>
        <v>590</v>
      </c>
      <c r="K220" s="41">
        <f>+'Cons spec tot e finalizzati'!P223-'Cons spec tot e finalizzati'!Q223</f>
        <v>583</v>
      </c>
      <c r="L220" s="41">
        <f>+'Cons spec tot e finalizzati'!R223-'Cons spec tot e finalizzati'!S223</f>
        <v>718</v>
      </c>
      <c r="M220" s="41">
        <f>+'Cons spec tot e finalizzati'!T223-'Cons spec tot e finalizzati'!U223</f>
        <v>730</v>
      </c>
      <c r="N220" s="171"/>
      <c r="O220" s="292"/>
      <c r="AB220" s="79"/>
      <c r="AC220" s="91"/>
    </row>
    <row r="221" spans="1:29" s="3" customFormat="1" ht="12.75">
      <c r="A221" s="26"/>
      <c r="B221" s="18"/>
      <c r="C221" s="18" t="s">
        <v>189</v>
      </c>
      <c r="D221" s="25"/>
      <c r="E221" s="105"/>
      <c r="F221" s="41">
        <f>+'Cons spec tot e finalizzati'!F224-'Cons spec tot e finalizzati'!G224</f>
        <v>11</v>
      </c>
      <c r="G221" s="41">
        <f>+'Cons spec tot e finalizzati'!H224-'Cons spec tot e finalizzati'!I224</f>
        <v>83</v>
      </c>
      <c r="H221" s="41">
        <f>+'Cons spec tot e finalizzati'!J224-'Cons spec tot e finalizzati'!K224</f>
        <v>101</v>
      </c>
      <c r="I221" s="41">
        <f>+'Cons spec tot e finalizzati'!L224-'Cons spec tot e finalizzati'!M224</f>
        <v>98</v>
      </c>
      <c r="J221" s="41">
        <f>+'Cons spec tot e finalizzati'!N224-'Cons spec tot e finalizzati'!O224</f>
        <v>111</v>
      </c>
      <c r="K221" s="41">
        <f>+'Cons spec tot e finalizzati'!P224-'Cons spec tot e finalizzati'!Q224</f>
        <v>94</v>
      </c>
      <c r="L221" s="41">
        <f>+'Cons spec tot e finalizzati'!R224-'Cons spec tot e finalizzati'!S224</f>
        <v>115</v>
      </c>
      <c r="M221" s="41">
        <f>+'Cons spec tot e finalizzati'!T224-'Cons spec tot e finalizzati'!U224</f>
        <v>97</v>
      </c>
      <c r="N221" s="171"/>
      <c r="O221" s="292"/>
      <c r="AB221" s="79"/>
      <c r="AC221" s="91"/>
    </row>
    <row r="222" spans="1:29" s="3" customFormat="1" ht="12.75">
      <c r="A222" s="134"/>
      <c r="B222" s="135" t="s">
        <v>53</v>
      </c>
      <c r="C222" s="136"/>
      <c r="D222" s="137"/>
      <c r="F222" s="138">
        <f aca="true" t="shared" si="33" ref="F222:M222">SUM(F223:F228)</f>
        <v>2757</v>
      </c>
      <c r="G222" s="138">
        <f t="shared" si="33"/>
        <v>3059</v>
      </c>
      <c r="H222" s="138">
        <f t="shared" si="33"/>
        <v>3122</v>
      </c>
      <c r="I222" s="138">
        <f t="shared" si="33"/>
        <v>3371.5</v>
      </c>
      <c r="J222" s="138">
        <f t="shared" si="33"/>
        <v>3500</v>
      </c>
      <c r="K222" s="138">
        <f t="shared" si="33"/>
        <v>3534</v>
      </c>
      <c r="L222" s="138">
        <f t="shared" si="33"/>
        <v>3814</v>
      </c>
      <c r="M222" s="138">
        <f t="shared" si="33"/>
        <v>3838</v>
      </c>
      <c r="N222" s="171"/>
      <c r="O222" s="292"/>
      <c r="AB222" s="79"/>
      <c r="AC222" s="91"/>
    </row>
    <row r="223" spans="1:29" s="3" customFormat="1" ht="12.75">
      <c r="A223" s="26"/>
      <c r="B223" s="18"/>
      <c r="C223" s="18" t="s">
        <v>43</v>
      </c>
      <c r="D223" s="25"/>
      <c r="F223" s="41">
        <f>+'Cons spec tot e finalizzati'!F226-'Cons spec tot e finalizzati'!G226</f>
        <v>76</v>
      </c>
      <c r="G223" s="41">
        <f>+'Cons spec tot e finalizzati'!H226-'Cons spec tot e finalizzati'!I226</f>
        <v>162</v>
      </c>
      <c r="H223" s="41">
        <f>+'Cons spec tot e finalizzati'!J226-'Cons spec tot e finalizzati'!K226</f>
        <v>179</v>
      </c>
      <c r="I223" s="41">
        <f>+'Cons spec tot e finalizzati'!L226-'Cons spec tot e finalizzati'!M226</f>
        <v>205</v>
      </c>
      <c r="J223" s="41">
        <f>+'Cons spec tot e finalizzati'!N226-'Cons spec tot e finalizzati'!O226</f>
        <v>231</v>
      </c>
      <c r="K223" s="41">
        <f>+'Cons spec tot e finalizzati'!P226-'Cons spec tot e finalizzati'!Q226</f>
        <v>197</v>
      </c>
      <c r="L223" s="41">
        <f>+'Cons spec tot e finalizzati'!R226-'Cons spec tot e finalizzati'!S226</f>
        <v>211</v>
      </c>
      <c r="M223" s="41">
        <f>+'Cons spec tot e finalizzati'!T226-'Cons spec tot e finalizzati'!U226</f>
        <v>172</v>
      </c>
      <c r="N223" s="171"/>
      <c r="O223" s="292"/>
      <c r="AB223" s="79"/>
      <c r="AC223" s="91"/>
    </row>
    <row r="224" spans="1:29" s="3" customFormat="1" ht="12.75">
      <c r="A224" s="26"/>
      <c r="B224" s="18"/>
      <c r="C224" s="18" t="s">
        <v>44</v>
      </c>
      <c r="D224" s="25"/>
      <c r="F224" s="41">
        <f>+'Cons spec tot e finalizzati'!F227-'Cons spec tot e finalizzati'!G227</f>
        <v>1989</v>
      </c>
      <c r="G224" s="41">
        <f>+'Cons spec tot e finalizzati'!H227-'Cons spec tot e finalizzati'!I227</f>
        <v>2163</v>
      </c>
      <c r="H224" s="41">
        <f>+'Cons spec tot e finalizzati'!J227-'Cons spec tot e finalizzati'!K227</f>
        <v>2254</v>
      </c>
      <c r="I224" s="41">
        <f>+'Cons spec tot e finalizzati'!L227-'Cons spec tot e finalizzati'!M227</f>
        <v>2392.5</v>
      </c>
      <c r="J224" s="41">
        <f>+'Cons spec tot e finalizzati'!N227-'Cons spec tot e finalizzati'!O227</f>
        <v>2315</v>
      </c>
      <c r="K224" s="41">
        <f>+'Cons spec tot e finalizzati'!P227-'Cons spec tot e finalizzati'!Q227</f>
        <v>2265</v>
      </c>
      <c r="L224" s="41">
        <f>+'Cons spec tot e finalizzati'!R227-'Cons spec tot e finalizzati'!S227</f>
        <v>2499</v>
      </c>
      <c r="M224" s="41">
        <f>+'Cons spec tot e finalizzati'!T227-'Cons spec tot e finalizzati'!U227</f>
        <v>2503</v>
      </c>
      <c r="N224" s="171"/>
      <c r="O224" s="292"/>
      <c r="AB224" s="79"/>
      <c r="AC224" s="91"/>
    </row>
    <row r="225" spans="1:29" s="3" customFormat="1" ht="12.75">
      <c r="A225" s="26"/>
      <c r="B225" s="18"/>
      <c r="C225" s="18" t="s">
        <v>45</v>
      </c>
      <c r="D225" s="25"/>
      <c r="F225" s="41">
        <f>+'Cons spec tot e finalizzati'!F228-'Cons spec tot e finalizzati'!G228</f>
        <v>0</v>
      </c>
      <c r="G225" s="41">
        <f>+'Cons spec tot e finalizzati'!H228-'Cons spec tot e finalizzati'!I228</f>
        <v>0</v>
      </c>
      <c r="H225" s="41">
        <f>+'Cons spec tot e finalizzati'!J228-'Cons spec tot e finalizzati'!K228</f>
        <v>0</v>
      </c>
      <c r="I225" s="41">
        <f>+'Cons spec tot e finalizzati'!L228-'Cons spec tot e finalizzati'!M228</f>
        <v>0</v>
      </c>
      <c r="J225" s="41">
        <f>+'Cons spec tot e finalizzati'!N228-'Cons spec tot e finalizzati'!O228</f>
        <v>0</v>
      </c>
      <c r="K225" s="41">
        <f>+'Cons spec tot e finalizzati'!P228-'Cons spec tot e finalizzati'!Q228</f>
        <v>32</v>
      </c>
      <c r="L225" s="41">
        <f>+'Cons spec tot e finalizzati'!R228-'Cons spec tot e finalizzati'!S228</f>
        <v>40</v>
      </c>
      <c r="M225" s="41">
        <f>+'Cons spec tot e finalizzati'!T228-'Cons spec tot e finalizzati'!U228</f>
        <v>43</v>
      </c>
      <c r="N225" s="171"/>
      <c r="O225" s="292"/>
      <c r="AB225" s="83"/>
      <c r="AC225" s="94"/>
    </row>
    <row r="226" spans="1:31" s="3" customFormat="1" ht="12.75">
      <c r="A226" s="26"/>
      <c r="B226" s="18"/>
      <c r="C226" s="18" t="s">
        <v>46</v>
      </c>
      <c r="D226" s="25"/>
      <c r="F226" s="41">
        <f>+'Cons spec tot e finalizzati'!F229-'Cons spec tot e finalizzati'!G229</f>
        <v>7</v>
      </c>
      <c r="G226" s="41">
        <f>+'Cons spec tot e finalizzati'!H229-'Cons spec tot e finalizzati'!I229</f>
        <v>0</v>
      </c>
      <c r="H226" s="41">
        <f>+'Cons spec tot e finalizzati'!J229-'Cons spec tot e finalizzati'!K229</f>
        <v>0</v>
      </c>
      <c r="I226" s="41">
        <f>+'Cons spec tot e finalizzati'!L229-'Cons spec tot e finalizzati'!M229</f>
        <v>0</v>
      </c>
      <c r="J226" s="41">
        <f>+'Cons spec tot e finalizzati'!N229-'Cons spec tot e finalizzati'!O229</f>
        <v>29</v>
      </c>
      <c r="K226" s="41">
        <f>+'Cons spec tot e finalizzati'!P229-'Cons spec tot e finalizzati'!Q229</f>
        <v>29</v>
      </c>
      <c r="L226" s="41">
        <f>+'Cons spec tot e finalizzati'!R229-'Cons spec tot e finalizzati'!S229</f>
        <v>35</v>
      </c>
      <c r="M226" s="41">
        <f>+'Cons spec tot e finalizzati'!T229-'Cons spec tot e finalizzati'!U229</f>
        <v>44</v>
      </c>
      <c r="N226" s="171"/>
      <c r="O226" s="292"/>
      <c r="AD226" s="120"/>
      <c r="AE226" s="120"/>
    </row>
    <row r="227" spans="1:32" ht="12.75">
      <c r="A227" s="26"/>
      <c r="B227" s="18"/>
      <c r="C227" s="18" t="s">
        <v>188</v>
      </c>
      <c r="D227" s="25"/>
      <c r="F227" s="41">
        <f>+'Cons spec tot e finalizzati'!F230-'Cons spec tot e finalizzati'!G230</f>
        <v>620</v>
      </c>
      <c r="G227" s="41">
        <f>+'Cons spec tot e finalizzati'!H230-'Cons spec tot e finalizzati'!I230</f>
        <v>657</v>
      </c>
      <c r="H227" s="41">
        <f>+'Cons spec tot e finalizzati'!J230-'Cons spec tot e finalizzati'!K230</f>
        <v>656</v>
      </c>
      <c r="I227" s="41">
        <f>+'Cons spec tot e finalizzati'!L230-'Cons spec tot e finalizzati'!M230</f>
        <v>672</v>
      </c>
      <c r="J227" s="41">
        <f>+'Cons spec tot e finalizzati'!N230-'Cons spec tot e finalizzati'!O230</f>
        <v>820</v>
      </c>
      <c r="K227" s="41">
        <f>+'Cons spec tot e finalizzati'!P230-'Cons spec tot e finalizzati'!Q230</f>
        <v>849</v>
      </c>
      <c r="L227" s="41">
        <f>+'Cons spec tot e finalizzati'!R230-'Cons spec tot e finalizzati'!S230</f>
        <v>898</v>
      </c>
      <c r="M227" s="41">
        <f>+'Cons spec tot e finalizzati'!T230-'Cons spec tot e finalizzati'!U230</f>
        <v>984</v>
      </c>
      <c r="N227" s="171"/>
      <c r="O227" s="292"/>
      <c r="AD227" s="6"/>
      <c r="AF227"/>
    </row>
    <row r="228" spans="1:32" ht="12.75">
      <c r="A228" s="26"/>
      <c r="B228" s="18"/>
      <c r="C228" s="18" t="s">
        <v>189</v>
      </c>
      <c r="D228" s="25"/>
      <c r="F228" s="41">
        <f>+'Cons spec tot e finalizzati'!F231-'Cons spec tot e finalizzati'!G231</f>
        <v>65</v>
      </c>
      <c r="G228" s="41">
        <f>+'Cons spec tot e finalizzati'!H231-'Cons spec tot e finalizzati'!I231</f>
        <v>77</v>
      </c>
      <c r="H228" s="41">
        <f>+'Cons spec tot e finalizzati'!J231-'Cons spec tot e finalizzati'!K231</f>
        <v>33</v>
      </c>
      <c r="I228" s="41">
        <f>+'Cons spec tot e finalizzati'!L231-'Cons spec tot e finalizzati'!M231</f>
        <v>102</v>
      </c>
      <c r="J228" s="41">
        <f>+'Cons spec tot e finalizzati'!N231-'Cons spec tot e finalizzati'!O231</f>
        <v>105</v>
      </c>
      <c r="K228" s="41">
        <f>+'Cons spec tot e finalizzati'!P231-'Cons spec tot e finalizzati'!Q231</f>
        <v>162</v>
      </c>
      <c r="L228" s="41">
        <f>+'Cons spec tot e finalizzati'!R231-'Cons spec tot e finalizzati'!S231</f>
        <v>131</v>
      </c>
      <c r="M228" s="41">
        <f>+'Cons spec tot e finalizzati'!T231-'Cons spec tot e finalizzati'!U231</f>
        <v>92</v>
      </c>
      <c r="N228" s="171"/>
      <c r="O228" s="292"/>
      <c r="AD228" s="6"/>
      <c r="AF228"/>
    </row>
    <row r="229" spans="1:39" ht="12.75">
      <c r="A229" s="134"/>
      <c r="B229" s="135" t="s">
        <v>54</v>
      </c>
      <c r="C229" s="136"/>
      <c r="D229" s="137"/>
      <c r="F229" s="138">
        <f aca="true" t="shared" si="34" ref="F229:M229">SUM(F230:F235)</f>
        <v>3033</v>
      </c>
      <c r="G229" s="138">
        <f t="shared" si="34"/>
        <v>3315</v>
      </c>
      <c r="H229" s="138">
        <f t="shared" si="34"/>
        <v>3641</v>
      </c>
      <c r="I229" s="138">
        <f t="shared" si="34"/>
        <v>3953</v>
      </c>
      <c r="J229" s="138">
        <f t="shared" si="34"/>
        <v>4146.506293027315</v>
      </c>
      <c r="K229" s="138">
        <f t="shared" si="34"/>
        <v>4554</v>
      </c>
      <c r="L229" s="138">
        <f t="shared" si="34"/>
        <v>4505</v>
      </c>
      <c r="M229" s="138">
        <f t="shared" si="34"/>
        <v>4614</v>
      </c>
      <c r="N229" s="171"/>
      <c r="O229" s="292"/>
      <c r="P229" s="6"/>
      <c r="Q229" s="1"/>
      <c r="R229" s="6"/>
      <c r="S229" s="2"/>
      <c r="U229" s="6"/>
      <c r="V229" s="2"/>
      <c r="AE229"/>
      <c r="AF229"/>
      <c r="AL229" s="6"/>
      <c r="AM229" s="6"/>
    </row>
    <row r="230" spans="1:39" ht="12.75">
      <c r="A230" s="26"/>
      <c r="B230" s="31"/>
      <c r="C230" s="18" t="s">
        <v>43</v>
      </c>
      <c r="D230" s="25"/>
      <c r="F230" s="41">
        <f>+'Cons spec tot e finalizzati'!F233-'Cons spec tot e finalizzati'!G233</f>
        <v>157</v>
      </c>
      <c r="G230" s="41">
        <f>+'Cons spec tot e finalizzati'!H233-'Cons spec tot e finalizzati'!I233</f>
        <v>348</v>
      </c>
      <c r="H230" s="41">
        <f>+'Cons spec tot e finalizzati'!J233-'Cons spec tot e finalizzati'!K233</f>
        <v>370</v>
      </c>
      <c r="I230" s="41">
        <f>+'Cons spec tot e finalizzati'!L233-'Cons spec tot e finalizzati'!M233</f>
        <v>349</v>
      </c>
      <c r="J230" s="41">
        <f>+'Cons spec tot e finalizzati'!N233-'Cons spec tot e finalizzati'!O233</f>
        <v>309</v>
      </c>
      <c r="K230" s="41">
        <f>+'Cons spec tot e finalizzati'!P233-'Cons spec tot e finalizzati'!Q233</f>
        <v>289</v>
      </c>
      <c r="L230" s="41">
        <f>+'Cons spec tot e finalizzati'!R233-'Cons spec tot e finalizzati'!S233</f>
        <v>199</v>
      </c>
      <c r="M230" s="41">
        <f>+'Cons spec tot e finalizzati'!T233-'Cons spec tot e finalizzati'!U233</f>
        <v>263</v>
      </c>
      <c r="N230" s="171"/>
      <c r="O230" s="292"/>
      <c r="P230" s="6"/>
      <c r="Q230" s="1"/>
      <c r="R230" s="6"/>
      <c r="S230" s="2"/>
      <c r="U230" s="6"/>
      <c r="V230" s="2"/>
      <c r="AE230"/>
      <c r="AF230"/>
      <c r="AL230" s="6"/>
      <c r="AM230" s="6"/>
    </row>
    <row r="231" spans="1:40" ht="12.75">
      <c r="A231" s="26"/>
      <c r="B231" s="31"/>
      <c r="C231" s="18" t="s">
        <v>44</v>
      </c>
      <c r="D231" s="25"/>
      <c r="F231" s="41">
        <f>+'Cons spec tot e finalizzati'!F234-'Cons spec tot e finalizzati'!G234</f>
        <v>2217</v>
      </c>
      <c r="G231" s="41">
        <f>+'Cons spec tot e finalizzati'!H234-'Cons spec tot e finalizzati'!I234</f>
        <v>2271</v>
      </c>
      <c r="H231" s="41">
        <f>+'Cons spec tot e finalizzati'!J234-'Cons spec tot e finalizzati'!K234</f>
        <v>2441</v>
      </c>
      <c r="I231" s="41">
        <f>+'Cons spec tot e finalizzati'!L234-'Cons spec tot e finalizzati'!M234</f>
        <v>2684</v>
      </c>
      <c r="J231" s="41">
        <f>+'Cons spec tot e finalizzati'!N234-'Cons spec tot e finalizzati'!O234</f>
        <v>2788.506293027315</v>
      </c>
      <c r="K231" s="41">
        <f>+'Cons spec tot e finalizzati'!P234-'Cons spec tot e finalizzati'!Q234</f>
        <v>2883</v>
      </c>
      <c r="L231" s="41">
        <f>+'Cons spec tot e finalizzati'!R234-'Cons spec tot e finalizzati'!S234</f>
        <v>2919</v>
      </c>
      <c r="M231" s="41">
        <f>+'Cons spec tot e finalizzati'!T234-'Cons spec tot e finalizzati'!U234</f>
        <v>2929</v>
      </c>
      <c r="N231" s="171"/>
      <c r="O231" s="292"/>
      <c r="P231" s="6"/>
      <c r="Q231" s="1"/>
      <c r="R231" s="6"/>
      <c r="S231" s="2"/>
      <c r="U231" s="6"/>
      <c r="V231" s="2"/>
      <c r="AE231"/>
      <c r="AF231"/>
      <c r="AM231" s="6"/>
      <c r="AN231" s="6"/>
    </row>
    <row r="232" spans="1:40" ht="12.75">
      <c r="A232" s="26"/>
      <c r="B232" s="31"/>
      <c r="C232" s="18" t="s">
        <v>45</v>
      </c>
      <c r="D232" s="25"/>
      <c r="F232" s="41">
        <f>+'Cons spec tot e finalizzati'!F235-'Cons spec tot e finalizzati'!G235</f>
        <v>0</v>
      </c>
      <c r="G232" s="41">
        <f>+'Cons spec tot e finalizzati'!H235-'Cons spec tot e finalizzati'!I235</f>
        <v>0</v>
      </c>
      <c r="H232" s="41">
        <f>+'Cons spec tot e finalizzati'!J235-'Cons spec tot e finalizzati'!K235</f>
        <v>0</v>
      </c>
      <c r="I232" s="41">
        <f>+'Cons spec tot e finalizzati'!L235-'Cons spec tot e finalizzati'!M235</f>
        <v>0</v>
      </c>
      <c r="J232" s="41">
        <f>+'Cons spec tot e finalizzati'!N235-'Cons spec tot e finalizzati'!O235</f>
        <v>0</v>
      </c>
      <c r="K232" s="41">
        <f>+'Cons spec tot e finalizzati'!P235-'Cons spec tot e finalizzati'!Q235</f>
        <v>58</v>
      </c>
      <c r="L232" s="41">
        <f>+'Cons spec tot e finalizzati'!R235-'Cons spec tot e finalizzati'!S235</f>
        <v>79</v>
      </c>
      <c r="M232" s="41">
        <f>+'Cons spec tot e finalizzati'!T235-'Cons spec tot e finalizzati'!U235</f>
        <v>50</v>
      </c>
      <c r="N232" s="171"/>
      <c r="O232" s="292"/>
      <c r="P232" s="6"/>
      <c r="Q232" s="1"/>
      <c r="R232" s="6"/>
      <c r="S232" s="1"/>
      <c r="U232" s="6"/>
      <c r="V232" s="1"/>
      <c r="AE232"/>
      <c r="AF232"/>
      <c r="AM232" s="6"/>
      <c r="AN232" s="6"/>
    </row>
    <row r="233" spans="1:40" ht="12.75">
      <c r="A233" s="26"/>
      <c r="B233" s="31"/>
      <c r="C233" s="18" t="s">
        <v>46</v>
      </c>
      <c r="D233" s="25"/>
      <c r="F233" s="41">
        <f>+'Cons spec tot e finalizzati'!F236-'Cons spec tot e finalizzati'!G236</f>
        <v>66</v>
      </c>
      <c r="G233" s="41">
        <f>+'Cons spec tot e finalizzati'!H236-'Cons spec tot e finalizzati'!I236</f>
        <v>18</v>
      </c>
      <c r="H233" s="41">
        <f>+'Cons spec tot e finalizzati'!J236-'Cons spec tot e finalizzati'!K236</f>
        <v>69</v>
      </c>
      <c r="I233" s="41">
        <f>+'Cons spec tot e finalizzati'!L236-'Cons spec tot e finalizzati'!M236</f>
        <v>57</v>
      </c>
      <c r="J233" s="41">
        <f>+'Cons spec tot e finalizzati'!N236-'Cons spec tot e finalizzati'!O236</f>
        <v>72</v>
      </c>
      <c r="K233" s="41">
        <f>+'Cons spec tot e finalizzati'!P236-'Cons spec tot e finalizzati'!Q236</f>
        <v>72</v>
      </c>
      <c r="L233" s="41">
        <f>+'Cons spec tot e finalizzati'!R236-'Cons spec tot e finalizzati'!S236</f>
        <v>85</v>
      </c>
      <c r="M233" s="41">
        <f>+'Cons spec tot e finalizzati'!T236-'Cons spec tot e finalizzati'!U236</f>
        <v>118</v>
      </c>
      <c r="N233" s="171"/>
      <c r="O233" s="292"/>
      <c r="P233" s="6"/>
      <c r="Q233" s="1"/>
      <c r="R233" s="6"/>
      <c r="S233" s="1"/>
      <c r="U233" s="6"/>
      <c r="V233" s="1"/>
      <c r="AE233"/>
      <c r="AF233"/>
      <c r="AM233" s="6"/>
      <c r="AN233" s="6"/>
    </row>
    <row r="234" spans="1:40" s="1" customFormat="1" ht="12.75">
      <c r="A234" s="26"/>
      <c r="B234" s="31"/>
      <c r="C234" s="18" t="s">
        <v>188</v>
      </c>
      <c r="D234" s="25"/>
      <c r="E234"/>
      <c r="F234" s="41">
        <f>+'Cons spec tot e finalizzati'!F237-'Cons spec tot e finalizzati'!G237</f>
        <v>470</v>
      </c>
      <c r="G234" s="41">
        <f>+'Cons spec tot e finalizzati'!H237-'Cons spec tot e finalizzati'!I237</f>
        <v>524</v>
      </c>
      <c r="H234" s="41">
        <f>+'Cons spec tot e finalizzati'!J237-'Cons spec tot e finalizzati'!K237</f>
        <v>577</v>
      </c>
      <c r="I234" s="41">
        <f>+'Cons spec tot e finalizzati'!L237-'Cons spec tot e finalizzati'!M237</f>
        <v>711</v>
      </c>
      <c r="J234" s="41">
        <f>+'Cons spec tot e finalizzati'!N237-'Cons spec tot e finalizzati'!O237</f>
        <v>821</v>
      </c>
      <c r="K234" s="41">
        <f>+'Cons spec tot e finalizzati'!P237-'Cons spec tot e finalizzati'!Q237</f>
        <v>924</v>
      </c>
      <c r="L234" s="41">
        <f>+'Cons spec tot e finalizzati'!R237-'Cons spec tot e finalizzati'!S237</f>
        <v>853</v>
      </c>
      <c r="M234" s="41">
        <f>+'Cons spec tot e finalizzati'!T237-'Cons spec tot e finalizzati'!U237</f>
        <v>949</v>
      </c>
      <c r="N234" s="171"/>
      <c r="O234" s="292"/>
      <c r="P234" s="6"/>
      <c r="R234" s="6"/>
      <c r="U234" s="6"/>
      <c r="AM234" s="2"/>
      <c r="AN234" s="2"/>
    </row>
    <row r="235" spans="1:40" ht="12.75">
      <c r="A235" s="26"/>
      <c r="B235" s="31"/>
      <c r="C235" s="18" t="s">
        <v>189</v>
      </c>
      <c r="D235" s="25"/>
      <c r="F235" s="41">
        <f>+'Cons spec tot e finalizzati'!F238-'Cons spec tot e finalizzati'!G238</f>
        <v>123</v>
      </c>
      <c r="G235" s="41">
        <f>+'Cons spec tot e finalizzati'!H238-'Cons spec tot e finalizzati'!I238</f>
        <v>154</v>
      </c>
      <c r="H235" s="41">
        <f>+'Cons spec tot e finalizzati'!J238-'Cons spec tot e finalizzati'!K238</f>
        <v>184</v>
      </c>
      <c r="I235" s="41">
        <f>+'Cons spec tot e finalizzati'!L238-'Cons spec tot e finalizzati'!M238</f>
        <v>152</v>
      </c>
      <c r="J235" s="41">
        <f>+'Cons spec tot e finalizzati'!N238-'Cons spec tot e finalizzati'!O238</f>
        <v>156</v>
      </c>
      <c r="K235" s="41">
        <f>+'Cons spec tot e finalizzati'!P238-'Cons spec tot e finalizzati'!Q238</f>
        <v>328</v>
      </c>
      <c r="L235" s="41">
        <f>+'Cons spec tot e finalizzati'!R238-'Cons spec tot e finalizzati'!S238</f>
        <v>370</v>
      </c>
      <c r="M235" s="41">
        <f>+'Cons spec tot e finalizzati'!T238-'Cons spec tot e finalizzati'!U238</f>
        <v>305</v>
      </c>
      <c r="N235" s="171"/>
      <c r="O235" s="292"/>
      <c r="P235" s="6"/>
      <c r="Q235" s="1"/>
      <c r="R235" s="6"/>
      <c r="S235" s="1"/>
      <c r="U235" s="6"/>
      <c r="V235" s="1"/>
      <c r="AE235"/>
      <c r="AF235"/>
      <c r="AM235" s="6"/>
      <c r="AN235" s="6"/>
    </row>
    <row r="236" spans="1:40" ht="15.75">
      <c r="A236" s="122" t="s">
        <v>58</v>
      </c>
      <c r="B236" s="123"/>
      <c r="C236" s="123"/>
      <c r="D236" s="124"/>
      <c r="F236" s="170">
        <f>+F172+F165+F153+F129+F96+F73+F51+F47+F40+F37+F33+F27+F24+F23+F22+F21+F9+F6-11+F15+F25+F56+F55+F26</f>
        <v>87295</v>
      </c>
      <c r="G236" s="170">
        <f>+G172+G165+G153+G129+G96+G73+G51+G47+G40+G37+G33+G27+G24+G23+G22+G21+G9+G6+G15+G25+G56+G55+G26</f>
        <v>105532</v>
      </c>
      <c r="H236" s="170">
        <f>+H172+H165+H153+H129+H96+H73+H51+H47+H40+H37+H33+H27+H24+H23+H22+H21+H9+H6+H15+H25+H56+H55+H26</f>
        <v>99214</v>
      </c>
      <c r="I236" s="170">
        <f>+I172+I165+I153+I129+I96+I73+I51+I47+I40+I37+I33+I27+I24+I23+I22+I21+I9+I6+I15+I25+I56+I55+I26</f>
        <v>108867</v>
      </c>
      <c r="J236" s="170">
        <f>+J172+J165+J153+J129+J96+J73+J51+J47+J40+J37+J33+J27+J24+J23+J22+J21+J9+J6+J15+J25+J56+J55+J26</f>
        <v>111910.12642864889</v>
      </c>
      <c r="K236" s="170">
        <f>+K172+K165+K153+K129+K96+K73+K51+K47+K40+K37+K33+K27+K24+K23+K22+K21+K9+K6+K15+K25+K56+K55+K26</f>
        <v>117320</v>
      </c>
      <c r="L236" s="170">
        <f>+L172+L165+L153+L129+L96+L73+L51+L47+L40+L37+L33+L27+L24+L23+L22+L21+L9+L6+L15+L25+L56+L55+L26+1</f>
        <v>121706</v>
      </c>
      <c r="M236" s="170">
        <f>+M172+M165+M153+M129+M96+M73+M51+M47+M40+M37+M33+M27+M24+M23+M22+M21+M9+M6+M15+M25+M56+M55+M26</f>
        <v>128283</v>
      </c>
      <c r="N236" s="171"/>
      <c r="O236" s="292"/>
      <c r="P236" s="6"/>
      <c r="Q236" s="1"/>
      <c r="R236" s="6"/>
      <c r="S236" s="1"/>
      <c r="U236" s="6"/>
      <c r="V236" s="1"/>
      <c r="AE236"/>
      <c r="AF236"/>
      <c r="AM236" s="6"/>
      <c r="AN236" s="6"/>
    </row>
    <row r="237" spans="2:40" ht="15.75">
      <c r="B237" s="141"/>
      <c r="C237" s="141"/>
      <c r="D237" s="141"/>
      <c r="F237" s="142"/>
      <c r="G237" s="142"/>
      <c r="H237" s="142"/>
      <c r="I237" s="142"/>
      <c r="J237" s="142"/>
      <c r="K237" s="142"/>
      <c r="L237" s="142"/>
      <c r="M237" s="142"/>
      <c r="N237" s="171"/>
      <c r="O237" s="6"/>
      <c r="P237" s="6"/>
      <c r="Q237" s="1"/>
      <c r="R237" s="6"/>
      <c r="S237" s="1"/>
      <c r="U237" s="6"/>
      <c r="V237" s="1"/>
      <c r="AE237"/>
      <c r="AF237"/>
      <c r="AM237" s="6"/>
      <c r="AN237" s="6"/>
    </row>
    <row r="238" spans="1:40" ht="12.75">
      <c r="A238" s="37" t="s">
        <v>120</v>
      </c>
      <c r="N238" s="6"/>
      <c r="O238" s="6"/>
      <c r="P238" s="6"/>
      <c r="Q238" s="1"/>
      <c r="R238" s="6"/>
      <c r="S238" s="1"/>
      <c r="U238" s="6"/>
      <c r="V238" s="1"/>
      <c r="AE238"/>
      <c r="AF238"/>
      <c r="AM238" s="6"/>
      <c r="AN238" s="6"/>
    </row>
    <row r="239" spans="1:40" ht="12.75">
      <c r="A239" s="37" t="s">
        <v>206</v>
      </c>
      <c r="N239" s="6"/>
      <c r="O239" s="6"/>
      <c r="P239" s="6"/>
      <c r="Q239" s="1"/>
      <c r="R239" s="6"/>
      <c r="S239" s="1"/>
      <c r="U239" s="6"/>
      <c r="V239" s="1"/>
      <c r="AE239"/>
      <c r="AF239"/>
      <c r="AM239" s="6"/>
      <c r="AN239" s="6"/>
    </row>
    <row r="240" spans="1:40" ht="12.75">
      <c r="A240" s="75" t="s">
        <v>121</v>
      </c>
      <c r="N240" s="6"/>
      <c r="O240" s="6"/>
      <c r="P240" s="6"/>
      <c r="Q240" s="1"/>
      <c r="R240" s="6"/>
      <c r="S240" s="1"/>
      <c r="U240" s="6"/>
      <c r="V240" s="1"/>
      <c r="AE240"/>
      <c r="AF240"/>
      <c r="AM240" s="6"/>
      <c r="AN240" s="6"/>
    </row>
    <row r="241" spans="1:40" ht="12.75">
      <c r="A241" s="37"/>
      <c r="N241" s="6"/>
      <c r="O241" s="6"/>
      <c r="P241" s="6"/>
      <c r="Q241" s="1"/>
      <c r="R241" s="6"/>
      <c r="S241" s="1"/>
      <c r="U241" s="6"/>
      <c r="V241" s="1"/>
      <c r="AE241"/>
      <c r="AF241"/>
      <c r="AM241" s="6"/>
      <c r="AN241" s="6"/>
    </row>
    <row r="242" spans="1:40" ht="12.75">
      <c r="A242" s="37"/>
      <c r="N242" s="6"/>
      <c r="O242" s="6"/>
      <c r="P242" s="6"/>
      <c r="Q242" s="1"/>
      <c r="R242" s="6"/>
      <c r="S242" s="1"/>
      <c r="U242" s="6"/>
      <c r="V242" s="1"/>
      <c r="AE242"/>
      <c r="AF242"/>
      <c r="AM242" s="6"/>
      <c r="AN242" s="6"/>
    </row>
    <row r="243" spans="1:40" ht="12.75">
      <c r="A243" s="37"/>
      <c r="N243" s="6"/>
      <c r="O243" s="6"/>
      <c r="P243" s="6"/>
      <c r="Q243" s="1"/>
      <c r="R243" s="6"/>
      <c r="S243" s="1"/>
      <c r="U243" s="6"/>
      <c r="V243" s="1"/>
      <c r="AE243"/>
      <c r="AF243"/>
      <c r="AM243" s="6"/>
      <c r="AN243" s="6"/>
    </row>
    <row r="244" spans="1:40" ht="12.75">
      <c r="A244" s="37"/>
      <c r="N244" s="6"/>
      <c r="O244" s="6"/>
      <c r="P244" s="6"/>
      <c r="Q244" s="1"/>
      <c r="R244" s="6"/>
      <c r="S244" s="1"/>
      <c r="U244" s="6"/>
      <c r="V244" s="1"/>
      <c r="AE244"/>
      <c r="AF244"/>
      <c r="AM244" s="6"/>
      <c r="AN244" s="6"/>
    </row>
    <row r="245" spans="1:40" ht="12.75">
      <c r="A245" s="37"/>
      <c r="N245" s="6"/>
      <c r="O245" s="6"/>
      <c r="P245" s="6"/>
      <c r="Q245" s="1"/>
      <c r="R245" s="6"/>
      <c r="S245" s="1"/>
      <c r="U245" s="6"/>
      <c r="V245" s="1"/>
      <c r="AE245"/>
      <c r="AF245"/>
      <c r="AM245" s="6"/>
      <c r="AN245" s="6"/>
    </row>
    <row r="246" spans="1:40" ht="12.75">
      <c r="A246" s="37"/>
      <c r="N246" s="6"/>
      <c r="O246" s="6"/>
      <c r="P246" s="6"/>
      <c r="Q246" s="1"/>
      <c r="R246" s="6"/>
      <c r="S246" s="1"/>
      <c r="U246" s="6"/>
      <c r="V246" s="1"/>
      <c r="AE246"/>
      <c r="AF246"/>
      <c r="AM246" s="6"/>
      <c r="AN246" s="6"/>
    </row>
    <row r="247" spans="1:40" ht="12.75">
      <c r="A247" s="37"/>
      <c r="N247" s="6"/>
      <c r="O247" s="6"/>
      <c r="P247" s="6"/>
      <c r="Q247" s="1"/>
      <c r="R247" s="6"/>
      <c r="S247" s="1"/>
      <c r="U247" s="6"/>
      <c r="V247" s="1"/>
      <c r="AE247"/>
      <c r="AF247"/>
      <c r="AM247" s="6"/>
      <c r="AN247" s="6"/>
    </row>
    <row r="248" spans="1:40" ht="12.75">
      <c r="A248" s="37"/>
      <c r="N248" s="6"/>
      <c r="O248" s="6"/>
      <c r="P248" s="6"/>
      <c r="Q248" s="1"/>
      <c r="R248" s="6"/>
      <c r="S248" s="1"/>
      <c r="U248" s="6"/>
      <c r="V248" s="1"/>
      <c r="AE248"/>
      <c r="AF248"/>
      <c r="AM248" s="6"/>
      <c r="AN248" s="6"/>
    </row>
    <row r="249" spans="1:41" ht="12.75">
      <c r="A249" s="37"/>
      <c r="N249" s="6"/>
      <c r="O249" s="6"/>
      <c r="P249" s="6"/>
      <c r="Q249" s="1"/>
      <c r="R249" s="6"/>
      <c r="S249" s="1"/>
      <c r="T249" s="2"/>
      <c r="U249" s="6"/>
      <c r="V249" s="1"/>
      <c r="AE249"/>
      <c r="AF249"/>
      <c r="AN249" s="6"/>
      <c r="AO249" s="6"/>
    </row>
    <row r="250" spans="1:41" ht="12.75">
      <c r="A250" s="37"/>
      <c r="N250" s="6"/>
      <c r="O250" s="6"/>
      <c r="P250" s="6"/>
      <c r="Q250" s="1"/>
      <c r="R250" s="6"/>
      <c r="S250" s="1"/>
      <c r="T250" s="2"/>
      <c r="U250" s="6"/>
      <c r="V250" s="1"/>
      <c r="AE250"/>
      <c r="AF250"/>
      <c r="AN250" s="6"/>
      <c r="AO250" s="6"/>
    </row>
    <row r="251" spans="1:41" ht="12.75">
      <c r="A251" s="37"/>
      <c r="N251" s="6"/>
      <c r="O251" s="6"/>
      <c r="P251" s="6"/>
      <c r="Q251" s="1"/>
      <c r="R251" s="6"/>
      <c r="S251" s="1"/>
      <c r="T251" s="2"/>
      <c r="U251" s="6"/>
      <c r="V251" s="1"/>
      <c r="AE251"/>
      <c r="AF251"/>
      <c r="AN251" s="6"/>
      <c r="AO251" s="6"/>
    </row>
    <row r="252" spans="1:41" ht="12.75">
      <c r="A252" s="37"/>
      <c r="N252" s="6"/>
      <c r="O252" s="6"/>
      <c r="P252" s="6"/>
      <c r="Q252" s="1"/>
      <c r="R252" s="6"/>
      <c r="S252" s="1"/>
      <c r="T252" s="2"/>
      <c r="U252" s="6"/>
      <c r="V252" s="1"/>
      <c r="AE252"/>
      <c r="AF252"/>
      <c r="AN252" s="6"/>
      <c r="AO252" s="6"/>
    </row>
    <row r="253" ht="12.75">
      <c r="A253" s="37"/>
    </row>
    <row r="254" ht="12.75">
      <c r="A254" s="37"/>
    </row>
    <row r="255" ht="12.75">
      <c r="A255" s="37"/>
    </row>
    <row r="256" ht="12.75">
      <c r="A256" s="37"/>
    </row>
    <row r="257" ht="12.75">
      <c r="A257" s="37"/>
    </row>
    <row r="258" ht="12.75">
      <c r="A258" s="37"/>
    </row>
    <row r="259" ht="12.75">
      <c r="A259" s="37"/>
    </row>
    <row r="260" ht="12.75">
      <c r="A260" s="37"/>
    </row>
    <row r="261" ht="12.75">
      <c r="A261" s="37"/>
    </row>
    <row r="262" ht="12.75">
      <c r="A262" s="37"/>
    </row>
    <row r="263" ht="12.75">
      <c r="A263" s="37"/>
    </row>
    <row r="265" ht="12.75">
      <c r="A265" s="37"/>
    </row>
    <row r="452" spans="6:13" ht="12.75">
      <c r="F452" s="6" t="s">
        <v>59</v>
      </c>
      <c r="G452" s="6" t="s">
        <v>59</v>
      </c>
      <c r="H452" s="6" t="s">
        <v>59</v>
      </c>
      <c r="I452" s="6" t="s">
        <v>59</v>
      </c>
      <c r="J452" s="6" t="s">
        <v>59</v>
      </c>
      <c r="K452" s="6" t="s">
        <v>59</v>
      </c>
      <c r="L452" s="6" t="s">
        <v>59</v>
      </c>
      <c r="M452" s="6" t="s">
        <v>59</v>
      </c>
    </row>
  </sheetData>
  <printOptions/>
  <pageMargins left="0.57" right="0.21" top="0.17" bottom="0.5118110236220472" header="0.16" footer="0.5118110236220472"/>
  <pageSetup horizontalDpi="600" verticalDpi="600" orientation="portrait" paperSize="9" scale="55" r:id="rId1"/>
  <rowBreaks count="2" manualBreakCount="2">
    <brk id="95" max="12" man="1"/>
    <brk id="200" max="1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workbookViewId="0" topLeftCell="F1">
      <selection activeCell="F1" sqref="F1:T22"/>
    </sheetView>
  </sheetViews>
  <sheetFormatPr defaultColWidth="9.140625" defaultRowHeight="12.75"/>
  <cols>
    <col min="1" max="1" width="15.28125" style="0" customWidth="1"/>
    <col min="2" max="2" width="15.8515625" style="0" customWidth="1"/>
    <col min="3" max="3" width="15.7109375" style="0" customWidth="1"/>
  </cols>
  <sheetData>
    <row r="1" ht="12.75">
      <c r="A1" t="s">
        <v>72</v>
      </c>
    </row>
    <row r="2" spans="2:3" ht="12.75">
      <c r="B2" t="s">
        <v>63</v>
      </c>
      <c r="C2" t="s">
        <v>76</v>
      </c>
    </row>
    <row r="3" spans="1:3" ht="12.75">
      <c r="A3">
        <v>1997</v>
      </c>
      <c r="B3" s="127">
        <f>+'Cons spec netti'!F9</f>
        <v>1157</v>
      </c>
      <c r="C3" s="7">
        <f>+'Cons spec tot e finalizzati'!G12</f>
        <v>584</v>
      </c>
    </row>
    <row r="4" spans="1:3" ht="12.75">
      <c r="A4">
        <v>1998</v>
      </c>
      <c r="B4" s="127">
        <f>+'Cons spec netti'!G9</f>
        <v>1378</v>
      </c>
      <c r="C4" s="7">
        <f>+'Cons spec tot e finalizzati'!I12</f>
        <v>622</v>
      </c>
    </row>
    <row r="5" spans="1:3" ht="12.75">
      <c r="A5">
        <v>1999</v>
      </c>
      <c r="B5" s="127">
        <f>+'Cons spec netti'!H9</f>
        <v>1251</v>
      </c>
      <c r="C5" s="7">
        <f>+'Cons spec tot e finalizzati'!K12</f>
        <v>1408</v>
      </c>
    </row>
    <row r="6" spans="1:3" ht="12.75">
      <c r="A6">
        <v>2000</v>
      </c>
      <c r="B6" s="127">
        <f>+'Cons spec netti'!I9</f>
        <v>1170</v>
      </c>
      <c r="C6" s="7">
        <f>+'Cons spec tot e finalizzati'!M12</f>
        <v>1697</v>
      </c>
    </row>
    <row r="7" spans="1:3" ht="12.75">
      <c r="A7">
        <v>2001</v>
      </c>
      <c r="B7" s="127">
        <f>+'Cons spec netti'!J9</f>
        <v>1747</v>
      </c>
      <c r="C7" s="7">
        <f>+'Cons spec tot e finalizzati'!O12</f>
        <v>1411</v>
      </c>
    </row>
    <row r="8" spans="1:3" ht="12.75">
      <c r="A8">
        <v>2002</v>
      </c>
      <c r="B8" s="127">
        <f>+'Cons spec netti'!K9</f>
        <v>1534</v>
      </c>
      <c r="C8" s="7">
        <f>+'Cons spec tot e finalizzati'!Q12</f>
        <v>1287</v>
      </c>
    </row>
    <row r="9" spans="1:3" ht="12.75">
      <c r="A9">
        <v>2003</v>
      </c>
      <c r="B9" s="127">
        <f>+'Cons spec netti'!L9</f>
        <v>1500</v>
      </c>
      <c r="C9" s="7">
        <f>+'Cons spec tot e finalizzati'!S12</f>
        <v>1143</v>
      </c>
    </row>
    <row r="10" spans="1:3" ht="12.75">
      <c r="A10">
        <v>2004</v>
      </c>
      <c r="B10" s="127">
        <f>+'Cons spec netti'!M9</f>
        <v>1327</v>
      </c>
      <c r="C10" s="7">
        <f>+'Cons spec tot e finalizzati'!U12</f>
        <v>1819</v>
      </c>
    </row>
    <row r="11" spans="2:3" ht="12.75">
      <c r="B11" t="s">
        <v>77</v>
      </c>
      <c r="C11" t="s">
        <v>65</v>
      </c>
    </row>
    <row r="12" spans="1:3" ht="12.75">
      <c r="A12">
        <v>1997</v>
      </c>
      <c r="B12" s="128">
        <v>100</v>
      </c>
      <c r="C12" s="128">
        <v>100</v>
      </c>
    </row>
    <row r="13" spans="1:3" ht="12.75">
      <c r="A13">
        <v>1998</v>
      </c>
      <c r="B13" s="128">
        <f aca="true" t="shared" si="0" ref="B13:B19">+B4/$B$3*100</f>
        <v>119.10112359550563</v>
      </c>
      <c r="C13" s="128">
        <v>102.2</v>
      </c>
    </row>
    <row r="14" spans="1:3" ht="12.75">
      <c r="A14">
        <v>1999</v>
      </c>
      <c r="B14" s="128">
        <f t="shared" si="0"/>
        <v>108.12445980985305</v>
      </c>
      <c r="C14" s="128">
        <v>104</v>
      </c>
    </row>
    <row r="15" spans="1:3" ht="12.75">
      <c r="A15">
        <v>2000</v>
      </c>
      <c r="B15" s="128">
        <f t="shared" si="0"/>
        <v>101.12359550561798</v>
      </c>
      <c r="C15" s="128">
        <v>106.5</v>
      </c>
    </row>
    <row r="16" spans="1:3" ht="12.75">
      <c r="A16">
        <v>2001</v>
      </c>
      <c r="B16" s="128">
        <f t="shared" si="0"/>
        <v>150.99394987035438</v>
      </c>
      <c r="C16">
        <v>109.3</v>
      </c>
    </row>
    <row r="17" spans="1:3" ht="12.75">
      <c r="A17">
        <v>2002</v>
      </c>
      <c r="B17" s="128">
        <f t="shared" si="0"/>
        <v>132.58426966292134</v>
      </c>
      <c r="C17" s="128">
        <v>112</v>
      </c>
    </row>
    <row r="18" spans="1:3" ht="12.75">
      <c r="A18">
        <v>2003</v>
      </c>
      <c r="B18" s="128">
        <f t="shared" si="0"/>
        <v>129.6456352636128</v>
      </c>
      <c r="C18">
        <v>114.2</v>
      </c>
    </row>
    <row r="19" spans="1:3" ht="12.75">
      <c r="A19">
        <v>2004</v>
      </c>
      <c r="B19" s="128">
        <f t="shared" si="0"/>
        <v>114.69317199654279</v>
      </c>
      <c r="C19">
        <v>115.9</v>
      </c>
    </row>
  </sheetData>
  <printOptions/>
  <pageMargins left="0.75" right="0.75" top="1.32" bottom="1" header="0.55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GABINETTO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D3" sqref="D3:K22"/>
    </sheetView>
  </sheetViews>
  <sheetFormatPr defaultColWidth="9.140625" defaultRowHeight="12.75"/>
  <cols>
    <col min="1" max="1" width="15.28125" style="0" customWidth="1"/>
    <col min="2" max="2" width="15.8515625" style="0" customWidth="1"/>
    <col min="3" max="3" width="15.7109375" style="0" customWidth="1"/>
  </cols>
  <sheetData>
    <row r="1" ht="12.75">
      <c r="A1" t="s">
        <v>193</v>
      </c>
    </row>
    <row r="2" spans="2:3" ht="12.75">
      <c r="B2" t="s">
        <v>63</v>
      </c>
      <c r="C2" t="s">
        <v>76</v>
      </c>
    </row>
    <row r="3" spans="1:3" ht="12.75">
      <c r="A3">
        <v>1997</v>
      </c>
      <c r="B3" s="127">
        <f>+'Cons spec netti'!F25</f>
        <v>0</v>
      </c>
      <c r="C3" s="7">
        <f>+'Cons spec tot e finalizzati'!G28</f>
        <v>0</v>
      </c>
    </row>
    <row r="4" spans="1:3" ht="12.75">
      <c r="A4">
        <v>1998</v>
      </c>
      <c r="B4" s="127">
        <f>+'Cons spec netti'!G25</f>
        <v>0</v>
      </c>
      <c r="C4" s="7">
        <f>+'Cons spec tot e finalizzati'!I28</f>
        <v>0</v>
      </c>
    </row>
    <row r="5" spans="1:3" ht="12.75">
      <c r="A5">
        <v>1999</v>
      </c>
      <c r="B5" s="127">
        <f>+'Cons spec netti'!H25</f>
        <v>0</v>
      </c>
      <c r="C5" s="7">
        <f>+'Cons spec tot e finalizzati'!K28</f>
        <v>0</v>
      </c>
    </row>
    <row r="6" spans="1:3" ht="12.75">
      <c r="A6">
        <v>2000</v>
      </c>
      <c r="B6" s="127">
        <f>+'Cons spec netti'!I25</f>
        <v>0</v>
      </c>
      <c r="C6" s="7">
        <f>+'Cons spec tot e finalizzati'!M28</f>
        <v>0</v>
      </c>
    </row>
    <row r="7" spans="1:3" ht="12.75">
      <c r="A7">
        <v>2001</v>
      </c>
      <c r="B7" s="127">
        <f>+'Cons spec netti'!J25</f>
        <v>0</v>
      </c>
      <c r="C7" s="7">
        <f>+'Cons spec tot e finalizzati'!O28</f>
        <v>0</v>
      </c>
    </row>
    <row r="8" spans="1:3" ht="12.75">
      <c r="A8">
        <v>2002</v>
      </c>
      <c r="B8" s="127">
        <f>+'Cons spec netti'!K25</f>
        <v>0</v>
      </c>
      <c r="C8" s="7">
        <f>+'Cons spec tot e finalizzati'!Q28</f>
        <v>0</v>
      </c>
    </row>
    <row r="9" spans="1:3" ht="12.75">
      <c r="A9">
        <v>2003</v>
      </c>
      <c r="B9" s="127">
        <f>+'Cons spec netti'!L25</f>
        <v>0</v>
      </c>
      <c r="C9" s="7">
        <f>+'Cons spec tot e finalizzati'!S28</f>
        <v>0</v>
      </c>
    </row>
    <row r="10" spans="1:3" ht="12.75">
      <c r="A10">
        <v>2004</v>
      </c>
      <c r="B10" s="127">
        <f>+'Cons spec netti'!M25</f>
        <v>35</v>
      </c>
      <c r="C10" s="7">
        <f>+'Cons spec tot e finalizzati'!U28</f>
        <v>0</v>
      </c>
    </row>
    <row r="11" spans="2:3" ht="12.75">
      <c r="B11" s="128"/>
      <c r="C11" s="128"/>
    </row>
    <row r="12" ht="12.75">
      <c r="B12" s="129"/>
    </row>
    <row r="13" spans="2:3" ht="12.75">
      <c r="B13" s="129"/>
      <c r="C13" s="128"/>
    </row>
  </sheetData>
  <printOptions/>
  <pageMargins left="2.59" right="2.37" top="1.3" bottom="1" header="0.5" footer="0.5"/>
  <pageSetup horizontalDpi="600" verticalDpi="600" orientation="landscape" paperSize="9" r:id="rId2"/>
  <headerFooter alignWithMargins="0">
    <oddHeader>&amp;CCONSUNTIVO 2004
SERIE STORICA CONSUMI SPECIFICI 1997 - 2004
SETTORE SEGRETARIO GENERALE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D1">
      <selection activeCell="M26" sqref="M26"/>
    </sheetView>
  </sheetViews>
  <sheetFormatPr defaultColWidth="9.140625" defaultRowHeight="12.75"/>
  <cols>
    <col min="1" max="1" width="15.28125" style="0" customWidth="1"/>
    <col min="2" max="2" width="15.8515625" style="0" customWidth="1"/>
    <col min="3" max="3" width="15.7109375" style="0" customWidth="1"/>
  </cols>
  <sheetData>
    <row r="1" ht="12.75">
      <c r="A1" t="s">
        <v>73</v>
      </c>
    </row>
    <row r="2" spans="2:3" ht="12.75">
      <c r="B2" t="s">
        <v>63</v>
      </c>
      <c r="C2" t="s">
        <v>76</v>
      </c>
    </row>
    <row r="3" spans="1:3" ht="12.75">
      <c r="A3">
        <v>1997</v>
      </c>
      <c r="B3" s="127">
        <f>+'Cons spec netti'!F24</f>
        <v>0</v>
      </c>
      <c r="C3" s="7">
        <f>+'Cons spec tot e finalizzati'!G27</f>
        <v>0</v>
      </c>
    </row>
    <row r="4" spans="1:3" ht="12.75">
      <c r="A4">
        <v>1998</v>
      </c>
      <c r="B4" s="127">
        <f>+'Cons spec netti'!G24</f>
        <v>0</v>
      </c>
      <c r="C4" s="7">
        <f>+'Cons spec tot e finalizzati'!I27</f>
        <v>0</v>
      </c>
    </row>
    <row r="5" spans="1:3" ht="12.75">
      <c r="A5">
        <v>1999</v>
      </c>
      <c r="B5" s="127">
        <f>+'Cons spec netti'!H24</f>
        <v>0</v>
      </c>
      <c r="C5" s="7">
        <f>+'Cons spec tot e finalizzati'!K27</f>
        <v>0</v>
      </c>
    </row>
    <row r="6" spans="1:3" ht="12.75">
      <c r="A6">
        <v>2000</v>
      </c>
      <c r="B6" s="127">
        <f>+'Cons spec netti'!I24</f>
        <v>250</v>
      </c>
      <c r="C6" s="7">
        <f>+'Cons spec tot e finalizzati'!M27</f>
        <v>0</v>
      </c>
    </row>
    <row r="7" spans="1:3" ht="12.75">
      <c r="A7">
        <v>2001</v>
      </c>
      <c r="B7" s="127">
        <f>+'Cons spec netti'!J24</f>
        <v>874</v>
      </c>
      <c r="C7" s="7">
        <f>+'Cons spec tot e finalizzati'!O27</f>
        <v>0</v>
      </c>
    </row>
    <row r="8" spans="1:3" ht="12.75">
      <c r="A8">
        <v>2002</v>
      </c>
      <c r="B8" s="127">
        <f>+'Cons spec netti'!K24</f>
        <v>810</v>
      </c>
      <c r="C8" s="7">
        <f>+'Cons spec tot e finalizzati'!Q27</f>
        <v>0</v>
      </c>
    </row>
    <row r="9" spans="1:3" ht="12.75">
      <c r="A9">
        <v>2003</v>
      </c>
      <c r="B9" s="127">
        <f>+'Cons spec netti'!L24</f>
        <v>916</v>
      </c>
      <c r="C9" s="7">
        <f>+'Cons spec tot e finalizzati'!S27</f>
        <v>0</v>
      </c>
    </row>
    <row r="10" spans="1:3" ht="12.75">
      <c r="A10">
        <v>2004</v>
      </c>
      <c r="B10" s="127">
        <f>+'Cons spec netti'!M24</f>
        <v>844</v>
      </c>
      <c r="C10" s="7">
        <f>+'Cons spec tot e finalizzati'!U27</f>
        <v>0</v>
      </c>
    </row>
    <row r="11" spans="2:3" ht="12.75">
      <c r="B11" s="128"/>
      <c r="C11" s="128"/>
    </row>
    <row r="12" ht="12.75">
      <c r="B12" s="129"/>
    </row>
    <row r="13" spans="2:3" ht="12.75">
      <c r="B13" s="129"/>
      <c r="C13" s="128"/>
    </row>
  </sheetData>
  <printOptions/>
  <pageMargins left="2.74" right="1.51" top="1.63" bottom="1" header="0.74" footer="0.5"/>
  <pageSetup horizontalDpi="600" verticalDpi="600" orientation="landscape" paperSize="9" r:id="rId2"/>
  <headerFooter alignWithMargins="0">
    <oddHeader>&amp;CCONSUNTIVO 2004
SERIE STORICA CONSUMI SPECIFICI 1997 - 2004
SETTORE SEGRETERIA GENERALE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D3" sqref="D3:K22"/>
    </sheetView>
  </sheetViews>
  <sheetFormatPr defaultColWidth="9.140625" defaultRowHeight="12.75"/>
  <cols>
    <col min="1" max="1" width="15.28125" style="0" customWidth="1"/>
    <col min="2" max="2" width="15.8515625" style="0" customWidth="1"/>
    <col min="3" max="3" width="15.7109375" style="0" customWidth="1"/>
  </cols>
  <sheetData>
    <row r="1" ht="12.75">
      <c r="A1" t="s">
        <v>194</v>
      </c>
    </row>
    <row r="2" spans="2:3" ht="12.75">
      <c r="B2" t="s">
        <v>63</v>
      </c>
      <c r="C2" t="s">
        <v>76</v>
      </c>
    </row>
    <row r="3" spans="1:3" ht="12.75">
      <c r="A3">
        <v>1997</v>
      </c>
      <c r="B3" s="127">
        <f>+'Cons spec netti'!F26</f>
        <v>0</v>
      </c>
      <c r="C3" s="7">
        <f>+'Cons spec tot e finalizzati'!G29</f>
        <v>0</v>
      </c>
    </row>
    <row r="4" spans="1:3" ht="12.75">
      <c r="A4">
        <v>1998</v>
      </c>
      <c r="B4" s="127">
        <f>+'Cons spec netti'!G26</f>
        <v>0</v>
      </c>
      <c r="C4" s="7">
        <f>+'Cons spec tot e finalizzati'!I29</f>
        <v>0</v>
      </c>
    </row>
    <row r="5" spans="1:3" ht="12.75">
      <c r="A5">
        <v>1999</v>
      </c>
      <c r="B5" s="127">
        <f>+'Cons spec netti'!H26</f>
        <v>0</v>
      </c>
      <c r="C5" s="7">
        <f>+'Cons spec tot e finalizzati'!K29</f>
        <v>0</v>
      </c>
    </row>
    <row r="6" spans="1:3" ht="12.75">
      <c r="A6">
        <v>2000</v>
      </c>
      <c r="B6" s="127">
        <f>+'Cons spec netti'!I26</f>
        <v>0</v>
      </c>
      <c r="C6" s="7">
        <f>+'Cons spec tot e finalizzati'!M29</f>
        <v>0</v>
      </c>
    </row>
    <row r="7" spans="1:3" ht="12.75">
      <c r="A7">
        <v>2001</v>
      </c>
      <c r="B7" s="127">
        <f>+'Cons spec netti'!J26</f>
        <v>0</v>
      </c>
      <c r="C7" s="7">
        <f>+'Cons spec tot e finalizzati'!O29</f>
        <v>0</v>
      </c>
    </row>
    <row r="8" spans="1:3" ht="12.75">
      <c r="A8">
        <v>2002</v>
      </c>
      <c r="B8" s="127">
        <f>+'Cons spec netti'!K26</f>
        <v>0</v>
      </c>
      <c r="C8" s="7">
        <f>+'Cons spec tot e finalizzati'!Q29</f>
        <v>0</v>
      </c>
    </row>
    <row r="9" spans="1:3" ht="12.75">
      <c r="A9">
        <v>2003</v>
      </c>
      <c r="B9" s="127">
        <f>+'Cons spec netti'!L26</f>
        <v>0</v>
      </c>
      <c r="C9" s="7">
        <f>+'Cons spec tot e finalizzati'!S29</f>
        <v>0</v>
      </c>
    </row>
    <row r="10" spans="1:3" ht="12.75">
      <c r="A10">
        <v>2004</v>
      </c>
      <c r="B10" s="127">
        <f>+'Cons spec netti'!M26</f>
        <v>7</v>
      </c>
      <c r="C10" s="7">
        <f>+'Cons spec tot e finalizzati'!U29</f>
        <v>0</v>
      </c>
    </row>
    <row r="11" spans="2:3" ht="12.75">
      <c r="B11" s="128"/>
      <c r="C11" s="128"/>
    </row>
    <row r="12" ht="12.75">
      <c r="B12" s="129"/>
    </row>
    <row r="13" spans="2:3" ht="12.75">
      <c r="B13" s="129"/>
      <c r="C13" s="128"/>
    </row>
  </sheetData>
  <printOptions/>
  <pageMargins left="2.88" right="0.75" top="1.52" bottom="1" header="0.5" footer="0.5"/>
  <pageSetup horizontalDpi="600" verticalDpi="600" orientation="landscape" paperSize="9" r:id="rId2"/>
  <headerFooter alignWithMargins="0">
    <oddHeader>&amp;CCONSUNTIVO 2004
SERIE STORICA CONSUMI SPECIFICI 1997 - 2004
SETTORE STAFF AMMINISTRATIVO GARE E CONTRATTI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workbookViewId="0" topLeftCell="E1">
      <selection activeCell="F1" sqref="F1:S23"/>
    </sheetView>
  </sheetViews>
  <sheetFormatPr defaultColWidth="9.140625" defaultRowHeight="12.75"/>
  <cols>
    <col min="1" max="1" width="15.28125" style="0" customWidth="1"/>
    <col min="2" max="2" width="15.8515625" style="0" customWidth="1"/>
    <col min="3" max="3" width="15.7109375" style="0" customWidth="1"/>
  </cols>
  <sheetData>
    <row r="1" ht="12.75">
      <c r="A1" t="s">
        <v>86</v>
      </c>
    </row>
    <row r="2" spans="2:3" ht="12.75">
      <c r="B2" t="s">
        <v>63</v>
      </c>
      <c r="C2" t="s">
        <v>76</v>
      </c>
    </row>
    <row r="3" spans="1:5" ht="12.75">
      <c r="A3">
        <v>1997</v>
      </c>
      <c r="B3" s="127">
        <f>+'Cons spec netti'!F165</f>
        <v>1855</v>
      </c>
      <c r="C3" s="7">
        <f>+'Cons spec tot e finalizzati'!G168</f>
        <v>48</v>
      </c>
      <c r="E3" s="7"/>
    </row>
    <row r="4" spans="1:5" ht="12.75">
      <c r="A4">
        <v>1998</v>
      </c>
      <c r="B4" s="127">
        <f>+'Cons spec netti'!G165</f>
        <v>2306</v>
      </c>
      <c r="C4" s="7">
        <f>+'Cons spec tot e finalizzati'!I168</f>
        <v>40</v>
      </c>
      <c r="E4" s="7"/>
    </row>
    <row r="5" spans="1:5" ht="12.75">
      <c r="A5">
        <v>1999</v>
      </c>
      <c r="B5" s="127">
        <f>+'Cons spec netti'!H165</f>
        <v>2536</v>
      </c>
      <c r="C5" s="7">
        <f>+'Cons spec tot e finalizzati'!K168</f>
        <v>22</v>
      </c>
      <c r="E5" s="7"/>
    </row>
    <row r="6" spans="1:5" ht="12.75">
      <c r="A6">
        <v>2000</v>
      </c>
      <c r="B6" s="127">
        <f>+'Cons spec netti'!I165</f>
        <v>3344</v>
      </c>
      <c r="C6" s="7">
        <f>+'Cons spec tot e finalizzati'!M168</f>
        <v>5</v>
      </c>
      <c r="D6" s="127"/>
      <c r="E6" s="7"/>
    </row>
    <row r="7" spans="1:5" ht="12.75">
      <c r="A7">
        <v>2001</v>
      </c>
      <c r="B7" s="127">
        <f>+'Cons spec netti'!J165</f>
        <v>3101</v>
      </c>
      <c r="C7" s="7">
        <f>+'Cons spec tot e finalizzati'!O168</f>
        <v>0</v>
      </c>
      <c r="E7" s="7"/>
    </row>
    <row r="8" spans="1:5" ht="12.75">
      <c r="A8">
        <v>2002</v>
      </c>
      <c r="B8" s="127">
        <f>+'Cons spec netti'!K165</f>
        <v>3006</v>
      </c>
      <c r="C8" s="7">
        <f>+'Cons spec tot e finalizzati'!Q168</f>
        <v>0</v>
      </c>
      <c r="D8" s="71"/>
      <c r="E8" s="7"/>
    </row>
    <row r="9" spans="1:5" ht="12.75">
      <c r="A9">
        <v>2003</v>
      </c>
      <c r="B9" s="127">
        <f>+'Cons spec netti'!L165</f>
        <v>4384</v>
      </c>
      <c r="C9" s="7">
        <f>+'Cons spec tot e finalizzati'!S168</f>
        <v>5</v>
      </c>
      <c r="D9" s="71"/>
      <c r="E9" s="7"/>
    </row>
    <row r="10" spans="1:5" ht="12.75">
      <c r="A10">
        <v>2004</v>
      </c>
      <c r="B10" s="127">
        <f>+'Cons spec netti'!M165</f>
        <v>6668</v>
      </c>
      <c r="C10" s="7">
        <f>+'Cons spec tot e finalizzati'!U168</f>
        <v>1</v>
      </c>
      <c r="D10" s="71"/>
      <c r="E10" s="7"/>
    </row>
    <row r="11" spans="2:3" ht="12.75">
      <c r="B11" t="s">
        <v>77</v>
      </c>
      <c r="C11" t="s">
        <v>65</v>
      </c>
    </row>
    <row r="12" spans="1:4" ht="12.75">
      <c r="A12">
        <v>1997</v>
      </c>
      <c r="B12" s="128">
        <v>100</v>
      </c>
      <c r="C12" s="128">
        <v>100</v>
      </c>
      <c r="D12" s="130"/>
    </row>
    <row r="13" spans="1:3" ht="12.75">
      <c r="A13">
        <v>1998</v>
      </c>
      <c r="B13" s="128">
        <f aca="true" t="shared" si="0" ref="B13:B19">+B4/$B$3*100</f>
        <v>124.31266846361186</v>
      </c>
      <c r="C13" s="128">
        <v>102.2</v>
      </c>
    </row>
    <row r="14" spans="1:3" ht="12.75">
      <c r="A14">
        <v>1999</v>
      </c>
      <c r="B14" s="128">
        <f t="shared" si="0"/>
        <v>136.71159029649596</v>
      </c>
      <c r="C14" s="128">
        <v>104</v>
      </c>
    </row>
    <row r="15" spans="1:3" ht="12.75">
      <c r="A15">
        <v>2000</v>
      </c>
      <c r="B15" s="128">
        <f t="shared" si="0"/>
        <v>180.26954177897574</v>
      </c>
      <c r="C15" s="128">
        <v>106.5</v>
      </c>
    </row>
    <row r="16" spans="1:3" ht="12.75">
      <c r="A16">
        <v>2001</v>
      </c>
      <c r="B16" s="128">
        <f t="shared" si="0"/>
        <v>167.16981132075472</v>
      </c>
      <c r="C16">
        <v>109.3</v>
      </c>
    </row>
    <row r="17" spans="1:3" ht="12.75">
      <c r="A17">
        <v>2002</v>
      </c>
      <c r="B17" s="128">
        <f t="shared" si="0"/>
        <v>162.04851752021563</v>
      </c>
      <c r="C17" s="128">
        <v>112</v>
      </c>
    </row>
    <row r="18" spans="1:3" ht="12.75">
      <c r="A18">
        <v>2003</v>
      </c>
      <c r="B18" s="128">
        <f t="shared" si="0"/>
        <v>236.3342318059299</v>
      </c>
      <c r="C18">
        <v>114.2</v>
      </c>
    </row>
    <row r="19" spans="1:3" ht="12.75">
      <c r="A19">
        <v>2004</v>
      </c>
      <c r="B19" s="128">
        <f t="shared" si="0"/>
        <v>359.46091644204853</v>
      </c>
      <c r="C19">
        <v>115.9</v>
      </c>
    </row>
  </sheetData>
  <printOptions/>
  <pageMargins left="0.75" right="0.75" top="1.65" bottom="1" header="0.68" footer="0.5"/>
  <pageSetup fitToHeight="1" fitToWidth="1" horizontalDpi="600" verticalDpi="600" orientation="landscape" paperSize="9" r:id="rId2"/>
  <headerFooter alignWithMargins="0">
    <oddHeader>&amp;CCONSUNTIVO 2004
SERIE STORICA CONSUMI SPECIFICI 1997 - 2004
SETTORE POLIZIA MUNICIPALE E PROTEZIONE CIVILE</oddHead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workbookViewId="0" topLeftCell="E1">
      <selection activeCell="F1" sqref="F1:S22"/>
    </sheetView>
  </sheetViews>
  <sheetFormatPr defaultColWidth="9.140625" defaultRowHeight="12.75"/>
  <cols>
    <col min="1" max="1" width="15.28125" style="0" customWidth="1"/>
    <col min="2" max="2" width="15.8515625" style="0" customWidth="1"/>
    <col min="3" max="3" width="15.7109375" style="0" customWidth="1"/>
  </cols>
  <sheetData>
    <row r="1" ht="12.75">
      <c r="A1" t="s">
        <v>192</v>
      </c>
    </row>
    <row r="2" spans="2:3" ht="12.75">
      <c r="B2" t="s">
        <v>63</v>
      </c>
      <c r="C2" t="s">
        <v>76</v>
      </c>
    </row>
    <row r="3" spans="1:3" ht="12.75">
      <c r="A3">
        <v>1997</v>
      </c>
      <c r="B3" s="127">
        <f>+'Cons spec netti'!F21</f>
        <v>303</v>
      </c>
      <c r="C3" s="7">
        <f>+'Cons spec tot e finalizzati'!G24</f>
        <v>0</v>
      </c>
    </row>
    <row r="4" spans="1:3" ht="12.75">
      <c r="A4">
        <v>1998</v>
      </c>
      <c r="B4" s="127">
        <f>+'Cons spec netti'!G21</f>
        <v>334</v>
      </c>
      <c r="C4" s="7">
        <f>+'Cons spec tot e finalizzati'!I24</f>
        <v>0</v>
      </c>
    </row>
    <row r="5" spans="1:3" ht="12.75">
      <c r="A5">
        <v>1999</v>
      </c>
      <c r="B5" s="127">
        <f>+'Cons spec netti'!H21</f>
        <v>315</v>
      </c>
      <c r="C5" s="7">
        <f>+'Cons spec tot e finalizzati'!K24</f>
        <v>0</v>
      </c>
    </row>
    <row r="6" spans="1:3" ht="12.75">
      <c r="A6">
        <v>2000</v>
      </c>
      <c r="B6" s="127">
        <f>+'Cons spec netti'!I21</f>
        <v>361</v>
      </c>
      <c r="C6" s="7">
        <f>+'Cons spec tot e finalizzati'!M24</f>
        <v>0</v>
      </c>
    </row>
    <row r="7" spans="1:3" ht="12.75">
      <c r="A7">
        <v>2001</v>
      </c>
      <c r="B7" s="127">
        <f>+'Cons spec netti'!J21</f>
        <v>339</v>
      </c>
      <c r="C7" s="7">
        <f>+'Cons spec tot e finalizzati'!O24</f>
        <v>0</v>
      </c>
    </row>
    <row r="8" spans="1:3" ht="12.75">
      <c r="A8">
        <v>2002</v>
      </c>
      <c r="B8" s="127">
        <f>+'Cons spec netti'!K21</f>
        <v>265</v>
      </c>
      <c r="C8" s="7">
        <f>+'Cons spec tot e finalizzati'!Q24</f>
        <v>0</v>
      </c>
    </row>
    <row r="9" spans="1:3" ht="12.75">
      <c r="A9">
        <v>2003</v>
      </c>
      <c r="B9" s="127">
        <f>+'Cons spec netti'!L21</f>
        <v>250</v>
      </c>
      <c r="C9" s="7">
        <f>+'Cons spec tot e finalizzati'!S24</f>
        <v>0</v>
      </c>
    </row>
    <row r="10" spans="1:3" ht="12.75">
      <c r="A10">
        <v>2004</v>
      </c>
      <c r="B10" s="127">
        <f>+'Cons spec netti'!M21</f>
        <v>359</v>
      </c>
      <c r="C10" s="7">
        <f>+'Cons spec tot e finalizzati'!U24</f>
        <v>0</v>
      </c>
    </row>
    <row r="11" spans="2:3" ht="12.75">
      <c r="B11" t="s">
        <v>64</v>
      </c>
      <c r="C11" t="s">
        <v>65</v>
      </c>
    </row>
    <row r="12" spans="1:3" ht="12.75">
      <c r="A12">
        <v>1997</v>
      </c>
      <c r="B12" s="128">
        <v>100</v>
      </c>
      <c r="C12" s="128">
        <v>100</v>
      </c>
    </row>
    <row r="13" spans="1:3" ht="12.75">
      <c r="A13">
        <v>1998</v>
      </c>
      <c r="B13" s="128">
        <f aca="true" t="shared" si="0" ref="B13:B19">+B4/$B$3*100</f>
        <v>110.23102310231023</v>
      </c>
      <c r="C13" s="128">
        <v>102.2</v>
      </c>
    </row>
    <row r="14" spans="1:3" ht="12.75">
      <c r="A14">
        <v>1999</v>
      </c>
      <c r="B14" s="128">
        <f t="shared" si="0"/>
        <v>103.96039603960396</v>
      </c>
      <c r="C14" s="128">
        <v>104</v>
      </c>
    </row>
    <row r="15" spans="1:3" ht="12.75">
      <c r="A15">
        <v>2000</v>
      </c>
      <c r="B15" s="128">
        <f t="shared" si="0"/>
        <v>119.14191419141915</v>
      </c>
      <c r="C15" s="128">
        <v>106.5</v>
      </c>
    </row>
    <row r="16" spans="1:3" ht="12.75">
      <c r="A16">
        <v>2001</v>
      </c>
      <c r="B16" s="128">
        <f t="shared" si="0"/>
        <v>111.88118811881189</v>
      </c>
      <c r="C16">
        <v>109.3</v>
      </c>
    </row>
    <row r="17" spans="1:3" ht="12.75">
      <c r="A17">
        <v>2002</v>
      </c>
      <c r="B17" s="128">
        <f t="shared" si="0"/>
        <v>87.45874587458746</v>
      </c>
      <c r="C17" s="128">
        <v>112</v>
      </c>
    </row>
    <row r="18" spans="1:3" ht="12.75">
      <c r="A18">
        <v>2003</v>
      </c>
      <c r="B18" s="128">
        <f t="shared" si="0"/>
        <v>82.50825082508251</v>
      </c>
      <c r="C18">
        <v>114.2</v>
      </c>
    </row>
    <row r="19" spans="1:3" ht="12.75">
      <c r="A19">
        <v>2004</v>
      </c>
      <c r="B19" s="128">
        <f t="shared" si="0"/>
        <v>118.48184818481849</v>
      </c>
      <c r="C19">
        <v>115.9</v>
      </c>
    </row>
  </sheetData>
  <printOptions/>
  <pageMargins left="0.75" right="0.75" top="1.29" bottom="1" header="0.56" footer="0.5"/>
  <pageSetup fitToHeight="1" fitToWidth="1" horizontalDpi="600" verticalDpi="600" orientation="landscape" paperSize="9" r:id="rId2"/>
  <headerFooter alignWithMargins="0">
    <oddHeader>&amp;CCONSUNTIVO 2004
SERIE STORICA CONSUMI SPECIFICI 1997 - 2004
SETTORE STAFF DEL CONSIGLIO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9"/>
  <sheetViews>
    <sheetView workbookViewId="0" topLeftCell="E1">
      <selection activeCell="M28" sqref="M28"/>
    </sheetView>
  </sheetViews>
  <sheetFormatPr defaultColWidth="9.140625" defaultRowHeight="12.75"/>
  <cols>
    <col min="1" max="1" width="15.28125" style="0" customWidth="1"/>
    <col min="2" max="2" width="15.8515625" style="0" customWidth="1"/>
    <col min="3" max="3" width="15.7109375" style="0" customWidth="1"/>
  </cols>
  <sheetData>
    <row r="2" spans="2:3" ht="12.75">
      <c r="B2" t="s">
        <v>63</v>
      </c>
      <c r="C2" t="s">
        <v>76</v>
      </c>
    </row>
    <row r="3" spans="1:3" ht="12.75">
      <c r="A3">
        <v>1997</v>
      </c>
      <c r="B3" s="127">
        <f>+'Cons spec netti'!F22</f>
        <v>468</v>
      </c>
      <c r="C3" s="7">
        <f>+'Cons spec tot e finalizzati'!G25</f>
        <v>0</v>
      </c>
    </row>
    <row r="4" spans="1:3" ht="12.75">
      <c r="A4">
        <v>1998</v>
      </c>
      <c r="B4" s="127">
        <f>+'Cons spec netti'!G22</f>
        <v>159</v>
      </c>
      <c r="C4" s="7">
        <f>+'Cons spec tot e finalizzati'!I25</f>
        <v>0</v>
      </c>
    </row>
    <row r="5" spans="1:3" ht="12.75">
      <c r="A5">
        <v>1999</v>
      </c>
      <c r="B5" s="127">
        <f>+'Cons spec netti'!H22</f>
        <v>258</v>
      </c>
      <c r="C5" s="7">
        <f>+'Cons spec tot e finalizzati'!K25</f>
        <v>0</v>
      </c>
    </row>
    <row r="6" spans="1:3" ht="12.75">
      <c r="A6">
        <v>2000</v>
      </c>
      <c r="B6" s="127">
        <f>+'Cons spec netti'!I22</f>
        <v>150</v>
      </c>
      <c r="C6" s="7">
        <f>+'Cons spec tot e finalizzati'!M25</f>
        <v>0</v>
      </c>
    </row>
    <row r="7" spans="1:3" ht="12.75">
      <c r="A7">
        <v>2001</v>
      </c>
      <c r="B7" s="127">
        <f>+'Cons spec netti'!J22</f>
        <v>127</v>
      </c>
      <c r="C7" s="7">
        <f>+'Cons spec tot e finalizzati'!O25</f>
        <v>0</v>
      </c>
    </row>
    <row r="8" spans="1:3" ht="12.75">
      <c r="A8">
        <v>2002</v>
      </c>
      <c r="B8" s="127">
        <f>+'Cons spec netti'!K22</f>
        <v>73</v>
      </c>
      <c r="C8" s="7">
        <f>+'Cons spec tot e finalizzati'!Q25</f>
        <v>0</v>
      </c>
    </row>
    <row r="9" spans="1:3" ht="12.75">
      <c r="A9">
        <v>2003</v>
      </c>
      <c r="B9" s="127">
        <f>+'Cons spec netti'!L22</f>
        <v>71</v>
      </c>
      <c r="C9" s="7">
        <f>+'Cons spec tot e finalizzati'!S25</f>
        <v>0</v>
      </c>
    </row>
    <row r="10" spans="1:3" ht="12.75">
      <c r="A10">
        <v>2004</v>
      </c>
      <c r="B10" s="127">
        <f>+'Cons spec netti'!M22</f>
        <v>124</v>
      </c>
      <c r="C10" s="7">
        <f>+'Cons spec tot e finalizzati'!U25</f>
        <v>0</v>
      </c>
    </row>
    <row r="11" spans="2:3" ht="12.75">
      <c r="B11" t="s">
        <v>77</v>
      </c>
      <c r="C11" t="s">
        <v>65</v>
      </c>
    </row>
    <row r="12" spans="1:3" ht="12.75">
      <c r="A12">
        <v>1997</v>
      </c>
      <c r="B12" s="128">
        <v>100</v>
      </c>
      <c r="C12" s="128">
        <v>100</v>
      </c>
    </row>
    <row r="13" spans="1:3" ht="12.75">
      <c r="A13">
        <v>1998</v>
      </c>
      <c r="B13" s="128">
        <f aca="true" t="shared" si="0" ref="B13:B19">+B4/$B$3*100</f>
        <v>33.97435897435898</v>
      </c>
      <c r="C13" s="128">
        <v>102.2</v>
      </c>
    </row>
    <row r="14" spans="1:3" ht="12.75">
      <c r="A14">
        <v>1999</v>
      </c>
      <c r="B14" s="128">
        <f t="shared" si="0"/>
        <v>55.12820512820513</v>
      </c>
      <c r="C14" s="128">
        <v>104</v>
      </c>
    </row>
    <row r="15" spans="1:3" ht="12.75">
      <c r="A15">
        <v>2000</v>
      </c>
      <c r="B15" s="128">
        <f t="shared" si="0"/>
        <v>32.05128205128205</v>
      </c>
      <c r="C15" s="128">
        <v>106.5</v>
      </c>
    </row>
    <row r="16" spans="1:3" ht="12.75">
      <c r="A16">
        <v>2001</v>
      </c>
      <c r="B16" s="128">
        <f t="shared" si="0"/>
        <v>27.136752136752136</v>
      </c>
      <c r="C16">
        <v>109.3</v>
      </c>
    </row>
    <row r="17" spans="1:3" ht="12.75">
      <c r="A17">
        <v>2002</v>
      </c>
      <c r="B17" s="128">
        <f t="shared" si="0"/>
        <v>15.598290598290598</v>
      </c>
      <c r="C17" s="128">
        <v>112</v>
      </c>
    </row>
    <row r="18" spans="1:3" ht="12.75">
      <c r="A18">
        <v>2003</v>
      </c>
      <c r="B18" s="128">
        <f t="shared" si="0"/>
        <v>15.17094017094017</v>
      </c>
      <c r="C18">
        <v>114.2</v>
      </c>
    </row>
    <row r="19" spans="1:3" ht="12.75">
      <c r="A19">
        <v>2004</v>
      </c>
      <c r="B19" s="128">
        <f t="shared" si="0"/>
        <v>26.495726495726498</v>
      </c>
      <c r="C19">
        <v>115.9</v>
      </c>
    </row>
  </sheetData>
  <printOptions/>
  <pageMargins left="0.75" right="0.75" top="1.54" bottom="1" header="0.64" footer="0.5"/>
  <pageSetup fitToHeight="1" fitToWidth="1" horizontalDpi="600" verticalDpi="600" orientation="landscape" paperSize="9" r:id="rId2"/>
  <headerFooter alignWithMargins="0">
    <oddHeader>&amp;CCONSUNTIVO 2004
SERIE STORICA CONSUMI SPECIFICI 1997 - 2004
SETTORE PARTECIPAZIONI SOCIETARIE</oddHead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9"/>
  <sheetViews>
    <sheetView workbookViewId="0" topLeftCell="F1">
      <selection activeCell="M31" sqref="M31"/>
    </sheetView>
  </sheetViews>
  <sheetFormatPr defaultColWidth="9.140625" defaultRowHeight="12.75"/>
  <cols>
    <col min="1" max="1" width="15.28125" style="0" customWidth="1"/>
    <col min="2" max="2" width="15.8515625" style="0" customWidth="1"/>
    <col min="3" max="3" width="15.7109375" style="0" customWidth="1"/>
  </cols>
  <sheetData>
    <row r="2" spans="2:3" ht="12.75">
      <c r="B2" t="s">
        <v>63</v>
      </c>
      <c r="C2" t="s">
        <v>76</v>
      </c>
    </row>
    <row r="3" spans="1:3" ht="12.75">
      <c r="A3">
        <v>1997</v>
      </c>
      <c r="B3" s="127">
        <f>+'Cons spec netti'!F23</f>
        <v>187</v>
      </c>
      <c r="C3" s="7">
        <f>+'Cons spec tot e finalizzati'!G26</f>
        <v>0</v>
      </c>
    </row>
    <row r="4" spans="1:3" ht="12.75">
      <c r="A4">
        <v>1998</v>
      </c>
      <c r="B4" s="127">
        <f>+'Cons spec netti'!G23</f>
        <v>278</v>
      </c>
      <c r="C4" s="7">
        <f>+'Cons spec tot e finalizzati'!I26</f>
        <v>0</v>
      </c>
    </row>
    <row r="5" spans="1:3" ht="12.75">
      <c r="A5">
        <v>1999</v>
      </c>
      <c r="B5" s="127">
        <f>+'Cons spec netti'!H23</f>
        <v>315</v>
      </c>
      <c r="C5" s="7">
        <f>+'Cons spec tot e finalizzati'!K26</f>
        <v>0</v>
      </c>
    </row>
    <row r="6" spans="1:3" ht="12.75">
      <c r="A6">
        <v>2000</v>
      </c>
      <c r="B6" s="127">
        <f>+'Cons spec netti'!I23</f>
        <v>227</v>
      </c>
      <c r="C6" s="7">
        <f>+'Cons spec tot e finalizzati'!M26</f>
        <v>0</v>
      </c>
    </row>
    <row r="7" spans="1:3" ht="12.75">
      <c r="A7">
        <v>2001</v>
      </c>
      <c r="B7" s="127">
        <f>+'Cons spec netti'!J23</f>
        <v>239</v>
      </c>
      <c r="C7" s="7">
        <f>+'Cons spec tot e finalizzati'!O26</f>
        <v>0</v>
      </c>
    </row>
    <row r="8" spans="1:3" ht="12.75">
      <c r="A8">
        <v>2002</v>
      </c>
      <c r="B8" s="127">
        <f>+'Cons spec netti'!K23</f>
        <v>280</v>
      </c>
      <c r="C8" s="7">
        <f>+'Cons spec tot e finalizzati'!Q26</f>
        <v>0</v>
      </c>
    </row>
    <row r="9" spans="1:3" ht="12.75">
      <c r="A9">
        <v>2003</v>
      </c>
      <c r="B9" s="127">
        <f>+'Cons spec netti'!L23</f>
        <v>265</v>
      </c>
      <c r="C9" s="7">
        <f>+'Cons spec tot e finalizzati'!S26</f>
        <v>0</v>
      </c>
    </row>
    <row r="10" spans="1:3" ht="12.75">
      <c r="A10">
        <v>2004</v>
      </c>
      <c r="B10" s="127">
        <f>+'Cons spec netti'!M23</f>
        <v>215</v>
      </c>
      <c r="C10" s="7">
        <f>+'Cons spec tot e finalizzati'!U28</f>
        <v>0</v>
      </c>
    </row>
    <row r="11" spans="2:3" ht="12.75">
      <c r="B11" t="s">
        <v>77</v>
      </c>
      <c r="C11" t="s">
        <v>65</v>
      </c>
    </row>
    <row r="12" spans="1:3" ht="12.75">
      <c r="A12">
        <v>1997</v>
      </c>
      <c r="B12" s="128">
        <v>100</v>
      </c>
      <c r="C12" s="128">
        <v>100</v>
      </c>
    </row>
    <row r="13" spans="1:3" ht="12.75">
      <c r="A13">
        <v>1998</v>
      </c>
      <c r="B13" s="128">
        <f aca="true" t="shared" si="0" ref="B13:B19">+B4/$B$3*100</f>
        <v>148.66310160427807</v>
      </c>
      <c r="C13" s="128">
        <v>102.2</v>
      </c>
    </row>
    <row r="14" spans="1:3" ht="12.75">
      <c r="A14">
        <v>1999</v>
      </c>
      <c r="B14" s="128">
        <f t="shared" si="0"/>
        <v>168.44919786096258</v>
      </c>
      <c r="C14" s="128">
        <v>104</v>
      </c>
    </row>
    <row r="15" spans="1:3" ht="12.75">
      <c r="A15">
        <v>2000</v>
      </c>
      <c r="B15" s="128">
        <f t="shared" si="0"/>
        <v>121.3903743315508</v>
      </c>
      <c r="C15" s="128">
        <v>106.5</v>
      </c>
    </row>
    <row r="16" spans="1:3" ht="12.75">
      <c r="A16">
        <v>2001</v>
      </c>
      <c r="B16" s="128">
        <f t="shared" si="0"/>
        <v>127.80748663101605</v>
      </c>
      <c r="C16">
        <v>109.3</v>
      </c>
    </row>
    <row r="17" spans="1:3" ht="12.75">
      <c r="A17">
        <v>2002</v>
      </c>
      <c r="B17" s="128">
        <f t="shared" si="0"/>
        <v>149.7326203208556</v>
      </c>
      <c r="C17" s="128">
        <v>112</v>
      </c>
    </row>
    <row r="18" spans="1:3" ht="12.75">
      <c r="A18">
        <v>2003</v>
      </c>
      <c r="B18" s="128">
        <f t="shared" si="0"/>
        <v>141.71122994652404</v>
      </c>
      <c r="C18">
        <v>114.2</v>
      </c>
    </row>
    <row r="19" spans="1:3" ht="12.75">
      <c r="A19">
        <v>2004</v>
      </c>
      <c r="B19" s="128">
        <f t="shared" si="0"/>
        <v>114.97326203208556</v>
      </c>
      <c r="C19">
        <v>115.9</v>
      </c>
    </row>
  </sheetData>
  <printOptions/>
  <pageMargins left="0.75" right="0.75" top="1.58" bottom="1" header="0.5" footer="0.5"/>
  <pageSetup fitToHeight="1" fitToWidth="1" horizontalDpi="600" verticalDpi="600" orientation="landscape" paperSize="9" r:id="rId2"/>
  <headerFooter alignWithMargins="0">
    <oddHeader>&amp;CCONSUNTIVO 2004
SERIE STORICA CONSUMI SPECIFICI 1997 - 2004
SETTORE LEGALE</oddHead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workbookViewId="0" topLeftCell="F1">
      <selection activeCell="O29" sqref="O29"/>
    </sheetView>
  </sheetViews>
  <sheetFormatPr defaultColWidth="9.140625" defaultRowHeight="12.75"/>
  <cols>
    <col min="1" max="1" width="15.28125" style="0" customWidth="1"/>
    <col min="2" max="2" width="15.8515625" style="0" customWidth="1"/>
    <col min="3" max="3" width="15.7109375" style="0" customWidth="1"/>
  </cols>
  <sheetData>
    <row r="1" ht="12.75">
      <c r="A1" t="s">
        <v>195</v>
      </c>
    </row>
    <row r="2" spans="2:3" ht="12.75">
      <c r="B2" t="s">
        <v>63</v>
      </c>
      <c r="C2" t="s">
        <v>76</v>
      </c>
    </row>
    <row r="3" spans="1:3" ht="12.75">
      <c r="A3">
        <v>1997</v>
      </c>
      <c r="B3" s="127">
        <f>+'Cons spec netti'!F34</f>
        <v>41</v>
      </c>
      <c r="C3" s="7">
        <f>+'Cons spec tot e finalizzati'!G37</f>
        <v>0</v>
      </c>
    </row>
    <row r="4" spans="1:3" ht="12.75">
      <c r="A4">
        <v>1998</v>
      </c>
      <c r="B4" s="127">
        <f>+'Cons spec netti'!G34</f>
        <v>132</v>
      </c>
      <c r="C4" s="7">
        <f>+'Cons spec tot e finalizzati'!I37</f>
        <v>0</v>
      </c>
    </row>
    <row r="5" spans="1:3" ht="12.75">
      <c r="A5">
        <v>1999</v>
      </c>
      <c r="B5" s="127">
        <f>+'Cons spec netti'!H34</f>
        <v>150</v>
      </c>
      <c r="C5" s="7">
        <f>+'Cons spec tot e finalizzati'!K37</f>
        <v>0</v>
      </c>
    </row>
    <row r="6" spans="1:3" ht="12.75">
      <c r="A6">
        <v>2000</v>
      </c>
      <c r="B6" s="127">
        <f>+'Cons spec netti'!I34</f>
        <v>162</v>
      </c>
      <c r="C6" s="7">
        <f>+'Cons spec tot e finalizzati'!M37</f>
        <v>0</v>
      </c>
    </row>
    <row r="7" spans="1:3" ht="12.75">
      <c r="A7">
        <v>2001</v>
      </c>
      <c r="B7" s="127">
        <f>+'Cons spec netti'!J34</f>
        <v>169</v>
      </c>
      <c r="C7" s="7">
        <f>+'Cons spec tot e finalizzati'!O37</f>
        <v>0</v>
      </c>
    </row>
    <row r="8" spans="1:3" ht="12.75">
      <c r="A8">
        <v>2002</v>
      </c>
      <c r="B8" s="127">
        <f>+'Cons spec netti'!K34</f>
        <v>244</v>
      </c>
      <c r="C8" s="7">
        <f>+'Cons spec tot e finalizzati'!Q37</f>
        <v>0</v>
      </c>
    </row>
    <row r="9" spans="1:3" ht="12.75">
      <c r="A9">
        <v>2003</v>
      </c>
      <c r="B9" s="127">
        <f>+'Cons spec netti'!L34</f>
        <v>304</v>
      </c>
      <c r="C9" s="7">
        <f>+'Cons spec tot e finalizzati'!S37</f>
        <v>0</v>
      </c>
    </row>
    <row r="10" spans="1:3" ht="12.75">
      <c r="A10">
        <v>2004</v>
      </c>
      <c r="B10" s="127">
        <f>+'Cons spec netti'!M34</f>
        <v>227</v>
      </c>
      <c r="C10" s="7">
        <f>+'Cons spec tot e finalizzati'!U37</f>
        <v>0</v>
      </c>
    </row>
    <row r="11" spans="2:3" ht="12.75">
      <c r="B11" t="s">
        <v>77</v>
      </c>
      <c r="C11" t="s">
        <v>65</v>
      </c>
    </row>
    <row r="12" spans="1:3" ht="12.75">
      <c r="A12">
        <v>1997</v>
      </c>
      <c r="B12" s="128">
        <v>100</v>
      </c>
      <c r="C12" s="128">
        <v>100</v>
      </c>
    </row>
    <row r="13" spans="1:3" ht="12.75">
      <c r="A13">
        <v>1998</v>
      </c>
      <c r="B13" s="128">
        <f aca="true" t="shared" si="0" ref="B13:B19">+B4/$B$3*100</f>
        <v>321.95121951219517</v>
      </c>
      <c r="C13" s="128">
        <v>102.2</v>
      </c>
    </row>
    <row r="14" spans="1:3" ht="12.75">
      <c r="A14">
        <v>1999</v>
      </c>
      <c r="B14" s="128">
        <f t="shared" si="0"/>
        <v>365.8536585365854</v>
      </c>
      <c r="C14" s="128">
        <v>104</v>
      </c>
    </row>
    <row r="15" spans="1:3" ht="12.75">
      <c r="A15">
        <v>2000</v>
      </c>
      <c r="B15" s="128">
        <f t="shared" si="0"/>
        <v>395.1219512195122</v>
      </c>
      <c r="C15" s="128">
        <v>106.5</v>
      </c>
    </row>
    <row r="16" spans="1:3" ht="12.75">
      <c r="A16">
        <v>2001</v>
      </c>
      <c r="B16" s="128">
        <f t="shared" si="0"/>
        <v>412.1951219512195</v>
      </c>
      <c r="C16">
        <v>109.3</v>
      </c>
    </row>
    <row r="17" spans="1:3" ht="12.75">
      <c r="A17">
        <v>2002</v>
      </c>
      <c r="B17" s="128">
        <f t="shared" si="0"/>
        <v>595.1219512195122</v>
      </c>
      <c r="C17" s="128">
        <v>112</v>
      </c>
    </row>
    <row r="18" spans="1:3" ht="12.75">
      <c r="A18">
        <v>2003</v>
      </c>
      <c r="B18" s="128">
        <f t="shared" si="0"/>
        <v>741.4634146341464</v>
      </c>
      <c r="C18">
        <v>114.2</v>
      </c>
    </row>
    <row r="19" spans="1:3" ht="12.75">
      <c r="A19">
        <v>2004</v>
      </c>
      <c r="B19" s="128">
        <f t="shared" si="0"/>
        <v>553.6585365853658</v>
      </c>
      <c r="C19">
        <v>115.9</v>
      </c>
    </row>
  </sheetData>
  <printOptions/>
  <pageMargins left="0.75" right="0.75" top="1.47" bottom="1" header="0.5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RAGIONERIA</oddHead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workbookViewId="0" topLeftCell="F1">
      <selection activeCell="F1" sqref="F1:T22"/>
    </sheetView>
  </sheetViews>
  <sheetFormatPr defaultColWidth="9.140625" defaultRowHeight="12.75"/>
  <cols>
    <col min="1" max="1" width="15.28125" style="0" customWidth="1"/>
    <col min="2" max="2" width="15.8515625" style="0" customWidth="1"/>
    <col min="3" max="3" width="15.7109375" style="0" customWidth="1"/>
  </cols>
  <sheetData>
    <row r="1" ht="12.75">
      <c r="A1" t="s">
        <v>92</v>
      </c>
    </row>
    <row r="2" spans="2:3" ht="12.75">
      <c r="B2" t="s">
        <v>63</v>
      </c>
      <c r="C2" t="s">
        <v>76</v>
      </c>
    </row>
    <row r="3" spans="1:3" ht="12.75">
      <c r="A3">
        <v>1997</v>
      </c>
      <c r="B3" s="127">
        <f>+'Cons spec netti'!F35</f>
        <v>719</v>
      </c>
      <c r="C3" s="7">
        <f>+'Cons spec tot e finalizzati'!G38</f>
        <v>0</v>
      </c>
    </row>
    <row r="4" spans="1:3" ht="12.75">
      <c r="A4">
        <v>1998</v>
      </c>
      <c r="B4" s="127">
        <f>+'Cons spec netti'!G35</f>
        <v>771</v>
      </c>
      <c r="C4" s="7">
        <f>+'Cons spec tot e finalizzati'!I38</f>
        <v>0</v>
      </c>
    </row>
    <row r="5" spans="1:3" ht="12.75">
      <c r="A5">
        <v>1999</v>
      </c>
      <c r="B5" s="127">
        <f>+'Cons spec netti'!H35</f>
        <v>784</v>
      </c>
      <c r="C5" s="7">
        <f>+'Cons spec tot e finalizzati'!K38</f>
        <v>0</v>
      </c>
    </row>
    <row r="6" spans="1:3" ht="12.75">
      <c r="A6">
        <v>2000</v>
      </c>
      <c r="B6" s="127">
        <f>+'Cons spec netti'!I35</f>
        <v>954</v>
      </c>
      <c r="C6" s="7">
        <f>+'Cons spec tot e finalizzati'!M38</f>
        <v>0</v>
      </c>
    </row>
    <row r="7" spans="1:3" ht="12.75">
      <c r="A7">
        <v>2001</v>
      </c>
      <c r="B7" s="127">
        <f>+'Cons spec netti'!J35</f>
        <v>1304</v>
      </c>
      <c r="C7" s="7">
        <f>+'Cons spec tot e finalizzati'!O38</f>
        <v>0</v>
      </c>
    </row>
    <row r="8" spans="1:3" ht="12.75">
      <c r="A8">
        <v>2002</v>
      </c>
      <c r="B8" s="127">
        <f>+'Cons spec netti'!K35</f>
        <v>1852</v>
      </c>
      <c r="C8" s="7">
        <f>+'Cons spec tot e finalizzati'!Q38</f>
        <v>0</v>
      </c>
    </row>
    <row r="9" spans="1:3" ht="12.75">
      <c r="A9">
        <v>2003</v>
      </c>
      <c r="B9" s="127">
        <f>+'Cons spec netti'!L35</f>
        <v>3046</v>
      </c>
      <c r="C9" s="7">
        <f>+'Cons spec tot e finalizzati'!S38</f>
        <v>0</v>
      </c>
    </row>
    <row r="10" spans="1:3" ht="12.75">
      <c r="A10">
        <v>2004</v>
      </c>
      <c r="B10" s="127">
        <f>+'Cons spec netti'!M35</f>
        <v>4516</v>
      </c>
      <c r="C10" s="7">
        <f>+'Cons spec tot e finalizzati'!U38</f>
        <v>0</v>
      </c>
    </row>
    <row r="11" spans="2:3" ht="12.75">
      <c r="B11" t="s">
        <v>77</v>
      </c>
      <c r="C11" t="s">
        <v>65</v>
      </c>
    </row>
    <row r="12" spans="1:3" ht="12.75">
      <c r="A12">
        <v>1997</v>
      </c>
      <c r="B12" s="128">
        <v>100</v>
      </c>
      <c r="C12" s="128">
        <v>100</v>
      </c>
    </row>
    <row r="13" spans="1:3" ht="12.75">
      <c r="A13">
        <v>1998</v>
      </c>
      <c r="B13" s="128">
        <f aca="true" t="shared" si="0" ref="B13:B19">+B4/$B$3*100</f>
        <v>107.23226703755215</v>
      </c>
      <c r="C13" s="128">
        <v>102.2</v>
      </c>
    </row>
    <row r="14" spans="1:3" ht="12.75">
      <c r="A14">
        <v>1999</v>
      </c>
      <c r="B14" s="128">
        <f t="shared" si="0"/>
        <v>109.0403337969402</v>
      </c>
      <c r="C14" s="128">
        <v>104</v>
      </c>
    </row>
    <row r="15" spans="1:3" ht="12.75">
      <c r="A15">
        <v>2000</v>
      </c>
      <c r="B15" s="128">
        <f t="shared" si="0"/>
        <v>132.68428372739916</v>
      </c>
      <c r="C15" s="128">
        <v>106.5</v>
      </c>
    </row>
    <row r="16" spans="1:3" ht="12.75">
      <c r="A16">
        <v>2001</v>
      </c>
      <c r="B16" s="128">
        <f t="shared" si="0"/>
        <v>181.36300417246176</v>
      </c>
      <c r="C16">
        <v>109.3</v>
      </c>
    </row>
    <row r="17" spans="1:3" ht="12.75">
      <c r="A17">
        <v>2002</v>
      </c>
      <c r="B17" s="128">
        <f t="shared" si="0"/>
        <v>257.5799721835883</v>
      </c>
      <c r="C17" s="128">
        <v>112</v>
      </c>
    </row>
    <row r="18" spans="1:3" ht="12.75">
      <c r="A18">
        <v>2003</v>
      </c>
      <c r="B18" s="128">
        <f t="shared" si="0"/>
        <v>423.643949930459</v>
      </c>
      <c r="C18">
        <v>114.2</v>
      </c>
    </row>
    <row r="19" spans="1:3" ht="12.75">
      <c r="A19">
        <v>2004</v>
      </c>
      <c r="B19" s="128">
        <f t="shared" si="0"/>
        <v>628.0945757997218</v>
      </c>
      <c r="C19">
        <v>115.9</v>
      </c>
    </row>
  </sheetData>
  <printOptions/>
  <pageMargins left="0.75" right="0.75" top="1.29" bottom="1" header="0.5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ENTRATE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1"/>
  <sheetViews>
    <sheetView workbookViewId="0" topLeftCell="A1">
      <selection activeCell="G20" sqref="G20"/>
    </sheetView>
  </sheetViews>
  <sheetFormatPr defaultColWidth="9.140625" defaultRowHeight="12.75"/>
  <cols>
    <col min="1" max="1" width="15.28125" style="0" customWidth="1"/>
    <col min="2" max="2" width="17.28125" style="0" customWidth="1"/>
    <col min="3" max="3" width="17.57421875" style="0" customWidth="1"/>
    <col min="9" max="9" width="8.8515625" style="0" customWidth="1"/>
  </cols>
  <sheetData>
    <row r="1" ht="12.75">
      <c r="A1" t="s">
        <v>103</v>
      </c>
    </row>
    <row r="2" spans="2:3" ht="25.5">
      <c r="B2" s="149" t="s">
        <v>83</v>
      </c>
      <c r="C2" s="149" t="s">
        <v>76</v>
      </c>
    </row>
    <row r="3" spans="1:3" ht="12.75">
      <c r="A3">
        <v>1997</v>
      </c>
      <c r="B3" s="127">
        <f>+'Cons spec netti'!F89</f>
        <v>1046</v>
      </c>
      <c r="C3" s="7">
        <f>+'Cons spec tot e finalizzati'!G92</f>
        <v>1695</v>
      </c>
    </row>
    <row r="4" spans="1:3" ht="12.75">
      <c r="A4">
        <v>1998</v>
      </c>
      <c r="B4" s="127">
        <f>+'Cons spec netti'!G89</f>
        <v>1230</v>
      </c>
      <c r="C4" s="7">
        <f>+'Cons spec tot e finalizzati'!I92</f>
        <v>1592</v>
      </c>
    </row>
    <row r="5" spans="1:3" ht="12.75">
      <c r="A5">
        <v>1999</v>
      </c>
      <c r="B5" s="127">
        <f>+'Cons spec netti'!H89</f>
        <v>1937</v>
      </c>
      <c r="C5" s="7">
        <f>+'Cons spec tot e finalizzati'!K92</f>
        <v>795</v>
      </c>
    </row>
    <row r="6" spans="1:3" ht="12.75">
      <c r="A6">
        <v>2000</v>
      </c>
      <c r="B6" s="127">
        <f>+'Cons spec netti'!I89</f>
        <v>2164</v>
      </c>
      <c r="C6" s="7">
        <f>+'Cons spec tot e finalizzati'!M92</f>
        <v>1192</v>
      </c>
    </row>
    <row r="7" spans="1:3" ht="12.75">
      <c r="A7">
        <v>2001</v>
      </c>
      <c r="B7" s="127">
        <f>+'Cons spec netti'!J89</f>
        <v>2975</v>
      </c>
      <c r="C7" s="7">
        <f>+'Cons spec tot e finalizzati'!O92</f>
        <v>1235</v>
      </c>
    </row>
    <row r="8" spans="1:3" ht="12.75">
      <c r="A8">
        <v>2002</v>
      </c>
      <c r="B8" s="127">
        <f>+'Cons spec netti'!K89</f>
        <v>4116</v>
      </c>
      <c r="C8" s="7">
        <f>+'Cons spec tot e finalizzati'!Q92</f>
        <v>1571</v>
      </c>
    </row>
    <row r="9" spans="1:3" ht="12.75">
      <c r="A9">
        <v>2003</v>
      </c>
      <c r="B9" s="127">
        <f>+'Cons spec netti'!L89</f>
        <v>4305</v>
      </c>
      <c r="C9" s="7">
        <f>+'Cons spec tot e finalizzati'!S92</f>
        <v>1265</v>
      </c>
    </row>
    <row r="10" spans="1:3" ht="12.75">
      <c r="A10">
        <v>2004</v>
      </c>
      <c r="B10" s="127">
        <f>+'Cons spec netti'!M89</f>
        <v>3354</v>
      </c>
      <c r="C10" s="7">
        <f>+'Cons spec tot e finalizzati'!U92</f>
        <v>1578</v>
      </c>
    </row>
    <row r="13" spans="2:3" ht="12.75">
      <c r="B13" t="s">
        <v>77</v>
      </c>
      <c r="C13" t="s">
        <v>65</v>
      </c>
    </row>
    <row r="14" spans="1:3" ht="12.75">
      <c r="A14">
        <v>1997</v>
      </c>
      <c r="B14" s="128">
        <v>100</v>
      </c>
      <c r="C14" s="128">
        <v>100</v>
      </c>
    </row>
    <row r="15" spans="1:3" ht="12.75">
      <c r="A15">
        <v>1998</v>
      </c>
      <c r="B15" s="128">
        <f aca="true" t="shared" si="0" ref="B15:B21">+B4/$B$3*100</f>
        <v>117.59082217973231</v>
      </c>
      <c r="C15" s="128">
        <v>102.2</v>
      </c>
    </row>
    <row r="16" spans="1:3" ht="12.75">
      <c r="A16">
        <v>1999</v>
      </c>
      <c r="B16" s="128">
        <f t="shared" si="0"/>
        <v>185.18164435946463</v>
      </c>
      <c r="C16" s="128">
        <v>104</v>
      </c>
    </row>
    <row r="17" spans="1:3" ht="12.75">
      <c r="A17">
        <v>2000</v>
      </c>
      <c r="B17" s="128">
        <f t="shared" si="0"/>
        <v>206.8833652007648</v>
      </c>
      <c r="C17" s="128">
        <v>106.5</v>
      </c>
    </row>
    <row r="18" spans="1:3" ht="12.75">
      <c r="A18">
        <v>2001</v>
      </c>
      <c r="B18" s="128">
        <f t="shared" si="0"/>
        <v>284.4168260038241</v>
      </c>
      <c r="C18">
        <v>109.3</v>
      </c>
    </row>
    <row r="19" spans="1:3" ht="12.75">
      <c r="A19">
        <v>2002</v>
      </c>
      <c r="B19" s="128">
        <f t="shared" si="0"/>
        <v>393.49904397705546</v>
      </c>
      <c r="C19" s="128">
        <v>112</v>
      </c>
    </row>
    <row r="20" spans="1:3" ht="12.75">
      <c r="A20">
        <v>2003</v>
      </c>
      <c r="B20" s="128">
        <f t="shared" si="0"/>
        <v>411.5678776290631</v>
      </c>
      <c r="C20">
        <v>114.2</v>
      </c>
    </row>
    <row r="21" spans="1:3" ht="12.75">
      <c r="A21">
        <v>2004</v>
      </c>
      <c r="B21" s="128">
        <f t="shared" si="0"/>
        <v>320.65009560229447</v>
      </c>
      <c r="C21">
        <v>115.9</v>
      </c>
    </row>
  </sheetData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workbookViewId="0" topLeftCell="F1">
      <selection activeCell="F1" sqref="F1:T22"/>
    </sheetView>
  </sheetViews>
  <sheetFormatPr defaultColWidth="9.140625" defaultRowHeight="12.75"/>
  <cols>
    <col min="1" max="1" width="15.28125" style="0" customWidth="1"/>
    <col min="2" max="2" width="15.8515625" style="0" customWidth="1"/>
    <col min="3" max="3" width="15.7109375" style="0" customWidth="1"/>
  </cols>
  <sheetData>
    <row r="1" ht="12.75">
      <c r="A1" t="s">
        <v>90</v>
      </c>
    </row>
    <row r="2" spans="2:3" ht="12.75">
      <c r="B2" t="s">
        <v>63</v>
      </c>
      <c r="C2" t="s">
        <v>76</v>
      </c>
    </row>
    <row r="3" spans="1:3" ht="12.75">
      <c r="A3">
        <v>1997</v>
      </c>
      <c r="B3" s="127">
        <f>+'Cons spec netti'!F33</f>
        <v>903</v>
      </c>
      <c r="C3" s="7">
        <f>+'Cons spec tot e finalizzati'!G36</f>
        <v>0</v>
      </c>
    </row>
    <row r="4" spans="1:3" ht="12.75">
      <c r="A4">
        <v>1998</v>
      </c>
      <c r="B4" s="127">
        <f>+'Cons spec netti'!G33</f>
        <v>1076</v>
      </c>
      <c r="C4" s="7">
        <f>+'Cons spec tot e finalizzati'!I36</f>
        <v>0</v>
      </c>
    </row>
    <row r="5" spans="1:3" ht="12.75">
      <c r="A5">
        <v>1999</v>
      </c>
      <c r="B5" s="127">
        <f>+'Cons spec netti'!H33</f>
        <v>1106</v>
      </c>
      <c r="C5" s="7">
        <f>+'Cons spec tot e finalizzati'!K36</f>
        <v>0</v>
      </c>
    </row>
    <row r="6" spans="1:3" ht="12.75">
      <c r="A6">
        <v>2000</v>
      </c>
      <c r="B6" s="127">
        <f>+'Cons spec netti'!I33</f>
        <v>1288</v>
      </c>
      <c r="C6" s="7">
        <f>+'Cons spec tot e finalizzati'!M36</f>
        <v>0</v>
      </c>
    </row>
    <row r="7" spans="1:3" ht="12.75">
      <c r="A7">
        <v>2001</v>
      </c>
      <c r="B7" s="127">
        <f>+'Cons spec netti'!J33</f>
        <v>1604</v>
      </c>
      <c r="C7" s="7">
        <f>+'Cons spec tot e finalizzati'!O36</f>
        <v>0</v>
      </c>
    </row>
    <row r="8" spans="1:3" ht="12.75">
      <c r="A8">
        <v>2002</v>
      </c>
      <c r="B8" s="127">
        <f>+'Cons spec netti'!K33</f>
        <v>2285</v>
      </c>
      <c r="C8" s="7">
        <f>+'Cons spec tot e finalizzati'!Q36</f>
        <v>0</v>
      </c>
    </row>
    <row r="9" spans="1:3" ht="12.75">
      <c r="A9">
        <v>2003</v>
      </c>
      <c r="B9" s="127">
        <f>+'Cons spec netti'!L33</f>
        <v>3590</v>
      </c>
      <c r="C9" s="7">
        <f>+'Cons spec tot e finalizzati'!S36</f>
        <v>0</v>
      </c>
    </row>
    <row r="10" spans="1:3" ht="12.75">
      <c r="A10">
        <v>2004</v>
      </c>
      <c r="B10" s="127">
        <f>+'Cons spec netti'!M33</f>
        <v>5007</v>
      </c>
      <c r="C10" s="7">
        <f>+'Cons spec tot e finalizzati'!U36</f>
        <v>0</v>
      </c>
    </row>
    <row r="11" spans="2:3" ht="12.75">
      <c r="B11" t="s">
        <v>77</v>
      </c>
      <c r="C11" t="s">
        <v>65</v>
      </c>
    </row>
    <row r="12" spans="1:3" ht="12.75">
      <c r="A12">
        <v>1997</v>
      </c>
      <c r="B12" s="128">
        <v>100</v>
      </c>
      <c r="C12" s="128">
        <v>100</v>
      </c>
    </row>
    <row r="13" spans="1:3" ht="12.75">
      <c r="A13">
        <v>1998</v>
      </c>
      <c r="B13" s="128">
        <f aca="true" t="shared" si="0" ref="B13:B19">+B4/$B$3*100</f>
        <v>119.15836101882613</v>
      </c>
      <c r="C13" s="128">
        <v>102.2</v>
      </c>
    </row>
    <row r="14" spans="1:3" ht="12.75">
      <c r="A14">
        <v>1999</v>
      </c>
      <c r="B14" s="128">
        <f t="shared" si="0"/>
        <v>122.48062015503875</v>
      </c>
      <c r="C14" s="128">
        <v>104</v>
      </c>
    </row>
    <row r="15" spans="1:3" ht="12.75">
      <c r="A15">
        <v>2000</v>
      </c>
      <c r="B15" s="128">
        <f t="shared" si="0"/>
        <v>142.63565891472868</v>
      </c>
      <c r="C15" s="128">
        <v>106.5</v>
      </c>
    </row>
    <row r="16" spans="1:3" ht="12.75">
      <c r="A16">
        <v>2001</v>
      </c>
      <c r="B16" s="128">
        <f t="shared" si="0"/>
        <v>177.63012181616833</v>
      </c>
      <c r="C16">
        <v>109.3</v>
      </c>
    </row>
    <row r="17" spans="1:3" ht="12.75">
      <c r="A17">
        <v>2002</v>
      </c>
      <c r="B17" s="128">
        <f t="shared" si="0"/>
        <v>253.04540420819492</v>
      </c>
      <c r="C17" s="128">
        <v>112</v>
      </c>
    </row>
    <row r="18" spans="1:3" ht="12.75">
      <c r="A18">
        <v>2003</v>
      </c>
      <c r="B18" s="128">
        <f t="shared" si="0"/>
        <v>397.5636766334441</v>
      </c>
      <c r="C18">
        <v>114.2</v>
      </c>
    </row>
    <row r="19" spans="1:3" ht="12.75">
      <c r="A19">
        <v>2004</v>
      </c>
      <c r="B19" s="128">
        <f t="shared" si="0"/>
        <v>554.485049833887</v>
      </c>
      <c r="C19">
        <v>115.9</v>
      </c>
    </row>
  </sheetData>
  <printOptions/>
  <pageMargins left="0.75" right="0.75" top="1.35" bottom="1" header="0.57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AREA FINANZA</oddHead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9"/>
  <sheetViews>
    <sheetView workbookViewId="0" topLeftCell="E1">
      <selection activeCell="F1" sqref="F1:S22"/>
    </sheetView>
  </sheetViews>
  <sheetFormatPr defaultColWidth="9.140625" defaultRowHeight="12.75"/>
  <cols>
    <col min="1" max="1" width="15.28125" style="0" customWidth="1"/>
    <col min="2" max="2" width="15.8515625" style="0" customWidth="1"/>
    <col min="3" max="3" width="15.7109375" style="0" customWidth="1"/>
  </cols>
  <sheetData>
    <row r="2" spans="2:3" ht="12.75">
      <c r="B2" t="s">
        <v>63</v>
      </c>
      <c r="C2" t="s">
        <v>76</v>
      </c>
    </row>
    <row r="3" spans="1:3" ht="12.75">
      <c r="A3">
        <v>1997</v>
      </c>
      <c r="B3" s="127">
        <f>+'Cons spec netti'!F36</f>
        <v>143</v>
      </c>
      <c r="C3" s="7">
        <f>+'Cons spec tot e finalizzati'!G39</f>
        <v>0</v>
      </c>
    </row>
    <row r="4" spans="1:3" ht="12.75">
      <c r="A4">
        <v>1998</v>
      </c>
      <c r="B4" s="127">
        <f>+'Cons spec netti'!G36</f>
        <v>173</v>
      </c>
      <c r="C4" s="7">
        <f>+'Cons spec tot e finalizzati'!I39</f>
        <v>0</v>
      </c>
    </row>
    <row r="5" spans="1:3" ht="12.75">
      <c r="A5">
        <v>1999</v>
      </c>
      <c r="B5" s="127">
        <f>+'Cons spec netti'!H36</f>
        <v>172</v>
      </c>
      <c r="C5" s="7">
        <f>+'Cons spec tot e finalizzati'!K39</f>
        <v>0</v>
      </c>
    </row>
    <row r="6" spans="1:3" ht="12.75">
      <c r="A6">
        <v>2000</v>
      </c>
      <c r="B6" s="127">
        <f>+'Cons spec netti'!I36</f>
        <v>172</v>
      </c>
      <c r="C6" s="7">
        <f>+'Cons spec tot e finalizzati'!M39</f>
        <v>0</v>
      </c>
    </row>
    <row r="7" spans="1:3" ht="12.75">
      <c r="A7">
        <v>2001</v>
      </c>
      <c r="B7" s="127">
        <f>+'Cons spec netti'!J36</f>
        <v>131</v>
      </c>
      <c r="C7" s="7">
        <f>+'Cons spec tot e finalizzati'!O39</f>
        <v>0</v>
      </c>
    </row>
    <row r="8" spans="1:3" ht="12.75">
      <c r="A8">
        <v>2002</v>
      </c>
      <c r="B8" s="127">
        <f>+'Cons spec netti'!K36</f>
        <v>189</v>
      </c>
      <c r="C8" s="7">
        <f>+'Cons spec tot e finalizzati'!Q39</f>
        <v>0</v>
      </c>
    </row>
    <row r="9" spans="1:3" ht="12.75">
      <c r="A9">
        <v>2003</v>
      </c>
      <c r="B9" s="127">
        <f>+'Cons spec netti'!L36</f>
        <v>240</v>
      </c>
      <c r="C9" s="7">
        <f>+'Cons spec tot e finalizzati'!S39</f>
        <v>0</v>
      </c>
    </row>
    <row r="10" spans="1:3" ht="12.75">
      <c r="A10">
        <v>2004</v>
      </c>
      <c r="B10" s="127">
        <f>+'Cons spec netti'!M36</f>
        <v>264</v>
      </c>
      <c r="C10" s="7">
        <f>+'Cons spec tot e finalizzati'!U39</f>
        <v>0</v>
      </c>
    </row>
    <row r="11" spans="2:3" ht="12.75">
      <c r="B11" t="s">
        <v>77</v>
      </c>
      <c r="C11" t="s">
        <v>65</v>
      </c>
    </row>
    <row r="12" spans="1:3" ht="12.75">
      <c r="A12">
        <v>1997</v>
      </c>
      <c r="B12" s="128">
        <v>100</v>
      </c>
      <c r="C12" s="128">
        <v>100</v>
      </c>
    </row>
    <row r="13" spans="1:3" ht="12.75">
      <c r="A13">
        <v>1998</v>
      </c>
      <c r="B13" s="128">
        <f aca="true" t="shared" si="0" ref="B13:B19">+B4/$B$3*100</f>
        <v>120.97902097902097</v>
      </c>
      <c r="C13" s="128">
        <v>102.2</v>
      </c>
    </row>
    <row r="14" spans="1:3" ht="12.75">
      <c r="A14">
        <v>1999</v>
      </c>
      <c r="B14" s="128">
        <f t="shared" si="0"/>
        <v>120.27972027972027</v>
      </c>
      <c r="C14" s="128">
        <v>104</v>
      </c>
    </row>
    <row r="15" spans="1:3" ht="12.75">
      <c r="A15">
        <v>2000</v>
      </c>
      <c r="B15" s="128">
        <f t="shared" si="0"/>
        <v>120.27972027972027</v>
      </c>
      <c r="C15" s="128">
        <v>106.5</v>
      </c>
    </row>
    <row r="16" spans="1:3" ht="12.75">
      <c r="A16">
        <v>2001</v>
      </c>
      <c r="B16" s="128">
        <f t="shared" si="0"/>
        <v>91.6083916083916</v>
      </c>
      <c r="C16">
        <v>109.3</v>
      </c>
    </row>
    <row r="17" spans="1:3" ht="12.75">
      <c r="A17">
        <v>2002</v>
      </c>
      <c r="B17" s="128">
        <f t="shared" si="0"/>
        <v>132.16783216783216</v>
      </c>
      <c r="C17" s="128">
        <v>112</v>
      </c>
    </row>
    <row r="18" spans="1:3" ht="12.75">
      <c r="A18">
        <v>2003</v>
      </c>
      <c r="B18" s="128">
        <f t="shared" si="0"/>
        <v>167.83216783216784</v>
      </c>
      <c r="C18">
        <v>114.2</v>
      </c>
    </row>
    <row r="19" spans="1:3" ht="12.75">
      <c r="A19">
        <v>2004</v>
      </c>
      <c r="B19" s="128">
        <f t="shared" si="0"/>
        <v>184.6153846153846</v>
      </c>
      <c r="C19">
        <v>115.9</v>
      </c>
    </row>
  </sheetData>
  <printOptions/>
  <pageMargins left="0.75" right="0.75" top="1.19" bottom="1" header="0.5" footer="0.5"/>
  <pageSetup fitToHeight="1" fitToWidth="1" horizontalDpi="600" verticalDpi="600" orientation="landscape" paperSize="9" r:id="rId2"/>
  <headerFooter alignWithMargins="0">
    <oddHeader>&amp;CCONSUNTIVO 2004
SERIE STORICA CONSUMI SPECIFICI 1997 - 2004
SETTORE PATRIMONIO</oddHead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9"/>
  <sheetViews>
    <sheetView workbookViewId="0" topLeftCell="E1">
      <selection activeCell="F1" sqref="F1:S22"/>
    </sheetView>
  </sheetViews>
  <sheetFormatPr defaultColWidth="9.140625" defaultRowHeight="12.75"/>
  <cols>
    <col min="1" max="1" width="15.28125" style="0" customWidth="1"/>
    <col min="2" max="2" width="15.8515625" style="0" customWidth="1"/>
    <col min="3" max="3" width="15.7109375" style="0" customWidth="1"/>
  </cols>
  <sheetData>
    <row r="2" spans="2:3" ht="12.75">
      <c r="B2" t="s">
        <v>63</v>
      </c>
      <c r="C2" t="s">
        <v>76</v>
      </c>
    </row>
    <row r="3" spans="1:4" ht="12.75">
      <c r="A3">
        <v>1997</v>
      </c>
      <c r="B3" s="127">
        <f>+'Cons spec netti'!F154</f>
        <v>790</v>
      </c>
      <c r="C3" s="7">
        <f>+'Cons spec tot e finalizzati'!G157</f>
        <v>0</v>
      </c>
      <c r="D3" s="7"/>
    </row>
    <row r="4" spans="1:4" ht="12.75">
      <c r="A4">
        <v>1998</v>
      </c>
      <c r="B4" s="127">
        <f>+'Cons spec netti'!G154</f>
        <v>891</v>
      </c>
      <c r="C4" s="7">
        <f>+'Cons spec tot e finalizzati'!I157</f>
        <v>44</v>
      </c>
      <c r="D4" s="7"/>
    </row>
    <row r="5" spans="1:4" ht="12.75">
      <c r="A5">
        <v>1999</v>
      </c>
      <c r="B5" s="127">
        <f>+'Cons spec netti'!H154</f>
        <v>1127</v>
      </c>
      <c r="C5" s="7">
        <f>+'Cons spec tot e finalizzati'!K157</f>
        <v>49</v>
      </c>
      <c r="D5" s="7"/>
    </row>
    <row r="6" spans="1:4" ht="12.75">
      <c r="A6">
        <v>2000</v>
      </c>
      <c r="B6" s="127">
        <f>+'Cons spec netti'!I154</f>
        <v>1095</v>
      </c>
      <c r="C6" s="7">
        <f>+'Cons spec tot e finalizzati'!M157</f>
        <v>81</v>
      </c>
      <c r="D6" s="7"/>
    </row>
    <row r="7" spans="1:4" ht="12.75">
      <c r="A7">
        <v>2001</v>
      </c>
      <c r="B7" s="127">
        <f>+'Cons spec netti'!J154</f>
        <v>1253.769603412747</v>
      </c>
      <c r="C7" s="7">
        <f>+'Cons spec tot e finalizzati'!O157</f>
        <v>202.2303965872528</v>
      </c>
      <c r="D7" s="7"/>
    </row>
    <row r="8" spans="1:4" ht="12.75">
      <c r="A8">
        <v>2002</v>
      </c>
      <c r="B8" s="127">
        <f>+'Cons spec netti'!K154</f>
        <v>742</v>
      </c>
      <c r="C8" s="7">
        <f>+'Cons spec tot e finalizzati'!Q157</f>
        <v>21</v>
      </c>
      <c r="D8" s="7"/>
    </row>
    <row r="9" spans="1:4" ht="12.75">
      <c r="A9">
        <v>2003</v>
      </c>
      <c r="B9" s="127">
        <f>+'Cons spec netti'!L154</f>
        <v>592</v>
      </c>
      <c r="C9" s="7">
        <f>+'Cons spec tot e finalizzati'!S157</f>
        <v>20</v>
      </c>
      <c r="D9" s="7"/>
    </row>
    <row r="10" spans="1:4" ht="12.75">
      <c r="A10">
        <v>2004</v>
      </c>
      <c r="B10" s="127">
        <f>+'Cons spec netti'!M154</f>
        <v>475</v>
      </c>
      <c r="C10" s="7">
        <f>+'Cons spec tot e finalizzati'!U157</f>
        <v>23</v>
      </c>
      <c r="D10" s="7"/>
    </row>
    <row r="11" spans="2:3" ht="12.75">
      <c r="B11" t="s">
        <v>64</v>
      </c>
      <c r="C11" t="s">
        <v>65</v>
      </c>
    </row>
    <row r="12" spans="1:3" ht="12.75">
      <c r="A12">
        <v>1997</v>
      </c>
      <c r="B12" s="128">
        <v>100</v>
      </c>
      <c r="C12" s="128">
        <v>100</v>
      </c>
    </row>
    <row r="13" spans="1:3" ht="12.75">
      <c r="A13">
        <v>1998</v>
      </c>
      <c r="B13" s="128">
        <f aca="true" t="shared" si="0" ref="B13:B19">+B4/$B$3*100</f>
        <v>112.78481012658229</v>
      </c>
      <c r="C13" s="128">
        <v>102.2</v>
      </c>
    </row>
    <row r="14" spans="1:3" ht="12.75">
      <c r="A14">
        <v>1999</v>
      </c>
      <c r="B14" s="128">
        <f t="shared" si="0"/>
        <v>142.65822784810126</v>
      </c>
      <c r="C14" s="128">
        <v>104</v>
      </c>
    </row>
    <row r="15" spans="1:3" ht="12.75">
      <c r="A15">
        <v>2000</v>
      </c>
      <c r="B15" s="128">
        <f t="shared" si="0"/>
        <v>138.60759493670886</v>
      </c>
      <c r="C15" s="128">
        <v>106.5</v>
      </c>
    </row>
    <row r="16" spans="1:3" ht="12.75">
      <c r="A16">
        <v>2001</v>
      </c>
      <c r="B16" s="128">
        <f t="shared" si="0"/>
        <v>158.70501309022117</v>
      </c>
      <c r="C16">
        <v>109.3</v>
      </c>
    </row>
    <row r="17" spans="1:3" ht="12.75">
      <c r="A17">
        <v>2002</v>
      </c>
      <c r="B17" s="128">
        <f t="shared" si="0"/>
        <v>93.92405063291139</v>
      </c>
      <c r="C17" s="128">
        <v>112</v>
      </c>
    </row>
    <row r="18" spans="1:3" ht="12.75">
      <c r="A18">
        <v>2003</v>
      </c>
      <c r="B18" s="128">
        <f t="shared" si="0"/>
        <v>74.9367088607595</v>
      </c>
      <c r="C18" s="129">
        <v>114.2</v>
      </c>
    </row>
    <row r="19" spans="1:3" ht="12.75">
      <c r="A19">
        <v>2004</v>
      </c>
      <c r="B19" s="128">
        <f t="shared" si="0"/>
        <v>60.12658227848101</v>
      </c>
      <c r="C19">
        <v>115.9</v>
      </c>
    </row>
  </sheetData>
  <printOptions/>
  <pageMargins left="0.75" right="0.75" top="1.33" bottom="1" header="0.5" footer="0.5"/>
  <pageSetup fitToHeight="1" fitToWidth="1" horizontalDpi="600" verticalDpi="600" orientation="landscape" paperSize="9" r:id="rId2"/>
  <headerFooter alignWithMargins="0">
    <oddHeader>&amp;CCONSUNTIVO 2004
SERIE STORICA CONSUMI SPECIFICI 1997 - 2004
SETTORE COMUNICAZIONE</oddHead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9"/>
  <sheetViews>
    <sheetView workbookViewId="0" topLeftCell="F1">
      <selection activeCell="F1" sqref="F1:T22"/>
    </sheetView>
  </sheetViews>
  <sheetFormatPr defaultColWidth="9.140625" defaultRowHeight="12.75"/>
  <cols>
    <col min="1" max="1" width="15.28125" style="0" customWidth="1"/>
    <col min="2" max="2" width="15.8515625" style="0" customWidth="1"/>
    <col min="3" max="3" width="15.7109375" style="0" customWidth="1"/>
  </cols>
  <sheetData>
    <row r="2" spans="2:3" ht="12.75">
      <c r="B2" t="s">
        <v>63</v>
      </c>
      <c r="C2" t="s">
        <v>76</v>
      </c>
    </row>
    <row r="3" spans="1:3" ht="12.75">
      <c r="A3">
        <v>1997</v>
      </c>
      <c r="B3" s="127">
        <f>+'Cons spec netti'!F172</f>
        <v>20865</v>
      </c>
      <c r="C3" s="7">
        <f>+'Cons spec tot e finalizzati'!G175</f>
        <v>0</v>
      </c>
    </row>
    <row r="4" spans="1:3" ht="12.75">
      <c r="A4">
        <v>1998</v>
      </c>
      <c r="B4" s="127">
        <f>+'Cons spec netti'!G172</f>
        <v>23377</v>
      </c>
      <c r="C4" s="7">
        <f>+'Cons spec tot e finalizzati'!I175</f>
        <v>0</v>
      </c>
    </row>
    <row r="5" spans="1:3" ht="12.75">
      <c r="A5">
        <v>1999</v>
      </c>
      <c r="B5" s="127">
        <f>+'Cons spec netti'!H172</f>
        <v>25259</v>
      </c>
      <c r="C5" s="7">
        <f>+'Cons spec tot e finalizzati'!K175</f>
        <v>21</v>
      </c>
    </row>
    <row r="6" spans="1:3" ht="12.75">
      <c r="A6">
        <v>2000</v>
      </c>
      <c r="B6" s="127">
        <f>+'Cons spec netti'!I172</f>
        <v>26872.5</v>
      </c>
      <c r="C6" s="7">
        <f>+'Cons spec tot e finalizzati'!M175</f>
        <v>605</v>
      </c>
    </row>
    <row r="7" spans="1:3" ht="12.75">
      <c r="A7">
        <v>2001</v>
      </c>
      <c r="B7" s="127">
        <f>+'Cons spec netti'!J172</f>
        <v>28608.891094733688</v>
      </c>
      <c r="C7" s="7">
        <f>+'Cons spec tot e finalizzati'!O175</f>
        <v>19.108905266311</v>
      </c>
    </row>
    <row r="8" spans="1:3" ht="12.75">
      <c r="A8">
        <v>2002</v>
      </c>
      <c r="B8" s="127">
        <f>+'Cons spec netti'!K172</f>
        <v>30082</v>
      </c>
      <c r="C8" s="7">
        <f>+'Cons spec tot e finalizzati'!Q175</f>
        <v>31</v>
      </c>
    </row>
    <row r="9" spans="1:3" ht="12.75">
      <c r="A9">
        <v>2003</v>
      </c>
      <c r="B9" s="127">
        <f>+'Cons spec netti'!L172</f>
        <v>31730</v>
      </c>
      <c r="C9" s="7">
        <f>+'Cons spec tot e finalizzati'!S175</f>
        <v>18</v>
      </c>
    </row>
    <row r="10" spans="1:3" ht="12.75">
      <c r="A10">
        <v>2004</v>
      </c>
      <c r="B10" s="127">
        <f>+'Cons spec netti'!M172</f>
        <v>31966</v>
      </c>
      <c r="C10" s="7">
        <f>+'Cons spec tot e finalizzati'!U175</f>
        <v>22</v>
      </c>
    </row>
    <row r="11" spans="2:3" ht="12.75">
      <c r="B11" t="s">
        <v>64</v>
      </c>
      <c r="C11" t="s">
        <v>65</v>
      </c>
    </row>
    <row r="12" spans="1:3" ht="12.75">
      <c r="A12">
        <v>1997</v>
      </c>
      <c r="B12" s="128">
        <v>100</v>
      </c>
      <c r="C12" s="128">
        <v>100</v>
      </c>
    </row>
    <row r="13" spans="1:3" ht="12.75">
      <c r="A13">
        <v>1998</v>
      </c>
      <c r="B13" s="128">
        <f aca="true" t="shared" si="0" ref="B13:B19">+B4/$B$3*100</f>
        <v>112.03930026359934</v>
      </c>
      <c r="C13" s="128">
        <v>102.2</v>
      </c>
    </row>
    <row r="14" spans="1:3" ht="12.75">
      <c r="A14">
        <v>1999</v>
      </c>
      <c r="B14" s="128">
        <f t="shared" si="0"/>
        <v>121.05919003115264</v>
      </c>
      <c r="C14" s="128">
        <v>104</v>
      </c>
    </row>
    <row r="15" spans="1:3" ht="12.75">
      <c r="A15">
        <v>2000</v>
      </c>
      <c r="B15" s="128">
        <f t="shared" si="0"/>
        <v>128.7922358015816</v>
      </c>
      <c r="C15" s="128">
        <v>106.5</v>
      </c>
    </row>
    <row r="16" spans="1:3" ht="12.75">
      <c r="A16">
        <v>2001</v>
      </c>
      <c r="B16" s="128">
        <f t="shared" si="0"/>
        <v>137.11426357408908</v>
      </c>
      <c r="C16">
        <v>109.3</v>
      </c>
    </row>
    <row r="17" spans="1:3" ht="12.75">
      <c r="A17">
        <v>2002</v>
      </c>
      <c r="B17" s="128">
        <f t="shared" si="0"/>
        <v>144.17445482866043</v>
      </c>
      <c r="C17" s="128">
        <v>112</v>
      </c>
    </row>
    <row r="18" spans="1:3" ht="12.75">
      <c r="A18">
        <v>2003</v>
      </c>
      <c r="B18" s="128">
        <f t="shared" si="0"/>
        <v>152.07284926911095</v>
      </c>
      <c r="C18">
        <v>114.2</v>
      </c>
    </row>
    <row r="19" spans="1:3" ht="12.75">
      <c r="A19">
        <v>2004</v>
      </c>
      <c r="B19" s="128">
        <f t="shared" si="0"/>
        <v>153.20393002635993</v>
      </c>
      <c r="C19">
        <v>115.9</v>
      </c>
    </row>
  </sheetData>
  <printOptions/>
  <pageMargins left="0.75" right="0.75" top="1.37" bottom="1" header="0.6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QUARTIERI</oddHead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9"/>
  <sheetViews>
    <sheetView workbookViewId="0" topLeftCell="E1">
      <selection activeCell="F1" sqref="F1:S22"/>
    </sheetView>
  </sheetViews>
  <sheetFormatPr defaultColWidth="9.140625" defaultRowHeight="12.75"/>
  <cols>
    <col min="1" max="1" width="15.28125" style="0" customWidth="1"/>
    <col min="2" max="2" width="15.8515625" style="0" customWidth="1"/>
    <col min="3" max="3" width="15.7109375" style="0" customWidth="1"/>
  </cols>
  <sheetData>
    <row r="2" spans="2:3" ht="12.75">
      <c r="B2" t="s">
        <v>63</v>
      </c>
      <c r="C2" t="s">
        <v>76</v>
      </c>
    </row>
    <row r="3" spans="1:3" ht="12.75">
      <c r="A3">
        <v>1997</v>
      </c>
      <c r="B3" s="127">
        <f>+'Cons spec netti'!F27</f>
        <v>784</v>
      </c>
      <c r="C3" s="7">
        <f>+'Cons spec tot e finalizzati'!G30</f>
        <v>0</v>
      </c>
    </row>
    <row r="4" spans="1:3" ht="12.75">
      <c r="A4">
        <v>1998</v>
      </c>
      <c r="B4" s="127">
        <f>+'Cons spec netti'!G27</f>
        <v>722</v>
      </c>
      <c r="C4" s="7">
        <f>+'Cons spec tot e finalizzati'!I30</f>
        <v>0</v>
      </c>
    </row>
    <row r="5" spans="1:3" ht="12.75">
      <c r="A5">
        <v>1999</v>
      </c>
      <c r="B5" s="127">
        <f>+'Cons spec netti'!H27</f>
        <v>999</v>
      </c>
      <c r="C5" s="7">
        <f>+'Cons spec tot e finalizzati'!K30</f>
        <v>41</v>
      </c>
    </row>
    <row r="6" spans="1:3" ht="12.75">
      <c r="A6">
        <v>2000</v>
      </c>
      <c r="B6" s="127">
        <f>+'Cons spec netti'!I27</f>
        <v>1194</v>
      </c>
      <c r="C6" s="7">
        <f>+'Cons spec tot e finalizzati'!M30</f>
        <v>8</v>
      </c>
    </row>
    <row r="7" spans="1:3" ht="12.75">
      <c r="A7">
        <v>2001</v>
      </c>
      <c r="B7" s="127">
        <f>+'Cons spec netti'!J27</f>
        <v>1101</v>
      </c>
      <c r="C7" s="7">
        <f>+'Cons spec tot e finalizzati'!O30</f>
        <v>0</v>
      </c>
    </row>
    <row r="8" spans="1:3" ht="12.75">
      <c r="A8">
        <v>2002</v>
      </c>
      <c r="B8" s="127">
        <f>+'Cons spec netti'!K27</f>
        <v>737</v>
      </c>
      <c r="C8" s="7">
        <f>+'Cons spec tot e finalizzati'!Q30</f>
        <v>7</v>
      </c>
    </row>
    <row r="9" spans="1:3" ht="12.75">
      <c r="A9">
        <v>2003</v>
      </c>
      <c r="B9" s="127">
        <f>+'Cons spec netti'!L27</f>
        <v>220</v>
      </c>
      <c r="C9" s="7">
        <f>+'Cons spec tot e finalizzati'!S30</f>
        <v>7</v>
      </c>
    </row>
    <row r="10" spans="1:3" ht="12.75">
      <c r="A10">
        <v>2004</v>
      </c>
      <c r="B10" s="127">
        <f>+'Cons spec netti'!M27</f>
        <v>372</v>
      </c>
      <c r="C10" s="7">
        <f>+'Cons spec tot e finalizzati'!U30</f>
        <v>9</v>
      </c>
    </row>
    <row r="11" spans="2:3" ht="12.75">
      <c r="B11" t="s">
        <v>77</v>
      </c>
      <c r="C11" t="s">
        <v>65</v>
      </c>
    </row>
    <row r="12" spans="1:3" ht="12.75">
      <c r="A12">
        <v>1997</v>
      </c>
      <c r="B12" s="128">
        <v>100</v>
      </c>
      <c r="C12" s="128">
        <v>100</v>
      </c>
    </row>
    <row r="13" spans="1:3" ht="12.75">
      <c r="A13">
        <v>1998</v>
      </c>
      <c r="B13" s="128">
        <f aca="true" t="shared" si="0" ref="B13:B19">+B4/$B$3*100</f>
        <v>92.09183673469387</v>
      </c>
      <c r="C13" s="128">
        <v>102.2</v>
      </c>
    </row>
    <row r="14" spans="1:3" ht="12.75">
      <c r="A14">
        <v>1999</v>
      </c>
      <c r="B14" s="128">
        <f t="shared" si="0"/>
        <v>127.4234693877551</v>
      </c>
      <c r="C14" s="128">
        <v>104</v>
      </c>
    </row>
    <row r="15" spans="1:3" ht="12.75">
      <c r="A15">
        <v>2000</v>
      </c>
      <c r="B15" s="128">
        <f t="shared" si="0"/>
        <v>152.29591836734696</v>
      </c>
      <c r="C15" s="128">
        <v>106.5</v>
      </c>
    </row>
    <row r="16" spans="1:3" ht="12.75">
      <c r="A16">
        <v>2001</v>
      </c>
      <c r="B16" s="128">
        <f t="shared" si="0"/>
        <v>140.43367346938774</v>
      </c>
      <c r="C16">
        <v>109.3</v>
      </c>
    </row>
    <row r="17" spans="1:3" ht="12.75">
      <c r="A17">
        <v>2002</v>
      </c>
      <c r="B17" s="128">
        <f t="shared" si="0"/>
        <v>94.00510204081633</v>
      </c>
      <c r="C17" s="128">
        <v>112</v>
      </c>
    </row>
    <row r="18" spans="1:3" ht="12.75">
      <c r="A18">
        <v>2003</v>
      </c>
      <c r="B18" s="128">
        <f t="shared" si="0"/>
        <v>28.061224489795915</v>
      </c>
      <c r="C18">
        <v>114.2</v>
      </c>
    </row>
    <row r="19" spans="1:3" ht="12.75">
      <c r="A19">
        <v>2004</v>
      </c>
      <c r="B19" s="128">
        <f t="shared" si="0"/>
        <v>47.44897959183674</v>
      </c>
      <c r="C19">
        <v>115.9</v>
      </c>
    </row>
  </sheetData>
  <printOptions/>
  <pageMargins left="0.75" right="0.75" top="1.37" bottom="1" header="0.5" footer="0.5"/>
  <pageSetup fitToHeight="1" fitToWidth="1" horizontalDpi="600" verticalDpi="600" orientation="landscape" paperSize="9" r:id="rId2"/>
  <headerFooter alignWithMargins="0">
    <oddHeader>&amp;CCONSUNTIVO 2004
SERIE STORICA CONSUMI SPECIFICI 1997 - 2004
SETTORE AFFARI ISTITUZIONALI E QUARTIERI</oddHead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9"/>
  <sheetViews>
    <sheetView workbookViewId="0" topLeftCell="E1">
      <selection activeCell="F1" sqref="F1:S22"/>
    </sheetView>
  </sheetViews>
  <sheetFormatPr defaultColWidth="9.140625" defaultRowHeight="12.75"/>
  <cols>
    <col min="1" max="1" width="15.28125" style="0" customWidth="1"/>
    <col min="2" max="2" width="15.8515625" style="0" customWidth="1"/>
    <col min="3" max="3" width="15.7109375" style="0" customWidth="1"/>
  </cols>
  <sheetData>
    <row r="2" spans="2:3" ht="12.75">
      <c r="B2" t="s">
        <v>63</v>
      </c>
      <c r="C2" t="s">
        <v>76</v>
      </c>
    </row>
    <row r="3" spans="1:3" ht="12.75">
      <c r="A3">
        <v>1997</v>
      </c>
      <c r="B3" s="127">
        <f>+'Cons spec netti'!F37</f>
        <v>28</v>
      </c>
      <c r="C3" s="7">
        <f>+'Cons spec tot e finalizzati'!G40</f>
        <v>0</v>
      </c>
    </row>
    <row r="4" spans="1:3" ht="12.75">
      <c r="A4">
        <v>1998</v>
      </c>
      <c r="B4" s="127">
        <f>+'Cons spec netti'!G37</f>
        <v>44</v>
      </c>
      <c r="C4" s="7">
        <f>+'Cons spec tot e finalizzati'!I40</f>
        <v>0</v>
      </c>
    </row>
    <row r="5" spans="1:3" ht="12.75">
      <c r="A5">
        <v>1999</v>
      </c>
      <c r="B5" s="127">
        <f>+'Cons spec netti'!H37</f>
        <v>46</v>
      </c>
      <c r="C5" s="7">
        <f>+'Cons spec tot e finalizzati'!K40</f>
        <v>0</v>
      </c>
    </row>
    <row r="6" spans="1:3" ht="12.75">
      <c r="A6">
        <v>2000</v>
      </c>
      <c r="B6" s="127">
        <f>+'Cons spec netti'!I37</f>
        <v>46</v>
      </c>
      <c r="C6" s="7">
        <f>+'Cons spec tot e finalizzati'!M40</f>
        <v>0</v>
      </c>
    </row>
    <row r="7" spans="1:3" ht="12.75">
      <c r="A7">
        <v>2001</v>
      </c>
      <c r="B7" s="127">
        <f>+'Cons spec netti'!J37</f>
        <v>30</v>
      </c>
      <c r="C7" s="7">
        <f>+'Cons spec tot e finalizzati'!O40</f>
        <v>0</v>
      </c>
    </row>
    <row r="8" spans="1:3" ht="12.75">
      <c r="A8">
        <v>2002</v>
      </c>
      <c r="B8" s="127">
        <f>+'Cons spec netti'!K37</f>
        <v>4</v>
      </c>
      <c r="C8" s="7">
        <f>+'Cons spec tot e finalizzati'!Q40</f>
        <v>0</v>
      </c>
    </row>
    <row r="9" spans="1:3" ht="12.75">
      <c r="A9">
        <v>2003</v>
      </c>
      <c r="B9" s="127">
        <f>+'Cons spec netti'!L37</f>
        <v>26</v>
      </c>
      <c r="C9" s="7">
        <f>+'Cons spec tot e finalizzati'!S40</f>
        <v>0</v>
      </c>
    </row>
    <row r="10" spans="1:3" ht="12.75">
      <c r="A10">
        <v>2004</v>
      </c>
      <c r="B10" s="127">
        <f>+'Cons spec netti'!M37</f>
        <v>39</v>
      </c>
      <c r="C10" s="7">
        <f>+'Cons spec tot e finalizzati'!U40</f>
        <v>0</v>
      </c>
    </row>
    <row r="11" spans="2:3" ht="12.75">
      <c r="B11" t="s">
        <v>64</v>
      </c>
      <c r="C11" t="s">
        <v>65</v>
      </c>
    </row>
    <row r="12" spans="1:3" ht="12.75">
      <c r="A12">
        <v>1997</v>
      </c>
      <c r="B12" s="128">
        <v>100</v>
      </c>
      <c r="C12" s="128">
        <v>100</v>
      </c>
    </row>
    <row r="13" spans="1:3" ht="12.75">
      <c r="A13">
        <v>1998</v>
      </c>
      <c r="B13" s="128">
        <f aca="true" t="shared" si="0" ref="B13:B19">+B4/$B$3*100</f>
        <v>157.14285714285714</v>
      </c>
      <c r="C13" s="128">
        <v>102.2</v>
      </c>
    </row>
    <row r="14" spans="1:3" ht="12.75">
      <c r="A14">
        <v>1999</v>
      </c>
      <c r="B14" s="128">
        <f t="shared" si="0"/>
        <v>164.28571428571428</v>
      </c>
      <c r="C14" s="128">
        <v>104</v>
      </c>
    </row>
    <row r="15" spans="1:3" ht="12.75">
      <c r="A15">
        <v>2000</v>
      </c>
      <c r="B15" s="128">
        <f t="shared" si="0"/>
        <v>164.28571428571428</v>
      </c>
      <c r="C15" s="128">
        <v>106.5</v>
      </c>
    </row>
    <row r="16" spans="1:3" ht="12.75">
      <c r="A16">
        <v>2001</v>
      </c>
      <c r="B16" s="128">
        <f t="shared" si="0"/>
        <v>107.14285714285714</v>
      </c>
      <c r="C16">
        <v>109.3</v>
      </c>
    </row>
    <row r="17" spans="1:3" ht="12.75">
      <c r="A17">
        <v>2002</v>
      </c>
      <c r="B17" s="128">
        <f t="shared" si="0"/>
        <v>14.285714285714285</v>
      </c>
      <c r="C17" s="128">
        <v>112</v>
      </c>
    </row>
    <row r="18" spans="1:3" ht="12.75">
      <c r="A18">
        <v>2003</v>
      </c>
      <c r="B18" s="128">
        <f t="shared" si="0"/>
        <v>92.85714285714286</v>
      </c>
      <c r="C18">
        <v>114.2</v>
      </c>
    </row>
    <row r="19" spans="1:3" ht="12.75">
      <c r="A19">
        <v>2004</v>
      </c>
      <c r="B19" s="128">
        <f t="shared" si="0"/>
        <v>139.28571428571428</v>
      </c>
      <c r="C19">
        <v>115.9</v>
      </c>
    </row>
  </sheetData>
  <printOptions/>
  <pageMargins left="0.75" right="0.75" top="1.37" bottom="1" header="0.61" footer="0.5"/>
  <pageSetup fitToHeight="1" fitToWidth="1" horizontalDpi="600" verticalDpi="600" orientation="landscape" paperSize="9" r:id="rId2"/>
  <headerFooter alignWithMargins="0">
    <oddHeader>&amp;CCONSUNTIVO 2004
SERIE STORICA CONSUMI SPECIFICI 1997 - 2004
SETTORE ACQUISTI</oddHead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C15"/>
  <sheetViews>
    <sheetView workbookViewId="0" topLeftCell="A1">
      <selection activeCell="I14" sqref="I14"/>
    </sheetView>
  </sheetViews>
  <sheetFormatPr defaultColWidth="9.140625" defaultRowHeight="12.75"/>
  <cols>
    <col min="1" max="1" width="15.28125" style="0" customWidth="1"/>
    <col min="2" max="2" width="15.8515625" style="0" customWidth="1"/>
    <col min="3" max="3" width="15.7109375" style="0" customWidth="1"/>
  </cols>
  <sheetData>
    <row r="2" spans="2:3" ht="12.75">
      <c r="B2" t="s">
        <v>63</v>
      </c>
      <c r="C2" t="s">
        <v>76</v>
      </c>
    </row>
    <row r="3" spans="1:3" ht="12.75">
      <c r="A3">
        <v>1997</v>
      </c>
      <c r="B3" s="174">
        <f>+'Cons spec netti'!F157</f>
        <v>0</v>
      </c>
      <c r="C3" s="7">
        <f>+'Cons spec tot e finalizzati'!G160</f>
        <v>0</v>
      </c>
    </row>
    <row r="4" spans="1:3" ht="12.75">
      <c r="A4">
        <v>1998</v>
      </c>
      <c r="B4" s="174">
        <f>+'Cons spec netti'!G157</f>
        <v>0</v>
      </c>
      <c r="C4" s="7">
        <f>+'Cons spec tot e finalizzati'!I160</f>
        <v>0</v>
      </c>
    </row>
    <row r="5" spans="1:3" ht="12.75">
      <c r="A5">
        <v>1999</v>
      </c>
      <c r="B5" s="174">
        <f>+'Cons spec netti'!H157</f>
        <v>0</v>
      </c>
      <c r="C5" s="7">
        <f>+'Cons spec tot e finalizzati'!K160</f>
        <v>0</v>
      </c>
    </row>
    <row r="6" spans="1:3" ht="12.75">
      <c r="A6">
        <v>2000</v>
      </c>
      <c r="B6" s="174">
        <f>+'Cons spec netti'!I157</f>
        <v>0</v>
      </c>
      <c r="C6" s="7">
        <f>+'Cons spec tot e finalizzati'!M160</f>
        <v>0</v>
      </c>
    </row>
    <row r="7" spans="1:3" ht="12.75">
      <c r="A7">
        <v>2001</v>
      </c>
      <c r="B7" s="174">
        <f>+'Cons spec netti'!J157</f>
        <v>0</v>
      </c>
      <c r="C7" s="7">
        <f>+'Cons spec tot e finalizzati'!O160</f>
        <v>18</v>
      </c>
    </row>
    <row r="8" spans="1:3" ht="12.75">
      <c r="A8">
        <v>2002</v>
      </c>
      <c r="B8" s="174">
        <f>+'Cons spec netti'!K157</f>
        <v>212</v>
      </c>
      <c r="C8" s="7">
        <f>+'Cons spec tot e finalizzati'!Q160</f>
        <v>1</v>
      </c>
    </row>
    <row r="9" spans="1:3" ht="12.75">
      <c r="A9">
        <v>2003</v>
      </c>
      <c r="B9" s="174">
        <f>+'Cons spec netti'!L157</f>
        <v>85</v>
      </c>
      <c r="C9" s="7">
        <f>+'Cons spec tot e finalizzati'!S160</f>
        <v>1</v>
      </c>
    </row>
    <row r="10" spans="1:3" ht="12.75">
      <c r="A10">
        <v>2004</v>
      </c>
      <c r="B10" s="174">
        <f>+'Cons spec netti'!M157</f>
        <v>43</v>
      </c>
      <c r="C10" s="7">
        <f>+'Cons spec tot e finalizzati'!U160</f>
        <v>1</v>
      </c>
    </row>
    <row r="11" spans="2:3" ht="12.75">
      <c r="B11" s="128"/>
      <c r="C11" s="128"/>
    </row>
    <row r="12" spans="2:3" ht="12.75">
      <c r="B12" s="128"/>
      <c r="C12" s="128"/>
    </row>
    <row r="13" spans="2:3" ht="12.75">
      <c r="B13" s="128"/>
      <c r="C13" s="128"/>
    </row>
    <row r="14" ht="12.75">
      <c r="B14" s="128"/>
    </row>
    <row r="15" ht="12.75">
      <c r="B15" s="128"/>
    </row>
  </sheetData>
  <printOptions/>
  <pageMargins left="3.33" right="0.75" top="1.41" bottom="1" header="0.5" footer="0.5"/>
  <pageSetup horizontalDpi="600" verticalDpi="600" orientation="landscape" paperSize="9" r:id="rId2"/>
  <headerFooter alignWithMargins="0">
    <oddHeader>&amp;CCONSUNTIVO 2004
SERIE STORICA CONSUMI SPECIFICI 1997 - 2004
SETTORE SPORTELLO PER LE IMPRESE</oddHead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9"/>
  <sheetViews>
    <sheetView workbookViewId="0" topLeftCell="F1">
      <selection activeCell="M27" sqref="M27"/>
    </sheetView>
  </sheetViews>
  <sheetFormatPr defaultColWidth="9.140625" defaultRowHeight="12.75"/>
  <cols>
    <col min="1" max="1" width="15.28125" style="0" customWidth="1"/>
    <col min="2" max="2" width="15.8515625" style="0" customWidth="1"/>
    <col min="3" max="3" width="15.7109375" style="0" customWidth="1"/>
  </cols>
  <sheetData>
    <row r="2" spans="2:3" ht="12.75">
      <c r="B2" t="s">
        <v>63</v>
      </c>
      <c r="C2" t="s">
        <v>76</v>
      </c>
    </row>
    <row r="3" spans="1:3" ht="12.75">
      <c r="A3">
        <v>1997</v>
      </c>
      <c r="B3" s="174">
        <f>+'Cons spec netti'!F6</f>
        <v>3</v>
      </c>
      <c r="C3" s="7">
        <f>+'Cons spec tot e finalizzati'!G9</f>
        <v>0</v>
      </c>
    </row>
    <row r="4" spans="1:3" ht="12.75">
      <c r="A4">
        <v>1998</v>
      </c>
      <c r="B4" s="174">
        <f>+'Cons spec netti'!G6</f>
        <v>5</v>
      </c>
      <c r="C4" s="7">
        <f>+'Cons spec tot e finalizzati'!I9</f>
        <v>0</v>
      </c>
    </row>
    <row r="5" spans="1:3" ht="12.75">
      <c r="A5">
        <v>1999</v>
      </c>
      <c r="B5" s="174">
        <f>+'Cons spec netti'!H6</f>
        <v>2</v>
      </c>
      <c r="C5" s="7">
        <f>+'Cons spec tot e finalizzati'!K9</f>
        <v>0</v>
      </c>
    </row>
    <row r="6" spans="1:3" ht="12.75">
      <c r="A6">
        <v>2000</v>
      </c>
      <c r="B6" s="174">
        <f>+'Cons spec netti'!I6</f>
        <v>5</v>
      </c>
      <c r="C6" s="7">
        <f>+'Cons spec tot e finalizzati'!M9</f>
        <v>0</v>
      </c>
    </row>
    <row r="7" spans="1:3" ht="12.75">
      <c r="A7">
        <v>2001</v>
      </c>
      <c r="B7" s="174">
        <f>+'Cons spec netti'!J6</f>
        <v>56</v>
      </c>
      <c r="C7" s="7">
        <f>+'Cons spec tot e finalizzati'!O9</f>
        <v>0</v>
      </c>
    </row>
    <row r="8" spans="1:3" ht="12.75">
      <c r="A8">
        <v>2002</v>
      </c>
      <c r="B8" s="174">
        <f>+'Cons spec netti'!K6</f>
        <v>168</v>
      </c>
      <c r="C8" s="7">
        <f>+'Cons spec tot e finalizzati'!Q9</f>
        <v>0</v>
      </c>
    </row>
    <row r="9" spans="1:3" ht="12.75">
      <c r="A9">
        <v>2003</v>
      </c>
      <c r="B9" s="174">
        <f>+'Cons spec netti'!L6</f>
        <v>199</v>
      </c>
      <c r="C9" s="7">
        <f>+'Cons spec tot e finalizzati'!S9</f>
        <v>0</v>
      </c>
    </row>
    <row r="10" spans="1:3" ht="12.75">
      <c r="A10">
        <v>2004</v>
      </c>
      <c r="B10" s="174">
        <f>+'Cons spec netti'!M6</f>
        <v>86</v>
      </c>
      <c r="C10" s="7"/>
    </row>
    <row r="11" spans="2:3" ht="12.75">
      <c r="B11" t="s">
        <v>77</v>
      </c>
      <c r="C11" t="s">
        <v>65</v>
      </c>
    </row>
    <row r="12" spans="1:3" ht="12.75">
      <c r="A12">
        <v>1997</v>
      </c>
      <c r="B12" s="128">
        <v>100</v>
      </c>
      <c r="C12" s="128">
        <v>100</v>
      </c>
    </row>
    <row r="13" spans="1:3" ht="12.75">
      <c r="A13">
        <v>1998</v>
      </c>
      <c r="B13" s="128">
        <f aca="true" t="shared" si="0" ref="B13:B19">+B4/$B$3*100</f>
        <v>166.66666666666669</v>
      </c>
      <c r="C13" s="128">
        <v>102.2</v>
      </c>
    </row>
    <row r="14" spans="1:3" ht="12.75">
      <c r="A14">
        <v>1999</v>
      </c>
      <c r="B14" s="128">
        <f t="shared" si="0"/>
        <v>66.66666666666666</v>
      </c>
      <c r="C14" s="128">
        <v>104</v>
      </c>
    </row>
    <row r="15" spans="1:3" ht="12.75">
      <c r="A15">
        <v>2000</v>
      </c>
      <c r="B15" s="128">
        <f t="shared" si="0"/>
        <v>166.66666666666669</v>
      </c>
      <c r="C15" s="128">
        <v>106.5</v>
      </c>
    </row>
    <row r="16" spans="1:3" ht="12.75">
      <c r="A16">
        <v>2001</v>
      </c>
      <c r="B16" s="128">
        <f t="shared" si="0"/>
        <v>1866.6666666666667</v>
      </c>
      <c r="C16">
        <v>109.3</v>
      </c>
    </row>
    <row r="17" spans="1:3" ht="12.75">
      <c r="A17">
        <v>2002</v>
      </c>
      <c r="B17" s="128">
        <f t="shared" si="0"/>
        <v>5600</v>
      </c>
      <c r="C17" s="128">
        <v>112</v>
      </c>
    </row>
    <row r="18" spans="1:3" ht="12.75">
      <c r="A18">
        <v>2003</v>
      </c>
      <c r="B18" s="128">
        <f t="shared" si="0"/>
        <v>6633.333333333333</v>
      </c>
      <c r="C18">
        <v>114.2</v>
      </c>
    </row>
    <row r="19" spans="1:3" ht="12.75">
      <c r="A19">
        <v>2004</v>
      </c>
      <c r="B19" s="128">
        <f t="shared" si="0"/>
        <v>2866.666666666667</v>
      </c>
      <c r="C19">
        <v>115.9</v>
      </c>
    </row>
  </sheetData>
  <printOptions/>
  <pageMargins left="0.75" right="0.75" top="1.34" bottom="1" header="0.6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DIREZIONE GENERALE</oddHead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9"/>
  <sheetViews>
    <sheetView workbookViewId="0" topLeftCell="F1">
      <selection activeCell="F1" sqref="F1:T22"/>
    </sheetView>
  </sheetViews>
  <sheetFormatPr defaultColWidth="9.140625" defaultRowHeight="12.75"/>
  <cols>
    <col min="1" max="1" width="15.28125" style="0" customWidth="1"/>
    <col min="2" max="2" width="15.8515625" style="0" customWidth="1"/>
    <col min="3" max="3" width="15.7109375" style="0" customWidth="1"/>
  </cols>
  <sheetData>
    <row r="2" spans="2:3" ht="12.75">
      <c r="B2" t="s">
        <v>63</v>
      </c>
      <c r="C2" t="s">
        <v>76</v>
      </c>
    </row>
    <row r="3" spans="1:3" ht="12.75">
      <c r="A3">
        <v>1997</v>
      </c>
      <c r="B3" s="127">
        <f>+'Cons spec netti'!F73</f>
        <v>14305</v>
      </c>
      <c r="C3" s="7">
        <f>+'Cons spec tot e finalizzati'!G76</f>
        <v>3780</v>
      </c>
    </row>
    <row r="4" spans="1:3" ht="12.75">
      <c r="A4">
        <v>1998</v>
      </c>
      <c r="B4" s="127">
        <f>+'Cons spec netti'!G73</f>
        <v>15110</v>
      </c>
      <c r="C4" s="7">
        <f>+'Cons spec tot e finalizzati'!I76</f>
        <v>5685</v>
      </c>
    </row>
    <row r="5" spans="1:3" ht="12.75">
      <c r="A5">
        <v>1999</v>
      </c>
      <c r="B5" s="127">
        <f>+'Cons spec netti'!H73</f>
        <v>18049</v>
      </c>
      <c r="C5" s="7">
        <f>+'Cons spec tot e finalizzati'!K76</f>
        <v>2318</v>
      </c>
    </row>
    <row r="6" spans="1:3" ht="12.75">
      <c r="A6">
        <v>2000</v>
      </c>
      <c r="B6" s="127">
        <f>+'Cons spec netti'!I73</f>
        <v>19896</v>
      </c>
      <c r="C6" s="7">
        <f>+'Cons spec tot e finalizzati'!M76</f>
        <v>3355</v>
      </c>
    </row>
    <row r="7" spans="1:3" ht="12.75">
      <c r="A7">
        <v>2001</v>
      </c>
      <c r="B7" s="127">
        <f>+'Cons spec netti'!J73</f>
        <v>22704.298646366467</v>
      </c>
      <c r="C7" s="7">
        <f>+'Cons spec tot e finalizzati'!O76</f>
        <v>3085.7013536335326</v>
      </c>
    </row>
    <row r="8" spans="1:3" ht="12.75">
      <c r="A8">
        <v>2002</v>
      </c>
      <c r="B8" s="127">
        <f>+'Cons spec netti'!K73</f>
        <v>23478</v>
      </c>
      <c r="C8" s="7">
        <f>+'Cons spec tot e finalizzati'!Q76</f>
        <v>5565</v>
      </c>
    </row>
    <row r="9" spans="1:3" ht="12.75">
      <c r="A9">
        <v>2003</v>
      </c>
      <c r="B9" s="127">
        <f>+'Cons spec netti'!L73</f>
        <v>24486</v>
      </c>
      <c r="C9" s="7">
        <f>+'Cons spec tot e finalizzati'!S76</f>
        <v>6810</v>
      </c>
    </row>
    <row r="10" spans="1:3" ht="12.75">
      <c r="A10">
        <v>2004</v>
      </c>
      <c r="B10" s="127">
        <f>+'Cons spec netti'!M73</f>
        <v>27919</v>
      </c>
      <c r="C10" s="7">
        <f>+'Cons spec tot e finalizzati'!U76</f>
        <v>10488</v>
      </c>
    </row>
    <row r="11" spans="2:3" ht="12.75">
      <c r="B11" t="s">
        <v>77</v>
      </c>
      <c r="C11" t="s">
        <v>65</v>
      </c>
    </row>
    <row r="12" spans="1:3" ht="12.75">
      <c r="A12">
        <v>1997</v>
      </c>
      <c r="B12" s="128">
        <v>100</v>
      </c>
      <c r="C12" s="128">
        <v>100</v>
      </c>
    </row>
    <row r="13" spans="1:3" ht="12.75">
      <c r="A13">
        <v>1998</v>
      </c>
      <c r="B13" s="128">
        <f aca="true" t="shared" si="0" ref="B13:B19">+B4/$B$3*100</f>
        <v>105.62740300594197</v>
      </c>
      <c r="C13" s="128">
        <v>102.2</v>
      </c>
    </row>
    <row r="14" spans="1:3" ht="12.75">
      <c r="A14">
        <v>1999</v>
      </c>
      <c r="B14" s="128">
        <f t="shared" si="0"/>
        <v>126.17266689968542</v>
      </c>
      <c r="C14" s="128">
        <v>104</v>
      </c>
    </row>
    <row r="15" spans="1:3" ht="12.75">
      <c r="A15">
        <v>2000</v>
      </c>
      <c r="B15" s="128">
        <f t="shared" si="0"/>
        <v>139.08423628102062</v>
      </c>
      <c r="C15" s="128">
        <v>106.5</v>
      </c>
    </row>
    <row r="16" spans="1:3" ht="12.75">
      <c r="A16">
        <v>2001</v>
      </c>
      <c r="B16" s="128">
        <f t="shared" si="0"/>
        <v>158.71582416194664</v>
      </c>
      <c r="C16">
        <v>109.3</v>
      </c>
    </row>
    <row r="17" spans="1:3" ht="12.75">
      <c r="A17">
        <v>2002</v>
      </c>
      <c r="B17" s="128">
        <f t="shared" si="0"/>
        <v>164.12443201677735</v>
      </c>
      <c r="C17" s="128">
        <v>112</v>
      </c>
    </row>
    <row r="18" spans="1:3" ht="12.75">
      <c r="A18">
        <v>2003</v>
      </c>
      <c r="B18" s="128">
        <f t="shared" si="0"/>
        <v>171.17091925900036</v>
      </c>
      <c r="C18">
        <v>114.2</v>
      </c>
    </row>
    <row r="19" spans="1:3" ht="12.75">
      <c r="A19">
        <v>2004</v>
      </c>
      <c r="B19" s="128">
        <f t="shared" si="0"/>
        <v>195.1695211464523</v>
      </c>
      <c r="C19">
        <v>115.9</v>
      </c>
    </row>
  </sheetData>
  <printOptions/>
  <pageMargins left="0.75" right="0.75" top="1.51" bottom="1" header="0.6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AREA SERVIZI ALLE PERSONE, FAMIGLIE, COMUNITA', POLITICHE DELLE DIFFERENZE</oddHeader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9"/>
  <sheetViews>
    <sheetView workbookViewId="0" topLeftCell="G1">
      <selection activeCell="G1" sqref="G1:T23"/>
    </sheetView>
  </sheetViews>
  <sheetFormatPr defaultColWidth="9.140625" defaultRowHeight="12.75"/>
  <cols>
    <col min="1" max="1" width="15.28125" style="0" customWidth="1"/>
    <col min="2" max="2" width="15.8515625" style="0" customWidth="1"/>
    <col min="3" max="3" width="15.7109375" style="0" customWidth="1"/>
  </cols>
  <sheetData>
    <row r="2" spans="2:3" ht="12.75">
      <c r="B2" t="s">
        <v>63</v>
      </c>
      <c r="C2" t="s">
        <v>76</v>
      </c>
    </row>
    <row r="3" spans="1:3" ht="12.75">
      <c r="A3">
        <v>1997</v>
      </c>
      <c r="B3" s="127">
        <f>+'Cons spec netti'!F96</f>
        <v>12247</v>
      </c>
      <c r="C3" s="7">
        <f>+'Cons spec tot e finalizzati'!G99</f>
        <v>1177</v>
      </c>
    </row>
    <row r="4" spans="1:3" ht="12.75">
      <c r="A4">
        <v>1998</v>
      </c>
      <c r="B4" s="127">
        <f>+'Cons spec netti'!G96</f>
        <v>17524</v>
      </c>
      <c r="C4" s="7">
        <f>+'Cons spec tot e finalizzati'!I99</f>
        <v>1373</v>
      </c>
    </row>
    <row r="5" spans="1:3" ht="12.75">
      <c r="A5">
        <v>1999</v>
      </c>
      <c r="B5" s="127">
        <f>+'Cons spec netti'!H96</f>
        <v>13922</v>
      </c>
      <c r="C5" s="7">
        <f>+'Cons spec tot e finalizzati'!K99</f>
        <v>9883</v>
      </c>
    </row>
    <row r="6" spans="1:3" ht="12.75">
      <c r="A6">
        <v>2000</v>
      </c>
      <c r="B6" s="127">
        <f>+'Cons spec netti'!I96</f>
        <v>16106</v>
      </c>
      <c r="C6" s="7">
        <f>+'Cons spec tot e finalizzati'!M99</f>
        <v>5318</v>
      </c>
    </row>
    <row r="7" spans="1:3" ht="12.75">
      <c r="A7">
        <v>2001</v>
      </c>
      <c r="B7" s="127">
        <f>+'Cons spec netti'!J96</f>
        <v>15307</v>
      </c>
      <c r="C7" s="7">
        <f>+'Cons spec tot e finalizzati'!O99</f>
        <v>4538</v>
      </c>
    </row>
    <row r="8" spans="1:3" ht="12.75">
      <c r="A8">
        <v>2002</v>
      </c>
      <c r="B8" s="127">
        <f>+'Cons spec netti'!K96</f>
        <v>16297</v>
      </c>
      <c r="C8" s="7">
        <f>+'Cons spec tot e finalizzati'!Q99</f>
        <v>3125</v>
      </c>
    </row>
    <row r="9" spans="1:3" ht="12.75">
      <c r="A9">
        <v>2003</v>
      </c>
      <c r="B9" s="127">
        <f>+'Cons spec netti'!L96</f>
        <v>18562</v>
      </c>
      <c r="C9" s="7">
        <f>+'Cons spec tot e finalizzati'!S99</f>
        <v>5028</v>
      </c>
    </row>
    <row r="10" spans="1:3" ht="12.75">
      <c r="A10">
        <v>2004</v>
      </c>
      <c r="B10" s="127">
        <f>+'Cons spec netti'!M96</f>
        <v>18410</v>
      </c>
      <c r="C10" s="7">
        <f>+'Cons spec tot e finalizzati'!U99</f>
        <v>2207</v>
      </c>
    </row>
    <row r="11" spans="2:3" ht="12.75">
      <c r="B11" t="s">
        <v>77</v>
      </c>
      <c r="C11" t="s">
        <v>65</v>
      </c>
    </row>
    <row r="12" spans="1:3" ht="12.75">
      <c r="A12">
        <v>1997</v>
      </c>
      <c r="B12" s="128">
        <v>100</v>
      </c>
      <c r="C12" s="128">
        <v>100</v>
      </c>
    </row>
    <row r="13" spans="1:3" ht="12.75">
      <c r="A13">
        <v>1998</v>
      </c>
      <c r="B13" s="128">
        <f aca="true" t="shared" si="0" ref="B13:B19">+B4/$B$3*100</f>
        <v>143.08810320894912</v>
      </c>
      <c r="C13" s="128">
        <v>102.2</v>
      </c>
    </row>
    <row r="14" spans="1:3" ht="12.75">
      <c r="A14">
        <v>1999</v>
      </c>
      <c r="B14" s="128">
        <f t="shared" si="0"/>
        <v>113.67681881277048</v>
      </c>
      <c r="C14" s="128">
        <v>104</v>
      </c>
    </row>
    <row r="15" spans="1:3" ht="12.75">
      <c r="A15">
        <v>2000</v>
      </c>
      <c r="B15" s="128">
        <f t="shared" si="0"/>
        <v>131.5097574916306</v>
      </c>
      <c r="C15" s="128">
        <v>106.5</v>
      </c>
    </row>
    <row r="16" spans="1:3" ht="12.75">
      <c r="A16">
        <v>2001</v>
      </c>
      <c r="B16" s="128">
        <f t="shared" si="0"/>
        <v>124.98571078631502</v>
      </c>
      <c r="C16">
        <v>109.3</v>
      </c>
    </row>
    <row r="17" spans="1:3" ht="12.75">
      <c r="A17">
        <v>2002</v>
      </c>
      <c r="B17" s="128">
        <f t="shared" si="0"/>
        <v>133.06932309953459</v>
      </c>
      <c r="C17" s="128">
        <v>112</v>
      </c>
    </row>
    <row r="18" spans="1:3" ht="12.75">
      <c r="A18">
        <v>2003</v>
      </c>
      <c r="B18" s="128">
        <f t="shared" si="0"/>
        <v>151.5636482403854</v>
      </c>
      <c r="C18">
        <v>114.2</v>
      </c>
    </row>
    <row r="19" spans="1:3" ht="12.75">
      <c r="A19">
        <v>2004</v>
      </c>
      <c r="B19" s="128">
        <f t="shared" si="0"/>
        <v>150.32252796603248</v>
      </c>
      <c r="C19">
        <v>115.9</v>
      </c>
    </row>
  </sheetData>
  <printOptions/>
  <pageMargins left="0.75" right="0.75" top="1.54" bottom="1" header="0.77" footer="0.5"/>
  <pageSetup fitToHeight="1" fitToWidth="1" horizontalDpi="600" verticalDpi="600" orientation="landscape" paperSize="9" r:id="rId2"/>
  <headerFooter alignWithMargins="0">
    <oddHeader>&amp;CCONSUNTIVO 2004
SERIE STORICA CONSUMI SPECIFICI 1997 - 2004
AREA SAPERI ED ECONOMIA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1"/>
  <sheetViews>
    <sheetView workbookViewId="0" topLeftCell="D1">
      <selection activeCell="O27" sqref="O27"/>
    </sheetView>
  </sheetViews>
  <sheetFormatPr defaultColWidth="9.140625" defaultRowHeight="12.75"/>
  <cols>
    <col min="1" max="1" width="15.28125" style="0" customWidth="1"/>
    <col min="2" max="2" width="17.28125" style="0" customWidth="1"/>
    <col min="3" max="3" width="17.57421875" style="0" customWidth="1"/>
    <col min="9" max="9" width="8.8515625" style="0" customWidth="1"/>
  </cols>
  <sheetData>
    <row r="1" ht="12.75">
      <c r="A1" t="s">
        <v>99</v>
      </c>
    </row>
    <row r="2" spans="2:3" ht="25.5">
      <c r="B2" s="149" t="s">
        <v>83</v>
      </c>
      <c r="C2" s="149" t="s">
        <v>76</v>
      </c>
    </row>
    <row r="3" spans="1:3" ht="12.75">
      <c r="A3">
        <v>1997</v>
      </c>
      <c r="B3" s="127">
        <f>+'Cons spec netti'!F120</f>
        <v>4115</v>
      </c>
      <c r="C3" s="7">
        <f>+'Cons spec tot e finalizzati'!G123</f>
        <v>6</v>
      </c>
    </row>
    <row r="4" spans="1:3" ht="12.75">
      <c r="A4">
        <v>1998</v>
      </c>
      <c r="B4" s="127">
        <f>+'Cons spec netti'!G120</f>
        <v>4146</v>
      </c>
      <c r="C4" s="7">
        <f>+'Cons spec tot e finalizzati'!I123</f>
        <v>13</v>
      </c>
    </row>
    <row r="5" spans="1:3" ht="12.75">
      <c r="A5">
        <v>1999</v>
      </c>
      <c r="B5" s="127">
        <f>+'Cons spec netti'!H120</f>
        <v>4324</v>
      </c>
      <c r="C5" s="7">
        <f>+'Cons spec tot e finalizzati'!K123</f>
        <v>3</v>
      </c>
    </row>
    <row r="6" spans="1:3" ht="12.75">
      <c r="A6">
        <v>2000</v>
      </c>
      <c r="B6" s="127">
        <f>+'Cons spec netti'!I120</f>
        <v>4083</v>
      </c>
      <c r="C6" s="7">
        <f>+'Cons spec tot e finalizzati'!M123</f>
        <v>5</v>
      </c>
    </row>
    <row r="7" spans="1:3" ht="12.75">
      <c r="A7">
        <v>2001</v>
      </c>
      <c r="B7" s="127">
        <f>+'Cons spec netti'!J120</f>
        <v>4114</v>
      </c>
      <c r="C7" s="7">
        <f>+'Cons spec tot e finalizzati'!O123</f>
        <v>13</v>
      </c>
    </row>
    <row r="8" spans="1:3" ht="12.75">
      <c r="A8">
        <v>2002</v>
      </c>
      <c r="B8" s="127">
        <f>+'Cons spec netti'!K120</f>
        <v>4346</v>
      </c>
      <c r="C8" s="7">
        <f>+'Cons spec tot e finalizzati'!Q123</f>
        <v>101</v>
      </c>
    </row>
    <row r="9" spans="1:3" ht="12.75">
      <c r="A9">
        <v>2003</v>
      </c>
      <c r="B9" s="127">
        <f>+'Cons spec netti'!L120</f>
        <v>3898</v>
      </c>
      <c r="C9" s="7">
        <f>+'Cons spec tot e finalizzati'!S123</f>
        <v>86</v>
      </c>
    </row>
    <row r="10" spans="1:3" ht="12.75">
      <c r="A10">
        <v>2004</v>
      </c>
      <c r="B10" s="127">
        <f>+'Cons spec netti'!M120</f>
        <v>3833</v>
      </c>
      <c r="C10" s="7">
        <f>+'Cons spec tot e finalizzati'!U123</f>
        <v>56</v>
      </c>
    </row>
    <row r="13" spans="2:3" ht="12.75">
      <c r="B13" t="s">
        <v>77</v>
      </c>
      <c r="C13" t="s">
        <v>65</v>
      </c>
    </row>
    <row r="14" spans="1:3" ht="12.75">
      <c r="A14">
        <v>1997</v>
      </c>
      <c r="B14" s="128">
        <v>100</v>
      </c>
      <c r="C14" s="128">
        <v>100</v>
      </c>
    </row>
    <row r="15" spans="1:3" ht="12.75">
      <c r="A15">
        <v>1998</v>
      </c>
      <c r="B15" s="128">
        <f aca="true" t="shared" si="0" ref="B15:B21">+B4/$B$3*100</f>
        <v>100.75334143377886</v>
      </c>
      <c r="C15" s="128">
        <v>102.2</v>
      </c>
    </row>
    <row r="16" spans="1:3" ht="12.75">
      <c r="A16">
        <v>1999</v>
      </c>
      <c r="B16" s="128">
        <f t="shared" si="0"/>
        <v>105.07897934386392</v>
      </c>
      <c r="C16" s="128">
        <v>104</v>
      </c>
    </row>
    <row r="17" spans="1:3" ht="12.75">
      <c r="A17">
        <v>2000</v>
      </c>
      <c r="B17" s="128">
        <f t="shared" si="0"/>
        <v>99.22235722964763</v>
      </c>
      <c r="C17" s="128">
        <v>106.5</v>
      </c>
    </row>
    <row r="18" spans="1:3" ht="12.75">
      <c r="A18">
        <v>2001</v>
      </c>
      <c r="B18" s="128">
        <f t="shared" si="0"/>
        <v>99.9756986634265</v>
      </c>
      <c r="C18">
        <v>109.3</v>
      </c>
    </row>
    <row r="19" spans="1:3" ht="12.75">
      <c r="A19">
        <v>2002</v>
      </c>
      <c r="B19" s="128">
        <f t="shared" si="0"/>
        <v>105.61360874848116</v>
      </c>
      <c r="C19" s="128">
        <v>112</v>
      </c>
    </row>
    <row r="20" spans="1:3" ht="12.75">
      <c r="A20">
        <v>2003</v>
      </c>
      <c r="B20" s="128">
        <f t="shared" si="0"/>
        <v>94.72660996354799</v>
      </c>
      <c r="C20">
        <v>114.2</v>
      </c>
    </row>
    <row r="21" spans="1:3" ht="12.75">
      <c r="A21">
        <v>2004</v>
      </c>
      <c r="B21" s="128">
        <f t="shared" si="0"/>
        <v>93.14702308626974</v>
      </c>
      <c r="C21">
        <v>115.9</v>
      </c>
    </row>
  </sheetData>
  <printOptions/>
  <pageMargins left="0.42" right="0.36" top="1.31" bottom="1" header="0.5" footer="0.5"/>
  <pageSetup fitToHeight="1" fitToWidth="1" horizontalDpi="600" verticalDpi="600" orientation="landscape" paperSize="9" r:id="rId2"/>
  <headerFooter alignWithMargins="0">
    <oddHeader>&amp;CCONSUNTIVO 2004
SERIE STORICA CONSUMI SPECIFICI 1997 - 2004
SETTORE SPORT E GIOVANI</oddHead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9"/>
  <sheetViews>
    <sheetView workbookViewId="0" topLeftCell="A1">
      <selection activeCell="F1" sqref="F1:U24"/>
    </sheetView>
  </sheetViews>
  <sheetFormatPr defaultColWidth="9.140625" defaultRowHeight="12.75"/>
  <cols>
    <col min="1" max="1" width="15.28125" style="0" customWidth="1"/>
    <col min="2" max="2" width="15.8515625" style="0" customWidth="1"/>
    <col min="3" max="3" width="15.7109375" style="0" customWidth="1"/>
    <col min="20" max="20" width="9.57421875" style="0" customWidth="1"/>
  </cols>
  <sheetData>
    <row r="2" spans="2:3" ht="12.75">
      <c r="B2" t="s">
        <v>63</v>
      </c>
      <c r="C2" t="s">
        <v>76</v>
      </c>
    </row>
    <row r="3" spans="1:3" ht="12.75">
      <c r="A3">
        <v>1997</v>
      </c>
      <c r="B3" s="127">
        <f>+'Cons spec netti'!F129</f>
        <v>8213</v>
      </c>
      <c r="C3" s="7">
        <f>+'Cons spec tot e finalizzati'!G132</f>
        <v>88</v>
      </c>
    </row>
    <row r="4" spans="1:3" ht="12.75">
      <c r="A4">
        <v>1998</v>
      </c>
      <c r="B4" s="127">
        <f>+'Cons spec netti'!G129</f>
        <v>9592</v>
      </c>
      <c r="C4" s="7">
        <f>+'Cons spec tot e finalizzati'!I132</f>
        <v>296</v>
      </c>
    </row>
    <row r="5" spans="1:3" ht="12.75">
      <c r="A5">
        <v>1999</v>
      </c>
      <c r="B5" s="127">
        <f>+'Cons spec netti'!H129</f>
        <v>9457</v>
      </c>
      <c r="C5" s="7">
        <f>+'Cons spec tot e finalizzati'!K132</f>
        <v>444</v>
      </c>
    </row>
    <row r="6" spans="1:3" ht="12.75">
      <c r="A6">
        <v>2000</v>
      </c>
      <c r="B6" s="127">
        <f>+'Cons spec netti'!I129</f>
        <v>9994.5</v>
      </c>
      <c r="C6" s="7">
        <f>+'Cons spec tot e finalizzati'!M132</f>
        <v>7812</v>
      </c>
    </row>
    <row r="7" spans="1:3" ht="12.75">
      <c r="A7">
        <v>2001</v>
      </c>
      <c r="B7" s="127">
        <f>+'Cons spec netti'!J129</f>
        <v>8885</v>
      </c>
      <c r="C7" s="7">
        <f>+'Cons spec tot e finalizzati'!O132</f>
        <v>4316</v>
      </c>
    </row>
    <row r="8" spans="1:3" ht="12.75">
      <c r="A8">
        <v>2002</v>
      </c>
      <c r="B8" s="127">
        <f>+'Cons spec netti'!K129</f>
        <v>11443</v>
      </c>
      <c r="C8" s="7">
        <f>+'Cons spec tot e finalizzati'!Q132</f>
        <v>6498</v>
      </c>
    </row>
    <row r="9" spans="1:3" ht="12.75">
      <c r="A9">
        <v>2003</v>
      </c>
      <c r="B9" s="127">
        <f>+'Cons spec netti'!L129</f>
        <v>8702</v>
      </c>
      <c r="C9" s="7">
        <f>+'Cons spec tot e finalizzati'!S132</f>
        <v>6375</v>
      </c>
    </row>
    <row r="10" spans="1:3" ht="12.75">
      <c r="A10">
        <v>2004</v>
      </c>
      <c r="B10" s="127">
        <f>+'Cons spec netti'!M129</f>
        <v>8218</v>
      </c>
      <c r="C10" s="7">
        <f>+'Cons spec tot e finalizzati'!U132</f>
        <v>8424</v>
      </c>
    </row>
    <row r="11" spans="2:3" ht="12.75">
      <c r="B11" t="s">
        <v>77</v>
      </c>
      <c r="C11" t="s">
        <v>65</v>
      </c>
    </row>
    <row r="12" spans="1:3" ht="12.75">
      <c r="A12">
        <v>1997</v>
      </c>
      <c r="B12" s="128">
        <v>100</v>
      </c>
      <c r="C12" s="128">
        <v>100</v>
      </c>
    </row>
    <row r="13" spans="1:3" ht="12.75">
      <c r="A13">
        <v>1998</v>
      </c>
      <c r="B13" s="128">
        <f aca="true" t="shared" si="0" ref="B13:B19">+B4/$B$3*100</f>
        <v>116.79045415804212</v>
      </c>
      <c r="C13" s="128">
        <v>102.2</v>
      </c>
    </row>
    <row r="14" spans="1:3" ht="12.75">
      <c r="A14">
        <v>1999</v>
      </c>
      <c r="B14" s="128">
        <f t="shared" si="0"/>
        <v>115.14671861682697</v>
      </c>
      <c r="C14" s="128">
        <v>104</v>
      </c>
    </row>
    <row r="15" spans="1:3" ht="12.75">
      <c r="A15">
        <v>2000</v>
      </c>
      <c r="B15" s="128">
        <f t="shared" si="0"/>
        <v>121.69122123462803</v>
      </c>
      <c r="C15" s="128">
        <v>106.5</v>
      </c>
    </row>
    <row r="16" spans="1:3" ht="12.75">
      <c r="A16">
        <v>2001</v>
      </c>
      <c r="B16" s="128">
        <f t="shared" si="0"/>
        <v>108.18215024960429</v>
      </c>
      <c r="C16">
        <v>109.3</v>
      </c>
    </row>
    <row r="17" spans="1:3" ht="12.75">
      <c r="A17">
        <v>2002</v>
      </c>
      <c r="B17" s="128">
        <f t="shared" si="0"/>
        <v>139.32789480092535</v>
      </c>
      <c r="C17" s="128">
        <v>112</v>
      </c>
    </row>
    <row r="18" spans="1:3" ht="12.75">
      <c r="A18">
        <v>2003</v>
      </c>
      <c r="B18" s="128">
        <f t="shared" si="0"/>
        <v>105.95397540484596</v>
      </c>
      <c r="C18">
        <v>114.2</v>
      </c>
    </row>
    <row r="19" spans="1:3" ht="12.75">
      <c r="A19">
        <v>2004</v>
      </c>
      <c r="B19" s="128">
        <f t="shared" si="0"/>
        <v>100.06087909411907</v>
      </c>
      <c r="C19">
        <v>115.9</v>
      </c>
    </row>
  </sheetData>
  <printOptions/>
  <pageMargins left="0.22" right="0.3" top="1.65" bottom="1" header="0.65" footer="0.5"/>
  <pageSetup fitToHeight="1" fitToWidth="1" horizontalDpi="600" verticalDpi="600" orientation="landscape" paperSize="9" scale="97" r:id="rId2"/>
  <headerFooter alignWithMargins="0">
    <oddHeader>&amp;CCONSUNTIVO 2004
SERIE STORICA CONSUMI SPECIFICI 1997 - 2004
AREA URBANISTICA, AMBIENTE E MOBILITA'</oddHeader>
  </headerFooter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workbookViewId="0" topLeftCell="A10">
      <selection activeCell="A20" sqref="A20:K38"/>
    </sheetView>
  </sheetViews>
  <sheetFormatPr defaultColWidth="9.140625" defaultRowHeight="12.75"/>
  <cols>
    <col min="1" max="1" width="15.28125" style="0" customWidth="1"/>
    <col min="2" max="2" width="15.8515625" style="0" customWidth="1"/>
    <col min="3" max="3" width="15.7109375" style="0" customWidth="1"/>
  </cols>
  <sheetData>
    <row r="1" ht="12.75">
      <c r="A1" t="s">
        <v>203</v>
      </c>
    </row>
    <row r="2" spans="2:3" ht="12.75">
      <c r="B2" t="s">
        <v>63</v>
      </c>
      <c r="C2" t="s">
        <v>76</v>
      </c>
    </row>
    <row r="3" spans="1:3" ht="12.75">
      <c r="A3">
        <v>1997</v>
      </c>
      <c r="B3" s="127">
        <f>+'Cons spec netti'!F160</f>
        <v>351</v>
      </c>
      <c r="C3" s="7">
        <f>+'Cons spec tot e finalizzati'!G163</f>
        <v>0</v>
      </c>
    </row>
    <row r="4" spans="1:3" ht="12.75">
      <c r="A4">
        <v>1998</v>
      </c>
      <c r="B4" s="127">
        <f>+'Cons spec netti'!G160</f>
        <v>215</v>
      </c>
      <c r="C4" s="7">
        <f>+'Cons spec tot e finalizzati'!I163</f>
        <v>0</v>
      </c>
    </row>
    <row r="5" spans="1:3" ht="12.75">
      <c r="A5">
        <v>1999</v>
      </c>
      <c r="B5" s="127">
        <f>+'Cons spec netti'!H160</f>
        <v>275</v>
      </c>
      <c r="C5" s="7">
        <f>+'Cons spec tot e finalizzati'!K163</f>
        <v>0</v>
      </c>
    </row>
    <row r="6" spans="1:3" ht="12.75">
      <c r="A6">
        <v>2000</v>
      </c>
      <c r="B6" s="127">
        <f>+'Cons spec netti'!I160</f>
        <v>285</v>
      </c>
      <c r="C6" s="7">
        <f>+'Cons spec tot e finalizzati'!M163</f>
        <v>0</v>
      </c>
    </row>
    <row r="7" spans="1:3" ht="12.75">
      <c r="A7">
        <v>2001</v>
      </c>
      <c r="B7" s="127">
        <f>+'Cons spec netti'!J160</f>
        <v>198</v>
      </c>
      <c r="C7" s="7">
        <f>+'Cons spec tot e finalizzati'!O163</f>
        <v>0</v>
      </c>
    </row>
    <row r="8" spans="1:3" ht="12.75">
      <c r="A8">
        <v>2002</v>
      </c>
      <c r="B8" s="127">
        <f>+'Cons spec netti'!K160</f>
        <v>457</v>
      </c>
      <c r="C8" s="7">
        <f>+'Cons spec tot e finalizzati'!Q163</f>
        <v>0</v>
      </c>
    </row>
    <row r="9" spans="1:3" ht="12.75">
      <c r="A9">
        <v>2003</v>
      </c>
      <c r="B9" s="127">
        <f>+'Cons spec netti'!L160</f>
        <v>518</v>
      </c>
      <c r="C9" s="7">
        <f>+'Cons spec tot e finalizzati'!S163</f>
        <v>0</v>
      </c>
    </row>
    <row r="10" spans="1:3" ht="12.75">
      <c r="A10">
        <v>2004</v>
      </c>
      <c r="B10" s="127">
        <f>+'Cons spec netti'!M160</f>
        <v>447</v>
      </c>
      <c r="C10" s="7">
        <f>+'Cons spec tot e finalizzati'!U163</f>
        <v>0</v>
      </c>
    </row>
    <row r="11" spans="2:3" ht="12.75">
      <c r="B11" t="s">
        <v>77</v>
      </c>
      <c r="C11" t="s">
        <v>65</v>
      </c>
    </row>
    <row r="12" spans="1:3" ht="12.75">
      <c r="A12">
        <v>1997</v>
      </c>
      <c r="B12" s="128">
        <v>100</v>
      </c>
      <c r="C12" s="128">
        <v>100</v>
      </c>
    </row>
    <row r="13" spans="1:3" ht="12.75">
      <c r="A13">
        <v>1998</v>
      </c>
      <c r="B13" s="128">
        <f aca="true" t="shared" si="0" ref="B13:B19">+B4/$B$3*100</f>
        <v>61.25356125356125</v>
      </c>
      <c r="C13" s="128">
        <v>102.2</v>
      </c>
    </row>
    <row r="14" spans="1:3" ht="12.75">
      <c r="A14">
        <v>1999</v>
      </c>
      <c r="B14" s="128">
        <f t="shared" si="0"/>
        <v>78.34757834757835</v>
      </c>
      <c r="C14" s="128">
        <v>104</v>
      </c>
    </row>
    <row r="15" spans="1:3" ht="12.75">
      <c r="A15">
        <v>2000</v>
      </c>
      <c r="B15" s="128">
        <f t="shared" si="0"/>
        <v>81.19658119658119</v>
      </c>
      <c r="C15" s="128">
        <v>106.5</v>
      </c>
    </row>
    <row r="16" spans="1:3" ht="12.75">
      <c r="A16">
        <v>2001</v>
      </c>
      <c r="B16" s="128">
        <f t="shared" si="0"/>
        <v>56.41025641025641</v>
      </c>
      <c r="C16">
        <v>109.3</v>
      </c>
    </row>
    <row r="17" spans="1:3" ht="12.75">
      <c r="A17">
        <v>2002</v>
      </c>
      <c r="B17" s="128">
        <f t="shared" si="0"/>
        <v>130.1994301994302</v>
      </c>
      <c r="C17" s="128">
        <v>112</v>
      </c>
    </row>
    <row r="18" spans="1:3" ht="12.75">
      <c r="A18">
        <v>2003</v>
      </c>
      <c r="B18" s="128">
        <f t="shared" si="0"/>
        <v>147.57834757834758</v>
      </c>
      <c r="C18">
        <v>114.2</v>
      </c>
    </row>
    <row r="19" spans="1:3" ht="12.75">
      <c r="A19">
        <v>2004</v>
      </c>
      <c r="B19" s="128">
        <f t="shared" si="0"/>
        <v>127.35042735042734</v>
      </c>
      <c r="C19">
        <v>115.9</v>
      </c>
    </row>
  </sheetData>
  <printOptions/>
  <pageMargins left="1.43" right="0.75" top="1.63" bottom="1" header="0.5" footer="0.5"/>
  <pageSetup fitToHeight="1" fitToWidth="1" horizontalDpi="600" verticalDpi="600" orientation="landscape" paperSize="9" r:id="rId2"/>
  <headerFooter alignWithMargins="0">
    <oddHeader>&amp;CCONSUNTIVO 2004
SERIE STORICA CONSUMI SPECIFICI 1997 - 2004
SETTORE SERVIZI DEMOGRAFICI</oddHeader>
  </headerFooter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9"/>
  <sheetViews>
    <sheetView workbookViewId="0" topLeftCell="A1">
      <selection activeCell="F1" sqref="F1:U24"/>
    </sheetView>
  </sheetViews>
  <sheetFormatPr defaultColWidth="9.140625" defaultRowHeight="12.75"/>
  <cols>
    <col min="1" max="1" width="15.28125" style="0" customWidth="1"/>
    <col min="2" max="2" width="15.8515625" style="0" customWidth="1"/>
    <col min="3" max="3" width="15.7109375" style="0" customWidth="1"/>
  </cols>
  <sheetData>
    <row r="2" spans="2:3" ht="12.75">
      <c r="B2" t="s">
        <v>63</v>
      </c>
      <c r="C2" t="s">
        <v>76</v>
      </c>
    </row>
    <row r="3" spans="1:3" ht="12.75">
      <c r="A3">
        <v>1997</v>
      </c>
      <c r="B3" s="127">
        <f>+'Cons spec netti'!F153</f>
        <v>1141</v>
      </c>
      <c r="C3" s="7">
        <f>+'Cons spec tot e finalizzati'!G156</f>
        <v>0</v>
      </c>
    </row>
    <row r="4" spans="1:3" ht="12.75">
      <c r="A4">
        <v>1998</v>
      </c>
      <c r="B4" s="127">
        <f>+'Cons spec netti'!G153</f>
        <v>1106</v>
      </c>
      <c r="C4" s="7">
        <f>+'Cons spec tot e finalizzati'!I156</f>
        <v>44</v>
      </c>
    </row>
    <row r="5" spans="1:3" ht="12.75">
      <c r="A5">
        <v>1999</v>
      </c>
      <c r="B5" s="127">
        <f>+'Cons spec netti'!H153</f>
        <v>1402</v>
      </c>
      <c r="C5" s="7">
        <f>+'Cons spec tot e finalizzati'!K156</f>
        <v>49</v>
      </c>
    </row>
    <row r="6" spans="1:3" ht="12.75">
      <c r="A6">
        <v>2000</v>
      </c>
      <c r="B6" s="127">
        <f>+'Cons spec netti'!I153</f>
        <v>1380</v>
      </c>
      <c r="C6" s="7">
        <f>+'Cons spec tot e finalizzati'!M156</f>
        <v>81</v>
      </c>
    </row>
    <row r="7" spans="1:3" ht="12.75">
      <c r="A7">
        <v>2001</v>
      </c>
      <c r="B7" s="127">
        <f>+'Cons spec netti'!J153</f>
        <v>1451.769603412747</v>
      </c>
      <c r="C7" s="7">
        <f>+'Cons spec tot e finalizzati'!O156</f>
        <v>220.2303965872528</v>
      </c>
    </row>
    <row r="8" spans="1:3" ht="12.75">
      <c r="A8">
        <v>2002</v>
      </c>
      <c r="B8" s="127">
        <f>+'Cons spec netti'!K153</f>
        <v>1411</v>
      </c>
      <c r="C8" s="7">
        <f>+'Cons spec tot e finalizzati'!Q156</f>
        <v>22</v>
      </c>
    </row>
    <row r="9" spans="1:3" ht="12.75">
      <c r="A9">
        <v>2003</v>
      </c>
      <c r="B9" s="127">
        <f>+'Cons spec netti'!L153</f>
        <v>1195</v>
      </c>
      <c r="C9" s="7">
        <f>+'Cons spec tot e finalizzati'!S156</f>
        <v>21</v>
      </c>
    </row>
    <row r="10" spans="1:3" ht="12.75">
      <c r="A10">
        <v>2004</v>
      </c>
      <c r="B10" s="127">
        <f>+'Cons spec netti'!M153</f>
        <v>965</v>
      </c>
      <c r="C10" s="7">
        <f>+'Cons spec tot e finalizzati'!U156</f>
        <v>24</v>
      </c>
    </row>
    <row r="11" spans="2:3" ht="12.75">
      <c r="B11" t="s">
        <v>77</v>
      </c>
      <c r="C11" t="s">
        <v>65</v>
      </c>
    </row>
    <row r="12" spans="1:3" ht="12.75">
      <c r="A12">
        <v>1997</v>
      </c>
      <c r="B12" s="128">
        <v>100</v>
      </c>
      <c r="C12" s="128">
        <v>100</v>
      </c>
    </row>
    <row r="13" spans="1:3" ht="12.75">
      <c r="A13">
        <v>1998</v>
      </c>
      <c r="B13" s="128">
        <f aca="true" t="shared" si="0" ref="B13:B19">+B4/$B$3*100</f>
        <v>96.93251533742331</v>
      </c>
      <c r="C13" s="128">
        <v>102.2</v>
      </c>
    </row>
    <row r="14" spans="1:3" ht="12.75">
      <c r="A14">
        <v>1999</v>
      </c>
      <c r="B14" s="128">
        <f t="shared" si="0"/>
        <v>122.87467134092903</v>
      </c>
      <c r="C14" s="128">
        <v>104</v>
      </c>
    </row>
    <row r="15" spans="1:3" ht="12.75">
      <c r="A15">
        <v>2000</v>
      </c>
      <c r="B15" s="128">
        <f t="shared" si="0"/>
        <v>120.94653812445225</v>
      </c>
      <c r="C15" s="128">
        <v>106.5</v>
      </c>
    </row>
    <row r="16" spans="1:3" ht="12.75">
      <c r="A16">
        <v>2001</v>
      </c>
      <c r="B16" s="128">
        <f t="shared" si="0"/>
        <v>127.23659977324691</v>
      </c>
      <c r="C16">
        <v>109.3</v>
      </c>
    </row>
    <row r="17" spans="1:3" ht="12.75">
      <c r="A17">
        <v>2002</v>
      </c>
      <c r="B17" s="128">
        <f t="shared" si="0"/>
        <v>123.66345311130587</v>
      </c>
      <c r="C17" s="128">
        <v>112</v>
      </c>
    </row>
    <row r="18" spans="1:3" ht="12.75">
      <c r="A18">
        <v>2003</v>
      </c>
      <c r="B18" s="128">
        <f t="shared" si="0"/>
        <v>104.73269062226119</v>
      </c>
      <c r="C18">
        <v>114.2</v>
      </c>
    </row>
    <row r="19" spans="1:3" ht="12.75">
      <c r="A19">
        <v>2004</v>
      </c>
      <c r="B19" s="128">
        <f t="shared" si="0"/>
        <v>84.5749342681858</v>
      </c>
      <c r="C19">
        <v>115.9</v>
      </c>
    </row>
  </sheetData>
  <printOptions/>
  <pageMargins left="0.75" right="0.75" top="1.35" bottom="1" header="0.58" footer="0.5"/>
  <pageSetup fitToHeight="1" fitToWidth="1" horizontalDpi="600" verticalDpi="600" orientation="landscape" paperSize="9" scale="88" r:id="rId2"/>
  <headerFooter alignWithMargins="0">
    <oddHeader>&amp;CCONSUNTIVO 2004
SERIE STORICA CONSUMI SPECIFICI 1997 - 2004
AREA COMUNICAZIONE E RAPPORTI CON LA CITTADINANZA</oddHeader>
  </headerFooter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9"/>
  <sheetViews>
    <sheetView workbookViewId="0" topLeftCell="F1">
      <selection activeCell="N31" sqref="N31"/>
    </sheetView>
  </sheetViews>
  <sheetFormatPr defaultColWidth="9.140625" defaultRowHeight="12.75"/>
  <cols>
    <col min="1" max="1" width="15.28125" style="0" customWidth="1"/>
    <col min="2" max="2" width="15.8515625" style="0" customWidth="1"/>
    <col min="3" max="3" width="15.7109375" style="0" customWidth="1"/>
  </cols>
  <sheetData>
    <row r="2" spans="2:3" ht="12.75">
      <c r="B2" t="s">
        <v>63</v>
      </c>
      <c r="C2" t="s">
        <v>76</v>
      </c>
    </row>
    <row r="3" spans="1:3" ht="12.75">
      <c r="A3">
        <v>1997</v>
      </c>
      <c r="B3" s="127">
        <f>+'Cons spec netti'!F236</f>
        <v>87295</v>
      </c>
      <c r="C3" s="7">
        <f>+'Cons spec tot e finalizzati'!G239</f>
        <v>5712</v>
      </c>
    </row>
    <row r="4" spans="1:3" ht="12.75">
      <c r="A4">
        <v>1998</v>
      </c>
      <c r="B4" s="127">
        <f>+'Cons spec netti'!G236</f>
        <v>105532</v>
      </c>
      <c r="C4" s="7">
        <f>+'Cons spec tot e finalizzati'!I239</f>
        <v>8376</v>
      </c>
    </row>
    <row r="5" spans="1:3" ht="12.75">
      <c r="A5">
        <v>1999</v>
      </c>
      <c r="B5" s="127">
        <f>+'Cons spec netti'!H236</f>
        <v>99214</v>
      </c>
      <c r="C5" s="7">
        <f>+'Cons spec tot e finalizzati'!K239</f>
        <v>14721</v>
      </c>
    </row>
    <row r="6" spans="1:3" ht="12.75">
      <c r="A6">
        <v>2000</v>
      </c>
      <c r="B6" s="127">
        <f>+'Cons spec netti'!I236</f>
        <v>108867</v>
      </c>
      <c r="C6" s="7">
        <f>+'Cons spec tot e finalizzati'!M239</f>
        <v>19397</v>
      </c>
    </row>
    <row r="7" spans="1:3" ht="12.75">
      <c r="A7">
        <v>2001</v>
      </c>
      <c r="B7" s="127">
        <f>+'Cons spec netti'!J236</f>
        <v>111910.12642864889</v>
      </c>
      <c r="C7" s="7">
        <f>+'Cons spec tot e finalizzati'!O239</f>
        <v>15915.873571351103</v>
      </c>
    </row>
    <row r="8" spans="1:3" ht="12.75">
      <c r="A8">
        <v>2002</v>
      </c>
      <c r="B8" s="127">
        <f>+'Cons spec netti'!K236</f>
        <v>117320</v>
      </c>
      <c r="C8" s="7">
        <f>+'Cons spec tot e finalizzati'!Q239</f>
        <v>21084</v>
      </c>
    </row>
    <row r="9" spans="1:3" ht="12.75">
      <c r="A9">
        <v>2003</v>
      </c>
      <c r="B9" s="127">
        <f>+'Cons spec netti'!L236</f>
        <v>121706</v>
      </c>
      <c r="C9" s="7">
        <f>+'Cons spec tot e finalizzati'!S239</f>
        <v>22419</v>
      </c>
    </row>
    <row r="10" spans="1:3" ht="12.75">
      <c r="A10">
        <v>2004</v>
      </c>
      <c r="B10" s="127">
        <f>+'Cons spec netti'!M236</f>
        <v>128283</v>
      </c>
      <c r="C10" s="7">
        <f>+'Cons spec tot e finalizzati'!U239</f>
        <v>23539</v>
      </c>
    </row>
    <row r="11" spans="2:3" ht="12.75">
      <c r="B11" t="s">
        <v>77</v>
      </c>
      <c r="C11" t="s">
        <v>65</v>
      </c>
    </row>
    <row r="12" spans="1:3" ht="12.75">
      <c r="A12">
        <v>1997</v>
      </c>
      <c r="B12" s="128">
        <v>100</v>
      </c>
      <c r="C12" s="128">
        <v>100</v>
      </c>
    </row>
    <row r="13" spans="1:3" ht="12.75">
      <c r="A13">
        <v>1998</v>
      </c>
      <c r="B13" s="128">
        <f aca="true" t="shared" si="0" ref="B13:B19">+B4/$B$3*100</f>
        <v>120.89123088378486</v>
      </c>
      <c r="C13" s="128">
        <v>102.2</v>
      </c>
    </row>
    <row r="14" spans="1:3" ht="12.75">
      <c r="A14">
        <v>1999</v>
      </c>
      <c r="B14" s="128">
        <f t="shared" si="0"/>
        <v>113.65370296122343</v>
      </c>
      <c r="C14" s="128">
        <v>104</v>
      </c>
    </row>
    <row r="15" spans="1:3" ht="12.75">
      <c r="A15">
        <v>2000</v>
      </c>
      <c r="B15" s="128">
        <f t="shared" si="0"/>
        <v>124.71161005784981</v>
      </c>
      <c r="C15" s="128">
        <v>106.5</v>
      </c>
    </row>
    <row r="16" spans="1:3" ht="12.75">
      <c r="A16">
        <v>2001</v>
      </c>
      <c r="B16" s="128">
        <f t="shared" si="0"/>
        <v>128.1976360944486</v>
      </c>
      <c r="C16">
        <v>109.3</v>
      </c>
    </row>
    <row r="17" spans="1:3" ht="12.75">
      <c r="A17">
        <v>2002</v>
      </c>
      <c r="B17" s="128">
        <f t="shared" si="0"/>
        <v>134.39486797640186</v>
      </c>
      <c r="C17" s="128">
        <v>112</v>
      </c>
    </row>
    <row r="18" spans="1:3" ht="12.75">
      <c r="A18">
        <v>2003</v>
      </c>
      <c r="B18" s="128">
        <f t="shared" si="0"/>
        <v>139.41921072226359</v>
      </c>
      <c r="C18">
        <v>114.2</v>
      </c>
    </row>
    <row r="19" spans="1:3" ht="12.75">
      <c r="A19">
        <v>2004</v>
      </c>
      <c r="B19" s="128">
        <f t="shared" si="0"/>
        <v>146.95343375909275</v>
      </c>
      <c r="C19">
        <v>115.9</v>
      </c>
    </row>
  </sheetData>
  <printOptions/>
  <pageMargins left="0.75" right="0.75" top="1.46" bottom="1" header="0.64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TOTALE CONSUMI SPECIFICI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workbookViewId="0" topLeftCell="G1">
      <selection activeCell="H31" sqref="H31"/>
    </sheetView>
  </sheetViews>
  <sheetFormatPr defaultColWidth="9.140625" defaultRowHeight="12.75"/>
  <cols>
    <col min="1" max="1" width="15.28125" style="0" customWidth="1"/>
    <col min="2" max="2" width="15.8515625" style="0" customWidth="1"/>
    <col min="3" max="3" width="24.28125" style="0" customWidth="1"/>
    <col min="4" max="4" width="9.8515625" style="0" customWidth="1"/>
  </cols>
  <sheetData>
    <row r="1" ht="12.75">
      <c r="A1" t="s">
        <v>172</v>
      </c>
    </row>
    <row r="2" spans="2:3" ht="12.75">
      <c r="B2" t="s">
        <v>63</v>
      </c>
      <c r="C2" t="s">
        <v>76</v>
      </c>
    </row>
    <row r="3" spans="1:3" ht="12.75">
      <c r="A3">
        <v>1997</v>
      </c>
      <c r="B3" s="127">
        <f>+'Cons spec netti'!F56</f>
        <v>15202</v>
      </c>
      <c r="C3" s="7">
        <f>+'Cons spec tot e finalizzati'!G59</f>
        <v>35</v>
      </c>
    </row>
    <row r="4" spans="1:3" ht="12.75">
      <c r="A4">
        <v>1998</v>
      </c>
      <c r="B4" s="127">
        <f>+'Cons spec netti'!G56</f>
        <v>21652</v>
      </c>
      <c r="C4" s="7">
        <f>+'Cons spec tot e finalizzati'!I59</f>
        <v>89</v>
      </c>
    </row>
    <row r="5" spans="1:3" ht="12.75">
      <c r="A5">
        <v>1999</v>
      </c>
      <c r="B5" s="127">
        <f>+'Cons spec netti'!H56</f>
        <v>14238</v>
      </c>
      <c r="C5" s="7">
        <f>+'Cons spec tot e finalizzati'!K59</f>
        <v>235</v>
      </c>
    </row>
    <row r="6" spans="1:4" ht="12.75">
      <c r="A6">
        <v>2000</v>
      </c>
      <c r="B6" s="127">
        <f>+'Cons spec netti'!I56</f>
        <v>15697</v>
      </c>
      <c r="C6" s="7">
        <f>+'Cons spec tot e finalizzati'!M59</f>
        <v>166</v>
      </c>
      <c r="D6" s="127"/>
    </row>
    <row r="7" spans="1:4" ht="12.75">
      <c r="A7">
        <v>2001</v>
      </c>
      <c r="B7" s="127">
        <f>+'Cons spec netti'!J56</f>
        <v>15750.754688137502</v>
      </c>
      <c r="C7" s="7">
        <f>+'Cons spec tot e finalizzati'!O59</f>
        <v>2063.2453118624985</v>
      </c>
      <c r="D7" s="71"/>
    </row>
    <row r="8" spans="1:5" ht="12.75">
      <c r="A8">
        <v>2002</v>
      </c>
      <c r="B8" s="127">
        <f>+'Cons spec netti'!K56</f>
        <v>14929</v>
      </c>
      <c r="C8" s="7">
        <f>+'Cons spec tot e finalizzati'!Q59</f>
        <v>3635</v>
      </c>
      <c r="D8" s="130"/>
      <c r="E8" s="130"/>
    </row>
    <row r="9" spans="1:5" ht="12.75">
      <c r="A9">
        <v>2003</v>
      </c>
      <c r="B9" s="127">
        <f>+'Cons spec netti'!L56</f>
        <v>15018</v>
      </c>
      <c r="C9" s="7">
        <f>+'Cons spec tot e finalizzati'!S59</f>
        <v>2263</v>
      </c>
      <c r="D9" s="130"/>
      <c r="E9" s="130"/>
    </row>
    <row r="10" spans="1:5" ht="12.75">
      <c r="A10">
        <v>2004</v>
      </c>
      <c r="B10" s="127">
        <f>+'Cons spec netti'!M56</f>
        <v>15220</v>
      </c>
      <c r="C10" s="7">
        <f>+'Cons spec tot e finalizzati'!U59</f>
        <v>310</v>
      </c>
      <c r="D10" s="130"/>
      <c r="E10" s="130"/>
    </row>
    <row r="11" spans="2:3" ht="12.75">
      <c r="B11" t="s">
        <v>77</v>
      </c>
      <c r="C11" t="s">
        <v>65</v>
      </c>
    </row>
    <row r="12" spans="1:4" ht="12.75">
      <c r="A12">
        <v>1997</v>
      </c>
      <c r="B12" s="128">
        <v>100</v>
      </c>
      <c r="C12" s="128">
        <v>100</v>
      </c>
      <c r="D12" s="128"/>
    </row>
    <row r="13" spans="1:4" ht="12.75">
      <c r="A13">
        <v>1998</v>
      </c>
      <c r="B13" s="128">
        <f aca="true" t="shared" si="0" ref="B13:B19">+B4/$B$3*100</f>
        <v>142.42862781213</v>
      </c>
      <c r="C13" s="128">
        <v>102.2</v>
      </c>
      <c r="D13" s="128"/>
    </row>
    <row r="14" spans="1:3" ht="12.75">
      <c r="A14">
        <v>1999</v>
      </c>
      <c r="B14" s="128">
        <f t="shared" si="0"/>
        <v>93.65872911459019</v>
      </c>
      <c r="C14" s="128">
        <v>104</v>
      </c>
    </row>
    <row r="15" spans="1:4" ht="12.75">
      <c r="A15">
        <v>2000</v>
      </c>
      <c r="B15" s="128">
        <f t="shared" si="0"/>
        <v>103.25615050651231</v>
      </c>
      <c r="C15" s="128">
        <v>106.5</v>
      </c>
      <c r="D15" s="128"/>
    </row>
    <row r="16" spans="1:3" ht="12.75">
      <c r="A16">
        <v>2001</v>
      </c>
      <c r="B16" s="128">
        <f t="shared" si="0"/>
        <v>103.60975324389885</v>
      </c>
      <c r="C16">
        <v>109.3</v>
      </c>
    </row>
    <row r="17" spans="1:3" ht="12.75">
      <c r="A17">
        <v>2002</v>
      </c>
      <c r="B17" s="128">
        <f t="shared" si="0"/>
        <v>98.20418366004473</v>
      </c>
      <c r="C17" s="128">
        <v>112</v>
      </c>
    </row>
    <row r="18" spans="1:3" ht="12.75">
      <c r="A18">
        <v>2003</v>
      </c>
      <c r="B18" s="128">
        <f t="shared" si="0"/>
        <v>98.78963294303381</v>
      </c>
      <c r="C18">
        <v>114.2</v>
      </c>
    </row>
    <row r="19" spans="1:3" ht="12.75">
      <c r="A19">
        <v>2004</v>
      </c>
      <c r="B19" s="128">
        <f t="shared" si="0"/>
        <v>100.11840547296408</v>
      </c>
      <c r="C19" s="129">
        <v>115.9</v>
      </c>
    </row>
    <row r="20" spans="2:3" ht="12.75">
      <c r="B20" s="130"/>
      <c r="C20" s="130"/>
    </row>
  </sheetData>
  <printOptions/>
  <pageMargins left="0.75" right="0.75" top="1.35" bottom="1" header="0.65" footer="0.5"/>
  <pageSetup fitToHeight="1" fitToWidth="1" horizontalDpi="600" verticalDpi="600" orientation="landscape" paperSize="9" scale="78" r:id="rId2"/>
  <headerFooter alignWithMargins="0">
    <oddHeader>&amp;CCONSUNTIVO 2004
SERIE STORICA CONSUMI SPECIFICI 1997 - 2004
SETTORE LAVORI PUBBLICI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E1">
      <selection activeCell="Q25" sqref="Q25"/>
    </sheetView>
  </sheetViews>
  <sheetFormatPr defaultColWidth="9.140625" defaultRowHeight="12.75"/>
  <cols>
    <col min="1" max="1" width="15.28125" style="0" customWidth="1"/>
    <col min="2" max="2" width="15.8515625" style="0" customWidth="1"/>
    <col min="3" max="3" width="15.7109375" style="0" customWidth="1"/>
  </cols>
  <sheetData>
    <row r="1" ht="12.75">
      <c r="A1" t="s">
        <v>202</v>
      </c>
    </row>
    <row r="2" spans="2:3" ht="12.75">
      <c r="B2" t="s">
        <v>63</v>
      </c>
      <c r="C2" t="s">
        <v>76</v>
      </c>
    </row>
    <row r="3" spans="1:3" ht="12.75">
      <c r="A3">
        <v>1997</v>
      </c>
      <c r="B3" s="127">
        <f>+'Cons spec netti'!F150</f>
        <v>4442</v>
      </c>
      <c r="C3" s="7">
        <f>+'Cons spec tot e finalizzati'!G153</f>
        <v>88</v>
      </c>
    </row>
    <row r="4" spans="1:3" ht="12.75">
      <c r="A4">
        <v>1998</v>
      </c>
      <c r="B4" s="127">
        <f>+'Cons spec netti'!G150</f>
        <v>5590</v>
      </c>
      <c r="C4" s="7">
        <f>+'Cons spec tot e finalizzati'!I153</f>
        <v>296</v>
      </c>
    </row>
    <row r="5" spans="1:3" ht="12.75">
      <c r="A5">
        <v>1999</v>
      </c>
      <c r="B5" s="127">
        <f>+'Cons spec netti'!H150</f>
        <v>5299</v>
      </c>
      <c r="C5" s="7">
        <f>+'Cons spec tot e finalizzati'!K153</f>
        <v>444</v>
      </c>
    </row>
    <row r="6" spans="1:3" ht="12.75">
      <c r="A6">
        <v>2000</v>
      </c>
      <c r="B6" s="127">
        <f>+'Cons spec netti'!I150</f>
        <v>4663</v>
      </c>
      <c r="C6" s="7">
        <f>+'Cons spec tot e finalizzati'!M153</f>
        <v>1912</v>
      </c>
    </row>
    <row r="7" spans="1:3" ht="12.75">
      <c r="A7">
        <v>2001</v>
      </c>
      <c r="B7" s="127">
        <f>+'Cons spec netti'!J150</f>
        <v>4467</v>
      </c>
      <c r="C7" s="7">
        <f>+'Cons spec tot e finalizzati'!O153</f>
        <v>301</v>
      </c>
    </row>
    <row r="8" spans="1:3" ht="12.75">
      <c r="A8">
        <v>2002</v>
      </c>
      <c r="B8" s="127">
        <f>+'Cons spec netti'!K150</f>
        <v>5963</v>
      </c>
      <c r="C8" s="7">
        <f>+'Cons spec tot e finalizzati'!Q153</f>
        <v>151</v>
      </c>
    </row>
    <row r="9" spans="1:3" ht="12.75">
      <c r="A9">
        <v>2003</v>
      </c>
      <c r="B9" s="127">
        <f>+'Cons spec netti'!L150</f>
        <v>5183</v>
      </c>
      <c r="C9" s="7">
        <f>+'Cons spec tot e finalizzati'!S153</f>
        <v>480</v>
      </c>
    </row>
    <row r="10" spans="1:3" ht="12.75">
      <c r="A10">
        <v>2004</v>
      </c>
      <c r="B10" s="127">
        <f>+'Cons spec netti'!M150</f>
        <v>5466</v>
      </c>
      <c r="C10" s="7">
        <f>+'Cons spec tot e finalizzati'!U153</f>
        <v>308</v>
      </c>
    </row>
    <row r="11" spans="2:3" ht="12.75">
      <c r="B11" t="s">
        <v>64</v>
      </c>
      <c r="C11" t="s">
        <v>65</v>
      </c>
    </row>
    <row r="12" spans="1:3" ht="12.75">
      <c r="A12">
        <v>1997</v>
      </c>
      <c r="B12" s="128">
        <v>100</v>
      </c>
      <c r="C12" s="128">
        <v>100</v>
      </c>
    </row>
    <row r="13" spans="1:3" ht="12.75">
      <c r="A13">
        <v>1998</v>
      </c>
      <c r="B13" s="128">
        <f aca="true" t="shared" si="0" ref="B13:B19">+B4/$B$3*100</f>
        <v>125.84421431787483</v>
      </c>
      <c r="C13" s="128">
        <v>102.2</v>
      </c>
    </row>
    <row r="14" spans="1:3" ht="12.75">
      <c r="A14">
        <v>1999</v>
      </c>
      <c r="B14" s="128">
        <f t="shared" si="0"/>
        <v>119.29311121116615</v>
      </c>
      <c r="C14" s="128">
        <v>104</v>
      </c>
    </row>
    <row r="15" spans="1:3" ht="12.75">
      <c r="A15">
        <v>2000</v>
      </c>
      <c r="B15" s="128">
        <f t="shared" si="0"/>
        <v>104.97523638000901</v>
      </c>
      <c r="C15" s="128">
        <v>106.5</v>
      </c>
    </row>
    <row r="16" spans="1:3" ht="12.75">
      <c r="A16">
        <v>2001</v>
      </c>
      <c r="B16" s="128">
        <f t="shared" si="0"/>
        <v>100.5628095452499</v>
      </c>
      <c r="C16">
        <v>109.3</v>
      </c>
    </row>
    <row r="17" spans="1:3" ht="12.75">
      <c r="A17">
        <v>2002</v>
      </c>
      <c r="B17" s="128">
        <f t="shared" si="0"/>
        <v>134.24133273300316</v>
      </c>
      <c r="C17" s="128">
        <v>112</v>
      </c>
    </row>
    <row r="18" spans="1:3" ht="12.75">
      <c r="A18">
        <v>2003</v>
      </c>
      <c r="B18" s="128">
        <f t="shared" si="0"/>
        <v>116.68167492120666</v>
      </c>
      <c r="C18">
        <v>114.2</v>
      </c>
    </row>
    <row r="19" spans="1:3" ht="12.75">
      <c r="A19">
        <v>2004</v>
      </c>
      <c r="B19" s="128">
        <f t="shared" si="0"/>
        <v>123.05267897343539</v>
      </c>
      <c r="C19">
        <v>115.9</v>
      </c>
    </row>
  </sheetData>
  <printOptions/>
  <pageMargins left="0.69" right="0.2" top="1.56" bottom="1" header="0.64" footer="0.5"/>
  <pageSetup horizontalDpi="600" verticalDpi="600" orientation="landscape" paperSize="9" r:id="rId2"/>
  <headerFooter alignWithMargins="0">
    <oddHeader>&amp;CCONSUNTIVO 2004
SERIE STORICA CONSUMI SPECIFICI 1997 - 2004
SETTORE AMBIENTE E VERDE URBANO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workbookViewId="0" topLeftCell="E1">
      <selection activeCell="O31" sqref="O31"/>
    </sheetView>
  </sheetViews>
  <sheetFormatPr defaultColWidth="9.140625" defaultRowHeight="12.75"/>
  <cols>
    <col min="1" max="1" width="15.28125" style="0" customWidth="1"/>
    <col min="2" max="2" width="15.8515625" style="0" customWidth="1"/>
    <col min="3" max="3" width="15.7109375" style="0" customWidth="1"/>
    <col min="19" max="19" width="10.140625" style="0" customWidth="1"/>
  </cols>
  <sheetData>
    <row r="1" ht="12.75">
      <c r="A1" t="s">
        <v>82</v>
      </c>
    </row>
    <row r="2" spans="2:3" ht="12.75">
      <c r="B2" t="s">
        <v>63</v>
      </c>
      <c r="C2" t="s">
        <v>76</v>
      </c>
    </row>
    <row r="3" spans="1:3" ht="12.75">
      <c r="A3">
        <v>1997</v>
      </c>
      <c r="B3" s="127">
        <f>+'Cons spec netti'!F149</f>
        <v>47</v>
      </c>
      <c r="C3" s="7">
        <f>+'Cons spec tot e finalizzati'!G152</f>
        <v>0</v>
      </c>
    </row>
    <row r="4" spans="1:3" ht="12.75">
      <c r="A4">
        <v>1998</v>
      </c>
      <c r="B4" s="127">
        <f>+'Cons spec netti'!G149</f>
        <v>568</v>
      </c>
      <c r="C4" s="7">
        <f>+'Cons spec tot e finalizzati'!I152</f>
        <v>0</v>
      </c>
    </row>
    <row r="5" spans="1:3" ht="12.75">
      <c r="A5">
        <v>1999</v>
      </c>
      <c r="B5" s="127">
        <f>+'Cons spec netti'!H149</f>
        <v>553</v>
      </c>
      <c r="C5" s="7">
        <f>+'Cons spec tot e finalizzati'!K152</f>
        <v>0</v>
      </c>
    </row>
    <row r="6" spans="1:3" ht="12.75">
      <c r="A6">
        <v>2000</v>
      </c>
      <c r="B6" s="127">
        <f>+'Cons spec netti'!I149</f>
        <v>963</v>
      </c>
      <c r="C6" s="7">
        <f>+'Cons spec tot e finalizzati'!M152</f>
        <v>5268</v>
      </c>
    </row>
    <row r="7" spans="1:3" ht="12.75">
      <c r="A7">
        <v>2001</v>
      </c>
      <c r="B7" s="127">
        <f>+'Cons spec netti'!J149</f>
        <v>974</v>
      </c>
      <c r="C7" s="7">
        <f>+'Cons spec tot e finalizzati'!O152</f>
        <v>4015</v>
      </c>
    </row>
    <row r="8" spans="1:3" ht="12.75">
      <c r="A8">
        <v>2002</v>
      </c>
      <c r="B8" s="127">
        <f>+'Cons spec netti'!K149</f>
        <v>64</v>
      </c>
      <c r="C8" s="7">
        <f>+'Cons spec tot e finalizzati'!Q152</f>
        <v>6210</v>
      </c>
    </row>
    <row r="9" spans="1:3" ht="12.75">
      <c r="A9">
        <v>2003</v>
      </c>
      <c r="B9" s="127">
        <f>+'Cons spec netti'!L149</f>
        <v>34</v>
      </c>
      <c r="C9" s="7">
        <f>+'Cons spec tot e finalizzati'!S152</f>
        <v>4474</v>
      </c>
    </row>
    <row r="10" spans="1:3" ht="12.75">
      <c r="A10">
        <v>2004</v>
      </c>
      <c r="B10" s="127">
        <f>+'Cons spec netti'!M149</f>
        <v>168</v>
      </c>
      <c r="C10" s="7">
        <f>+'Cons spec tot e finalizzati'!U152</f>
        <v>6772</v>
      </c>
    </row>
    <row r="11" spans="2:3" ht="12.75">
      <c r="B11" t="s">
        <v>64</v>
      </c>
      <c r="C11" t="s">
        <v>65</v>
      </c>
    </row>
    <row r="12" spans="1:3" ht="12.75">
      <c r="A12">
        <v>1997</v>
      </c>
      <c r="B12" s="128">
        <v>100</v>
      </c>
      <c r="C12" s="128">
        <v>100</v>
      </c>
    </row>
    <row r="13" spans="1:3" ht="12.75">
      <c r="A13">
        <v>1998</v>
      </c>
      <c r="B13" s="128">
        <f aca="true" t="shared" si="0" ref="B13:B19">+B4/$B$3*100</f>
        <v>1208.5106382978724</v>
      </c>
      <c r="C13" s="128">
        <v>102.2</v>
      </c>
    </row>
    <row r="14" spans="1:3" ht="12.75">
      <c r="A14">
        <v>1999</v>
      </c>
      <c r="B14" s="128">
        <f t="shared" si="0"/>
        <v>1176.595744680851</v>
      </c>
      <c r="C14" s="128">
        <v>104</v>
      </c>
    </row>
    <row r="15" spans="1:3" ht="12.75">
      <c r="A15">
        <v>2000</v>
      </c>
      <c r="B15" s="128">
        <f t="shared" si="0"/>
        <v>2048.936170212766</v>
      </c>
      <c r="C15" s="128">
        <v>106.5</v>
      </c>
    </row>
    <row r="16" spans="1:3" ht="12.75">
      <c r="A16">
        <v>2001</v>
      </c>
      <c r="B16" s="128">
        <f t="shared" si="0"/>
        <v>2072.340425531915</v>
      </c>
      <c r="C16">
        <v>109.3</v>
      </c>
    </row>
    <row r="17" spans="1:3" ht="12.75">
      <c r="A17">
        <v>2002</v>
      </c>
      <c r="B17" s="128">
        <f t="shared" si="0"/>
        <v>136.17021276595744</v>
      </c>
      <c r="C17" s="128">
        <v>112</v>
      </c>
    </row>
    <row r="18" spans="1:3" ht="12.75">
      <c r="A18">
        <v>2003</v>
      </c>
      <c r="B18" s="128">
        <f t="shared" si="0"/>
        <v>72.3404255319149</v>
      </c>
      <c r="C18">
        <v>114.2</v>
      </c>
    </row>
    <row r="19" spans="1:3" ht="12.75">
      <c r="A19">
        <v>2004</v>
      </c>
      <c r="B19" s="128">
        <f t="shared" si="0"/>
        <v>357.4468085106383</v>
      </c>
      <c r="C19">
        <v>115.9</v>
      </c>
    </row>
  </sheetData>
  <printOptions/>
  <pageMargins left="0.56" right="0.25" top="1.47" bottom="1" header="0.5" footer="0.5"/>
  <pageSetup fitToHeight="1" fitToWidth="1" horizontalDpi="600" verticalDpi="600" orientation="landscape" paperSize="9" r:id="rId2"/>
  <headerFooter alignWithMargins="0">
    <oddHeader>&amp;CCONSUNTIVO 2004
SERIE STORICA CONSUMI SPECIFICI 1997 - 2004
SETTORE INTERVENTI E SERVIZI PER LA CASA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workbookViewId="0" topLeftCell="D1">
      <selection activeCell="Q25" sqref="Q25"/>
    </sheetView>
  </sheetViews>
  <sheetFormatPr defaultColWidth="9.140625" defaultRowHeight="12.75"/>
  <cols>
    <col min="1" max="1" width="15.28125" style="0" customWidth="1"/>
    <col min="2" max="2" width="15.8515625" style="0" customWidth="1"/>
    <col min="3" max="3" width="15.7109375" style="0" customWidth="1"/>
  </cols>
  <sheetData>
    <row r="1" ht="12.75">
      <c r="A1" t="s">
        <v>66</v>
      </c>
    </row>
    <row r="2" spans="2:3" ht="12.75">
      <c r="B2" t="s">
        <v>63</v>
      </c>
      <c r="C2" t="s">
        <v>76</v>
      </c>
    </row>
    <row r="3" spans="1:3" ht="12.75">
      <c r="A3">
        <v>1997</v>
      </c>
      <c r="B3" s="127">
        <f>+'Cons spec netti'!F40</f>
        <v>781</v>
      </c>
      <c r="C3" s="7">
        <f>+'Cons spec tot e finalizzati'!G43</f>
        <v>0</v>
      </c>
    </row>
    <row r="4" spans="1:3" ht="12.75">
      <c r="A4">
        <v>1998</v>
      </c>
      <c r="B4" s="127">
        <f>+'Cons spec netti'!G40</f>
        <v>1120</v>
      </c>
      <c r="C4" s="7">
        <f>+'Cons spec tot e finalizzati'!I43</f>
        <v>0</v>
      </c>
    </row>
    <row r="5" spans="1:3" ht="12.75">
      <c r="A5">
        <v>1999</v>
      </c>
      <c r="B5" s="127">
        <f>+'Cons spec netti'!H40</f>
        <v>1240</v>
      </c>
      <c r="C5" s="7">
        <f>+'Cons spec tot e finalizzati'!K43</f>
        <v>0</v>
      </c>
    </row>
    <row r="6" spans="1:3" ht="12.75">
      <c r="A6">
        <v>2000</v>
      </c>
      <c r="B6" s="127">
        <f>+'Cons spec netti'!I40</f>
        <v>1008</v>
      </c>
      <c r="C6" s="7">
        <f>+'Cons spec tot e finalizzati'!M43</f>
        <v>0</v>
      </c>
    </row>
    <row r="7" spans="1:3" ht="12.75">
      <c r="A7">
        <v>2001</v>
      </c>
      <c r="B7" s="127">
        <f>+'Cons spec netti'!J40</f>
        <v>1045</v>
      </c>
      <c r="C7" s="7">
        <f>+'Cons spec tot e finalizzati'!O43</f>
        <v>0</v>
      </c>
    </row>
    <row r="8" spans="1:3" ht="12.75">
      <c r="A8">
        <v>2002</v>
      </c>
      <c r="B8" s="127">
        <f>+'Cons spec netti'!K40</f>
        <v>1063</v>
      </c>
      <c r="C8" s="7">
        <f>+'Cons spec tot e finalizzati'!Q43</f>
        <v>0</v>
      </c>
    </row>
    <row r="9" spans="1:3" ht="12.75">
      <c r="A9">
        <v>2003</v>
      </c>
      <c r="B9" s="127">
        <f>+'Cons spec netti'!L40</f>
        <v>983</v>
      </c>
      <c r="C9" s="7">
        <f>+'Cons spec tot e finalizzati'!S43</f>
        <v>0</v>
      </c>
    </row>
    <row r="10" spans="1:3" ht="12.75">
      <c r="A10">
        <v>2004</v>
      </c>
      <c r="B10" s="127">
        <f>+'Cons spec netti'!M40</f>
        <v>900</v>
      </c>
      <c r="C10" s="7">
        <f>+'Cons spec tot e finalizzati'!U43</f>
        <v>0</v>
      </c>
    </row>
    <row r="11" spans="2:3" ht="12.75">
      <c r="B11" t="s">
        <v>78</v>
      </c>
      <c r="C11" t="s">
        <v>65</v>
      </c>
    </row>
    <row r="12" spans="1:3" ht="12.75">
      <c r="A12">
        <v>1997</v>
      </c>
      <c r="B12" s="128">
        <v>100</v>
      </c>
      <c r="C12" s="128">
        <v>100</v>
      </c>
    </row>
    <row r="13" spans="1:3" ht="12.75">
      <c r="A13">
        <v>1998</v>
      </c>
      <c r="B13" s="129">
        <f aca="true" t="shared" si="0" ref="B13:B19">+B4/$B$3*100</f>
        <v>143.40588988476313</v>
      </c>
      <c r="C13" s="128">
        <v>102.2</v>
      </c>
    </row>
    <row r="14" spans="1:3" ht="12.75">
      <c r="A14">
        <v>1999</v>
      </c>
      <c r="B14" s="129">
        <f t="shared" si="0"/>
        <v>158.7708066581306</v>
      </c>
      <c r="C14" s="128">
        <v>104</v>
      </c>
    </row>
    <row r="15" spans="1:3" ht="12.75">
      <c r="A15">
        <v>2000</v>
      </c>
      <c r="B15" s="129">
        <f t="shared" si="0"/>
        <v>129.0653008962868</v>
      </c>
      <c r="C15" s="128">
        <v>106.5</v>
      </c>
    </row>
    <row r="16" spans="1:3" ht="12.75">
      <c r="A16">
        <v>2001</v>
      </c>
      <c r="B16" s="129">
        <f t="shared" si="0"/>
        <v>133.80281690140845</v>
      </c>
      <c r="C16">
        <v>109.3</v>
      </c>
    </row>
    <row r="17" spans="1:3" ht="12.75">
      <c r="A17">
        <v>2002</v>
      </c>
      <c r="B17" s="129">
        <f t="shared" si="0"/>
        <v>136.10755441741358</v>
      </c>
      <c r="C17" s="128">
        <v>112</v>
      </c>
    </row>
    <row r="18" spans="1:3" ht="12.75">
      <c r="A18">
        <v>2003</v>
      </c>
      <c r="B18" s="129">
        <f t="shared" si="0"/>
        <v>125.86427656850192</v>
      </c>
      <c r="C18">
        <v>114.2</v>
      </c>
    </row>
    <row r="19" spans="1:3" ht="12.75">
      <c r="A19">
        <v>2004</v>
      </c>
      <c r="B19" s="129">
        <f t="shared" si="0"/>
        <v>115.23687580025607</v>
      </c>
      <c r="C19">
        <v>115.9</v>
      </c>
    </row>
  </sheetData>
  <printOptions/>
  <pageMargins left="0.75" right="0.75" top="1.39" bottom="1" header="0.5" footer="0.5"/>
  <pageSetup fitToHeight="1" fitToWidth="1" horizontalDpi="600" verticalDpi="600" orientation="landscape" paperSize="9" r:id="rId2"/>
  <headerFooter alignWithMargins="0">
    <oddHeader>&amp;CCONSUNTIVO 2004
SERIE STORICA CONSUMI SPECIFICI 1997 - 2004
SETTORE PERSONALE ED ORGANIZZAZIONE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workbookViewId="0" topLeftCell="F1">
      <selection activeCell="N29" sqref="N29"/>
    </sheetView>
  </sheetViews>
  <sheetFormatPr defaultColWidth="9.140625" defaultRowHeight="12.75"/>
  <cols>
    <col min="1" max="1" width="15.28125" style="0" customWidth="1"/>
    <col min="2" max="2" width="15.8515625" style="0" customWidth="1"/>
    <col min="3" max="3" width="15.7109375" style="0" customWidth="1"/>
  </cols>
  <sheetData>
    <row r="1" ht="12.75">
      <c r="A1" t="s">
        <v>104</v>
      </c>
    </row>
    <row r="2" spans="2:3" ht="12.75">
      <c r="B2" t="s">
        <v>63</v>
      </c>
      <c r="C2" t="s">
        <v>76</v>
      </c>
    </row>
    <row r="3" spans="1:3" ht="12.75">
      <c r="A3">
        <v>1997</v>
      </c>
      <c r="B3" s="127">
        <f>+'Cons spec netti'!F47</f>
        <v>71</v>
      </c>
      <c r="C3" s="7">
        <f>+'Cons spec tot e finalizzati'!G50</f>
        <v>0</v>
      </c>
    </row>
    <row r="4" spans="1:3" ht="12.75">
      <c r="A4">
        <v>1998</v>
      </c>
      <c r="B4" s="127">
        <f>+'Cons spec netti'!G47</f>
        <v>80</v>
      </c>
      <c r="C4" s="7">
        <f>+'Cons spec tot e finalizzati'!I50</f>
        <v>0</v>
      </c>
    </row>
    <row r="5" spans="1:3" ht="12.75">
      <c r="A5">
        <v>1999</v>
      </c>
      <c r="B5" s="127">
        <f>+'Cons spec netti'!H47</f>
        <v>89</v>
      </c>
      <c r="C5" s="7">
        <f>+'Cons spec tot e finalizzati'!K50</f>
        <v>0</v>
      </c>
    </row>
    <row r="6" spans="1:3" ht="12.75">
      <c r="A6">
        <v>2000</v>
      </c>
      <c r="B6" s="127">
        <f>+'Cons spec netti'!I47</f>
        <v>116</v>
      </c>
      <c r="C6" s="7">
        <f>+'Cons spec tot e finalizzati'!M50</f>
        <v>0</v>
      </c>
    </row>
    <row r="7" spans="1:3" ht="12.75">
      <c r="A7">
        <v>2001</v>
      </c>
      <c r="B7" s="127">
        <f>+'Cons spec netti'!J47</f>
        <v>80</v>
      </c>
      <c r="C7" s="7">
        <f>+'Cons spec tot e finalizzati'!O50</f>
        <v>0</v>
      </c>
    </row>
    <row r="8" spans="1:3" ht="12.75">
      <c r="A8">
        <v>2002</v>
      </c>
      <c r="B8" s="127">
        <f>+'Cons spec netti'!K47</f>
        <v>107</v>
      </c>
      <c r="C8" s="7">
        <f>+'Cons spec tot e finalizzati'!Q50</f>
        <v>0</v>
      </c>
    </row>
    <row r="9" spans="1:3" ht="12.75">
      <c r="A9">
        <v>2003</v>
      </c>
      <c r="B9" s="127">
        <f>+'Cons spec netti'!L47</f>
        <v>58</v>
      </c>
      <c r="C9" s="7">
        <f>+'Cons spec tot e finalizzati'!S50</f>
        <v>0</v>
      </c>
    </row>
    <row r="10" spans="1:3" ht="12.75">
      <c r="A10">
        <v>2004</v>
      </c>
      <c r="B10" s="127">
        <f>+'Cons spec netti'!M47</f>
        <v>46</v>
      </c>
      <c r="C10" s="7">
        <f>+'Cons spec tot e finalizzati'!U50</f>
        <v>0</v>
      </c>
    </row>
    <row r="11" spans="2:3" ht="12.75">
      <c r="B11" t="s">
        <v>77</v>
      </c>
      <c r="C11" t="s">
        <v>65</v>
      </c>
    </row>
    <row r="12" spans="1:3" ht="12.75">
      <c r="A12">
        <v>1997</v>
      </c>
      <c r="B12" s="128">
        <v>100</v>
      </c>
      <c r="C12" s="128">
        <v>100</v>
      </c>
    </row>
    <row r="13" spans="1:3" ht="12.75">
      <c r="A13">
        <v>1998</v>
      </c>
      <c r="B13" s="128">
        <f aca="true" t="shared" si="0" ref="B13:B19">+B4/$B$3*100</f>
        <v>112.67605633802818</v>
      </c>
      <c r="C13" s="128">
        <v>102.2</v>
      </c>
    </row>
    <row r="14" spans="1:3" ht="12.75">
      <c r="A14">
        <v>1999</v>
      </c>
      <c r="B14" s="128">
        <f t="shared" si="0"/>
        <v>125.35211267605635</v>
      </c>
      <c r="C14" s="128">
        <v>104</v>
      </c>
    </row>
    <row r="15" spans="1:3" ht="12.75">
      <c r="A15">
        <v>2000</v>
      </c>
      <c r="B15" s="128">
        <f t="shared" si="0"/>
        <v>163.38028169014086</v>
      </c>
      <c r="C15" s="128">
        <v>106.5</v>
      </c>
    </row>
    <row r="16" spans="1:3" ht="12.75">
      <c r="A16">
        <v>2001</v>
      </c>
      <c r="B16" s="128">
        <f t="shared" si="0"/>
        <v>112.67605633802818</v>
      </c>
      <c r="C16">
        <v>109.3</v>
      </c>
    </row>
    <row r="17" spans="1:3" ht="12.75">
      <c r="A17">
        <v>2002</v>
      </c>
      <c r="B17" s="128">
        <f t="shared" si="0"/>
        <v>150.70422535211267</v>
      </c>
      <c r="C17" s="128">
        <v>112</v>
      </c>
    </row>
    <row r="18" spans="1:3" ht="12.75">
      <c r="A18">
        <v>2003</v>
      </c>
      <c r="B18" s="128">
        <f t="shared" si="0"/>
        <v>81.69014084507043</v>
      </c>
      <c r="C18">
        <v>114.2</v>
      </c>
    </row>
    <row r="19" spans="1:3" ht="12.75">
      <c r="A19">
        <v>2004</v>
      </c>
      <c r="B19" s="128">
        <f t="shared" si="0"/>
        <v>64.7887323943662</v>
      </c>
      <c r="C19">
        <v>115.9</v>
      </c>
    </row>
  </sheetData>
  <printOptions/>
  <pageMargins left="0.75" right="0.75" top="1.29" bottom="1" header="0.59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PROGRAMMAZIONE, CONTROLLI E STATISTICA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Pianificazione e Controllo</dc:creator>
  <cp:keywords/>
  <dc:description/>
  <cp:lastModifiedBy>eraggi</cp:lastModifiedBy>
  <cp:lastPrinted>2005-06-10T08:22:51Z</cp:lastPrinted>
  <dcterms:created xsi:type="dcterms:W3CDTF">2000-04-21T08:37:10Z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