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4865" windowHeight="8295" tabRatio="601" activeTab="0"/>
  </bookViews>
  <sheets>
    <sheet name="Cons spec tot e finalizzati" sheetId="1" r:id="rId1"/>
    <sheet name="Cons spec netti" sheetId="2" r:id="rId2"/>
    <sheet name="ISTRUZIONE" sheetId="3" r:id="rId3"/>
    <sheet name="SPORT E GIOVANI" sheetId="4" r:id="rId4"/>
    <sheet name="INGEGNERIA" sheetId="5" r:id="rId5"/>
    <sheet name="MANUTENZIONE" sheetId="6" r:id="rId6"/>
    <sheet name="PERSONALE" sheetId="7" r:id="rId7"/>
    <sheet name="P&amp;C" sheetId="8" r:id="rId8"/>
    <sheet name="SISTEMI INFO" sheetId="9" r:id="rId9"/>
    <sheet name="ECONOMIA" sheetId="10" r:id="rId10"/>
    <sheet name="CULTURA" sheetId="11" r:id="rId11"/>
    <sheet name="MOBILITA" sheetId="12" r:id="rId12"/>
    <sheet name="TERRITORIO" sheetId="13" r:id="rId13"/>
    <sheet name="PROGXCOMUNICARE" sheetId="14" r:id="rId14"/>
    <sheet name="QUALITA URBANA" sheetId="15" r:id="rId15"/>
    <sheet name="SICUREZZA" sheetId="16" r:id="rId16"/>
    <sheet name="SALUTE" sheetId="17" r:id="rId17"/>
    <sheet name="SERVIZI SOCIALI" sheetId="18" r:id="rId18"/>
    <sheet name="GABINETTO" sheetId="19" r:id="rId19"/>
    <sheet name="SEGR.GEN" sheetId="20" r:id="rId20"/>
    <sheet name="PM" sheetId="21" r:id="rId21"/>
    <sheet name="STAFF CONS" sheetId="22" r:id="rId22"/>
    <sheet name="PROT CIV" sheetId="23" r:id="rId23"/>
    <sheet name="LEGALE" sheetId="24" r:id="rId24"/>
    <sheet name="FINANZA" sheetId="25" r:id="rId25"/>
    <sheet name="PATRIMONIO" sheetId="26" r:id="rId26"/>
    <sheet name="SPORTELLO CIT" sheetId="27" r:id="rId27"/>
    <sheet name="QUARTIERI" sheetId="28" r:id="rId28"/>
    <sheet name="AFFARI IST" sheetId="29" r:id="rId29"/>
    <sheet name="ACQUISTI" sheetId="30" r:id="rId30"/>
    <sheet name="SPORTELLO IMPR" sheetId="31" r:id="rId31"/>
    <sheet name="DIREZIONE GEN" sheetId="32" r:id="rId32"/>
    <sheet name="AREA OP. PUB." sheetId="33" r:id="rId33"/>
    <sheet name="AREA FAMIGLIA" sheetId="34" r:id="rId34"/>
    <sheet name="AREA SVILUPPO SOCIO-EC" sheetId="35" r:id="rId35"/>
    <sheet name="AREA QUALITA' URBANA" sheetId="36" r:id="rId36"/>
    <sheet name="AREA COM. E RAP. CON CIT" sheetId="37" r:id="rId37"/>
    <sheet name="TOTALE" sheetId="38" r:id="rId38"/>
  </sheets>
  <externalReferences>
    <externalReference r:id="rId41"/>
  </externalReferences>
  <definedNames>
    <definedName name="_xlnm.Print_Area" localSheetId="1">'Cons spec netti'!$A$1:$L$284</definedName>
    <definedName name="_xlnm.Print_Area" localSheetId="0">'Cons spec tot e finalizzati'!$A$1:$S$287</definedName>
    <definedName name="_xlnm.Print_Area" localSheetId="2">'ISTRUZIONE'!$E$1:$S$20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'Cons spec netti'!$3:$5</definedName>
    <definedName name="_xlnm.Print_Titles" localSheetId="0">'Cons spec tot e finalizzati'!$6:$8</definedName>
  </definedNames>
  <calcPr fullCalcOnLoad="1"/>
</workbook>
</file>

<file path=xl/sharedStrings.xml><?xml version="1.0" encoding="utf-8"?>
<sst xmlns="http://schemas.openxmlformats.org/spreadsheetml/2006/main" count="764" uniqueCount="227">
  <si>
    <t>DIREZIONE GENERALE</t>
  </si>
  <si>
    <t>GABINETTO</t>
  </si>
  <si>
    <t>UFFICIO STAMPA</t>
  </si>
  <si>
    <t>CERIMONIALE</t>
  </si>
  <si>
    <t>GABINETTO NON GESTITI</t>
  </si>
  <si>
    <t>AFFARI GENERALI/SEGRETERIA DEL SINDACO</t>
  </si>
  <si>
    <t>STAFF CONSIGLIO</t>
  </si>
  <si>
    <t>PROTEZIONE CIVILE</t>
  </si>
  <si>
    <t>AFFARI GENERALI E ISTITUZIONALI</t>
  </si>
  <si>
    <t>DIREZIONE, AMMINISTRAZIONE/ALTRO</t>
  </si>
  <si>
    <t>PROTOCOLLO ARCHIVIO</t>
  </si>
  <si>
    <t xml:space="preserve"> ACQUISTI</t>
  </si>
  <si>
    <t>DIREZIONE, AMMINISTRAZIONE, CDG/ALTRO</t>
  </si>
  <si>
    <t>GESTIONE ACQUISTI - FORNITORI</t>
  </si>
  <si>
    <t>GESTIONE ACQUISTI - SERVIZI INTERNI</t>
  </si>
  <si>
    <t>PRODUZIONE PASTI</t>
  </si>
  <si>
    <t>DIREZIONE, AMMINISTRAZIONE, CDG, QUALITA'/ALTRO</t>
  </si>
  <si>
    <t>STUDI E INTERVENTI STORICO MONUMENTALI</t>
  </si>
  <si>
    <t>EDILIZIA PUBBLICA</t>
  </si>
  <si>
    <t>IMPIANTI TECNOLOGICI</t>
  </si>
  <si>
    <t>ILLUMINAZIONE PUBBLICA</t>
  </si>
  <si>
    <t>INTERVENTI SUL VERDE</t>
  </si>
  <si>
    <t>DIREZIONE, AMM.NE, CDG/ALTRO-MANUTENZIONE</t>
  </si>
  <si>
    <t>MANUTENZIONE STRADE</t>
  </si>
  <si>
    <t>MANUTENZIONE VERDE</t>
  </si>
  <si>
    <t>MANUTENZIONE EDILIZIA E SERVIZIO CALORE</t>
  </si>
  <si>
    <t>MANUTENZIONE ILLUMINAZIONE PUBBLICA</t>
  </si>
  <si>
    <t xml:space="preserve">MANUTENZIONE SEGNALETICA E SEMAFORI </t>
  </si>
  <si>
    <t>PERSONALE E ORGANIZZAZIONE</t>
  </si>
  <si>
    <t>PERSONALE E ORGANIZZAZIONE NON GESTITI</t>
  </si>
  <si>
    <t xml:space="preserve">SISTEMI INFORMATIVI </t>
  </si>
  <si>
    <t>PROGETTAZIONE E SVILUPPO</t>
  </si>
  <si>
    <t>BIBLIOTECA DELL'ARCHIGINNASIO</t>
  </si>
  <si>
    <t>MUSEO ARCHEOLOGICO</t>
  </si>
  <si>
    <t>MUSEI CIVICI DI ARTE ANTICA</t>
  </si>
  <si>
    <t>ISTITUZIONE CINETECA</t>
  </si>
  <si>
    <t xml:space="preserve">ISTITUZIONE GALLERIA D'ARTE MODERNA </t>
  </si>
  <si>
    <t>MUSEO DEL PATRIMONIO INDUSTRIALE</t>
  </si>
  <si>
    <t>ENTI CULTURALI NON GESTITI</t>
  </si>
  <si>
    <t>SPORT</t>
  </si>
  <si>
    <t>STUDI, PIANIFICAZIONE E PROGETTAZIONE</t>
  </si>
  <si>
    <t>POLIZIA MUNICIPALE</t>
  </si>
  <si>
    <t>DIREZIONE, AMMINISTRAZIONE E CDG/ALTRO</t>
  </si>
  <si>
    <t>SERVIZIO POLIZIA AMMINISTRATIVA</t>
  </si>
  <si>
    <t>SANITA' E IGIENE PUBBLICA</t>
  </si>
  <si>
    <t>DIREZIONE SERVIZI SOCIALI GESTIONE DIRETTA</t>
  </si>
  <si>
    <t>SERVIZI A MINORI E FAMIGLIE</t>
  </si>
  <si>
    <t>SERVIZI SOCIALI PER ADULTI</t>
  </si>
  <si>
    <t>SISTEMA INFORMATIVO TERRITORIALE</t>
  </si>
  <si>
    <t>STATO CIVILE</t>
  </si>
  <si>
    <t>ELETTORALE</t>
  </si>
  <si>
    <t>QUARTIERE BORGO PANIGALE</t>
  </si>
  <si>
    <t>DIREZIONE, AFFARI GENERALI E ISTITUZIONALI</t>
  </si>
  <si>
    <t>SERVIZI SOCIO-ASSISTENZIALI</t>
  </si>
  <si>
    <t>COORDINAMENTO SERVIZI SCOLASTICI</t>
  </si>
  <si>
    <t>NIDI</t>
  </si>
  <si>
    <t>SCUOLA DELL'INFANZIA</t>
  </si>
  <si>
    <t>SCUOLE ELEMENTARI E MEDIE INFERIORI</t>
  </si>
  <si>
    <t>ALTRI SERVIZI EDUCATIVI</t>
  </si>
  <si>
    <t>INFORMAZIONI</t>
  </si>
  <si>
    <t>QUARTIERE NAVILE</t>
  </si>
  <si>
    <t>QUARTIERE PORTO</t>
  </si>
  <si>
    <t>QUARTIERE RENO</t>
  </si>
  <si>
    <t>QUARTIERE S.DONATO</t>
  </si>
  <si>
    <t>QUARTIERE S.STEFANO</t>
  </si>
  <si>
    <t>QUARTIERE S.VITALE</t>
  </si>
  <si>
    <t>QUARTIERE SARAGOZZA</t>
  </si>
  <si>
    <t>QUARTIERE SAVENA</t>
  </si>
  <si>
    <t>GESTIONE ILLUMINAZIONE E SEMAFORI</t>
  </si>
  <si>
    <t>IN MIGLIAIA DI EURO</t>
  </si>
  <si>
    <t>ATTIVITA' CULTURALI E GESTIONE SALE</t>
  </si>
  <si>
    <t>POLITICHE GIOVANILI</t>
  </si>
  <si>
    <t>CULTURA/GIOVANI</t>
  </si>
  <si>
    <t>TOTALE</t>
  </si>
  <si>
    <t>+</t>
  </si>
  <si>
    <t>TOT</t>
  </si>
  <si>
    <t>RELAZIONI SINDACALI E ORGANIZZAZIONE</t>
  </si>
  <si>
    <t>TEATRI, SPETTACOLO E PROMOZ. GIOVANI ARTISTI E LL.FF.AA.</t>
  </si>
  <si>
    <t>SERVIZI SOCIALI ANZIANI E DISABILI</t>
  </si>
  <si>
    <t>INTERVENTI PER DISABILI DELEGATI ALL'U.S.L.</t>
  </si>
  <si>
    <t>Consumi specifici</t>
  </si>
  <si>
    <t>Indice cons spec</t>
  </si>
  <si>
    <t>Indice inflazione</t>
  </si>
  <si>
    <t>Manutenzione</t>
  </si>
  <si>
    <t>Personale</t>
  </si>
  <si>
    <t>Sistemi informativi</t>
  </si>
  <si>
    <t>Economia</t>
  </si>
  <si>
    <t>Cultura</t>
  </si>
  <si>
    <t>Taraffico</t>
  </si>
  <si>
    <t>Territorio</t>
  </si>
  <si>
    <t>sicurezza urbana</t>
  </si>
  <si>
    <t xml:space="preserve">Salute </t>
  </si>
  <si>
    <t>Servizi sociali</t>
  </si>
  <si>
    <t>Gabinetto</t>
  </si>
  <si>
    <t>Segr gen</t>
  </si>
  <si>
    <t xml:space="preserve">AFFARI GENERALI E ISTITUZIONALI NON GESTITI </t>
  </si>
  <si>
    <t>CONTROLLO E SEGNALETICA</t>
  </si>
  <si>
    <t>CONS</t>
  </si>
  <si>
    <t>Consumi specifici finalizzati</t>
  </si>
  <si>
    <t>Indice consumi specifici netti</t>
  </si>
  <si>
    <t>Indice consumi specifii netti</t>
  </si>
  <si>
    <t>STATISTICA</t>
  </si>
  <si>
    <t>UNITA' GIURIDICO-AMINISTRATIVA</t>
  </si>
  <si>
    <t>EDILIZIA</t>
  </si>
  <si>
    <t>INTERVENTI PER LA CASA</t>
  </si>
  <si>
    <t>Consumi specifici netti</t>
  </si>
  <si>
    <t>AUTORIZZAZIONI, LICENZE E COORDINAMENTO INTERVENTI</t>
  </si>
  <si>
    <t>ATTIVITA' TURISTICHE</t>
  </si>
  <si>
    <t>QUALITA' URBANA</t>
  </si>
  <si>
    <t>Polizia municipale</t>
  </si>
  <si>
    <t>CONTROLLO INTERNO</t>
  </si>
  <si>
    <t>STAFF DEL DIRETTORE GENERALE</t>
  </si>
  <si>
    <t>SEGRETERIE DELL'ESECUTIVO</t>
  </si>
  <si>
    <t>COORDINAMENTO QUARTIERI</t>
  </si>
  <si>
    <t>PROGETTO RIFORMA QUARTIERI</t>
  </si>
  <si>
    <t>FINANZA</t>
  </si>
  <si>
    <t xml:space="preserve">RAGIONERIA </t>
  </si>
  <si>
    <t>ENTRATE</t>
  </si>
  <si>
    <t>FORMAZIONE E SVILUPPO/CUF</t>
  </si>
  <si>
    <t>NORMATIVA AMMINISTRAZIONE E BILANCIO</t>
  </si>
  <si>
    <t>QUALITA'</t>
  </si>
  <si>
    <t>PROGRAMMAZIONE, CONTROLLI E STATISTICA</t>
  </si>
  <si>
    <t>TECNOLOGIE ED ESERCIZIO</t>
  </si>
  <si>
    <t>GESTIONE E SVILUPPO SISTEMI E TELECOMUNICAZIONI</t>
  </si>
  <si>
    <t>AREA OPERE PUBBLICHE</t>
  </si>
  <si>
    <t>DIREZIONE AREA OPERE PUBBLICHE</t>
  </si>
  <si>
    <t>INGEGNERIA CIVILE ED INFRASTRUTTURE</t>
  </si>
  <si>
    <t>GESTIONE PATRIMONIO</t>
  </si>
  <si>
    <t>AREA FAMIGLIA</t>
  </si>
  <si>
    <t>DIREZIONE AREA FAMIGLIA</t>
  </si>
  <si>
    <t>SALUTE E QUALITA' DELLA VITA</t>
  </si>
  <si>
    <t>COORDINAMENTO SERVIZI SOCIALI</t>
  </si>
  <si>
    <t>ISTRUZIONE</t>
  </si>
  <si>
    <t>SERVIZI ALL'INFANZIA</t>
  </si>
  <si>
    <t>FORMAZIONE PROFESSIONALE</t>
  </si>
  <si>
    <t>AREA SVILUPPO SOCIO-ECONOMICO</t>
  </si>
  <si>
    <t>DIREZIONE AREA SVILUPPO SOCIO ECONOMICO</t>
  </si>
  <si>
    <t>CULTURA</t>
  </si>
  <si>
    <t>SPORT E GIOVANI</t>
  </si>
  <si>
    <t>AREA QUALITA' URBANA</t>
  </si>
  <si>
    <t>DIREZIONE AREA QUALITA' URBANA</t>
  </si>
  <si>
    <t>MOBILITA' URBANA</t>
  </si>
  <si>
    <t>MANUTENZIONI E CONDUZIONI</t>
  </si>
  <si>
    <t>AREA COMUNICAZIONE E RAPPORTO CON LA CITTADINANZA</t>
  </si>
  <si>
    <t>SPORTELLO DEI CITTADINI</t>
  </si>
  <si>
    <t>SPORTELLO PER EDILIZIA ED IMPRESA</t>
  </si>
  <si>
    <t>SICUREZZA</t>
  </si>
  <si>
    <t>QUARTIERI</t>
  </si>
  <si>
    <t xml:space="preserve"> NETTI</t>
  </si>
  <si>
    <t xml:space="preserve">ISTRUZIONE </t>
  </si>
  <si>
    <t>Ingegneria civile</t>
  </si>
  <si>
    <t>PROGRAMMAZIONI, CONTROLLI - STATISTICA</t>
  </si>
  <si>
    <t>Progetto nuove ist x comunicare</t>
  </si>
  <si>
    <t xml:space="preserve">TRASFORMAZIONI STRUTTURALI E PARTECIPAZIONI SOCIETARIE </t>
  </si>
  <si>
    <t xml:space="preserve">DIREZIONE, AMM.NE/ALTRO </t>
  </si>
  <si>
    <t xml:space="preserve">LEGALE </t>
  </si>
  <si>
    <t xml:space="preserve">SEGRETERIA GENERALE </t>
  </si>
  <si>
    <t xml:space="preserve">CONTROLLO ATTI SUPPORTO ORGANI </t>
  </si>
  <si>
    <t>SISTEMI INFORMATIVI E TELEMATICI</t>
  </si>
  <si>
    <t>INTERVENTI PER DISABILI DELEGATI ALL'A.U.S.L.</t>
  </si>
  <si>
    <t xml:space="preserve">LABORATORI E AULE DIDATTICHE CENTRALI </t>
  </si>
  <si>
    <t xml:space="preserve">DIRITTO ALLO STUDIO/HANDICAP/RETE SCOLASTICA </t>
  </si>
  <si>
    <t xml:space="preserve">PROG.NUOVE ISTIT.PER COMUNICARE CON LA CITTA' </t>
  </si>
  <si>
    <t xml:space="preserve">COMITATO BOLOGNA 2000  </t>
  </si>
  <si>
    <t xml:space="preserve">SALA BORSA </t>
  </si>
  <si>
    <t xml:space="preserve">BIBLIOTECHE </t>
  </si>
  <si>
    <t xml:space="preserve">SISTEMA DEI MUSEI E ATTIVITA' ESPOSITIVE </t>
  </si>
  <si>
    <t>PROGETTI E RELAZIONI INTERNAZIONALI</t>
  </si>
  <si>
    <t xml:space="preserve">ISTITUTI ALDINI VALERIANI E SIRANI </t>
  </si>
  <si>
    <t xml:space="preserve">SCAMBI INTERNAZIONALI E ISTITUZIONI ESTIVE </t>
  </si>
  <si>
    <t xml:space="preserve">TERRITORIO E RIQUALIFICAZIONE URBANA </t>
  </si>
  <si>
    <t>NOTA RELATIVE ALLE MODIFICHE ORGANIZZATIVE E CONSEGUENTE RIALLOCAZIONE DELLE RISORSE:</t>
  </si>
  <si>
    <t>DIREZIONE, AMMINISTRAZIONE, CDG/ALTRO (*)</t>
  </si>
  <si>
    <t>(*) Il 2001 è al netto di contributi (€ 37.640 mgl) per trasporto pubblico locale da stato e regione trasferiti ad ATC</t>
  </si>
  <si>
    <t xml:space="preserve">INNOV. AMM.VA/REGOLAMENTI/CITTA' METROPOLITANA/CONTRATTI </t>
  </si>
  <si>
    <t>2001(*)</t>
  </si>
  <si>
    <t xml:space="preserve">CONSUMI SPECIFICI: SERIE STORICA (1997-2002) </t>
  </si>
  <si>
    <t xml:space="preserve">PROTOCOLLO ARCHIVIO </t>
  </si>
  <si>
    <t xml:space="preserve">SERVIZI SOCIALI ANZIANI E DISABILI </t>
  </si>
  <si>
    <t>ECONOMIA E LAVORO, PROGRAMMAZIONE E SVILUPPO EC.</t>
  </si>
  <si>
    <t>SVILUPPO E PROGRAMMAZIONE ATTIVITA' PRODUTTIVE E COMM.</t>
  </si>
  <si>
    <t xml:space="preserve">CONSUMI SPECIFICI: SERIE STORICA (1997- 2003) </t>
  </si>
  <si>
    <t>EVENTI E MARKETING URBANO</t>
  </si>
  <si>
    <t>PROGRAMMAZIONE E CONTROLLI</t>
  </si>
  <si>
    <t>PROGETTO PER L'ATTUAZIONE PROGRAMMA PIAZZE</t>
  </si>
  <si>
    <t>SPORT E INTERVENTI STRAORDINARI</t>
  </si>
  <si>
    <t xml:space="preserve">INFRASTRUTTURE </t>
  </si>
  <si>
    <t>STRADE E FOGNATURE</t>
  </si>
  <si>
    <t>SERVIZI FUNERARI/POLIZIA MORTUARIA</t>
  </si>
  <si>
    <t>SERVIZI SOCIALI PER ANZIANI</t>
  </si>
  <si>
    <t>SERVIZI SOCIALI PER DISABILI</t>
  </si>
  <si>
    <t xml:space="preserve">SERVIZI PER L'IMMIGRAZIONE </t>
  </si>
  <si>
    <t>ATTIVITA' CULTURALI E PALAZZO RE ENZO</t>
  </si>
  <si>
    <t>SOGGIORNI VACANZA</t>
  </si>
  <si>
    <t>SOGGIORNI STUDIO E PROMOZIONE SCAMBI SCOLASTICI</t>
  </si>
  <si>
    <t xml:space="preserve">GIOVANI </t>
  </si>
  <si>
    <t>FILM COMMISSION</t>
  </si>
  <si>
    <t>QUALITA' AMBIENTALE</t>
  </si>
  <si>
    <t>PROCESSI URBANISTICI</t>
  </si>
  <si>
    <t>COMUNICAZIONE E RAPPORTI CON I CITTADINI</t>
  </si>
  <si>
    <t xml:space="preserve">PARCHEGGI E GESTIONE PIANO SOSTA  </t>
  </si>
  <si>
    <t>SERVIZI TECNICI</t>
  </si>
  <si>
    <t>COORDINAMENTO SUOLO E SOTTOSUOLO</t>
  </si>
  <si>
    <t>PROGETTI SPECIALI</t>
  </si>
  <si>
    <t>TRASPORTI</t>
  </si>
  <si>
    <t>MANUTENZIONE STRADE E SEGNALETICA</t>
  </si>
  <si>
    <t>MANUTENZIONE IMPIANTI</t>
  </si>
  <si>
    <t>MANUTENZIONE EDILIZIA</t>
  </si>
  <si>
    <t>SERVIZI DI COMUNICAZIONE</t>
  </si>
  <si>
    <t>SERVIZI DI ANAGRAFE</t>
  </si>
  <si>
    <t>SPORTELLO EDILIZIA</t>
  </si>
  <si>
    <t>SPORTELLO IMPRESE</t>
  </si>
  <si>
    <t>RAPPORTI CON ISTITUZIONI, ASSOCIAZIONI E VOLONTARIATO</t>
  </si>
  <si>
    <t>RAPPORTI CON I CITTADINI, COMITATI E QUARTIERI</t>
  </si>
  <si>
    <t>SERVIZIO TECNICO</t>
  </si>
  <si>
    <t>ATTIVITA' SOCIALE DI PREVENZIONE</t>
  </si>
  <si>
    <t>COORDINAMENTO NUCLEO TERRITORIALE E CENTRO STORICO</t>
  </si>
  <si>
    <t xml:space="preserve">PROCEDURE AMMINISTRATIVE E POLIZIA GIUDIZIARIA </t>
  </si>
  <si>
    <t xml:space="preserve">MOBILITA' E SICUREZZA URBANA </t>
  </si>
  <si>
    <t xml:space="preserve">ECONOMIA E FORMAZIONE </t>
  </si>
  <si>
    <t xml:space="preserve">ECONOMIA E FORMAZIONE  </t>
  </si>
  <si>
    <t xml:space="preserve">E' stata effettuata una riclassificazione delle risorse sulla struttura economica dei gruppi di centro di costo 2003 fatte salve alcuni eccezioni evidenziate in corsivo </t>
  </si>
  <si>
    <t>di cui fin.(*)</t>
  </si>
  <si>
    <t>* Per risorse "fin." si intendono le entrate derivanti da trasferimenti ed altro a cui corrisponde un'uscita vincolata.</t>
  </si>
  <si>
    <t>(**) Il 2001 è al netto di contributi (€ 37.640 mgl) per trasporto pubblico locale da stato e regione trasferiti ad ATC</t>
  </si>
  <si>
    <t>MOBILITA' URBANA (**)</t>
  </si>
  <si>
    <t>DIREZIONE, AMMINISTRAZIONE, CDG/ALTRO (**)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</si>
</sst>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</numFmts>
  <fonts count="35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sz val="10.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b/>
      <sz val="9"/>
      <name val="Arial"/>
      <family val="2"/>
    </font>
    <font>
      <sz val="11.75"/>
      <name val="Arial"/>
      <family val="0"/>
    </font>
    <font>
      <b/>
      <sz val="14.25"/>
      <name val="Arial"/>
      <family val="0"/>
    </font>
    <font>
      <sz val="11.5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6"/>
      <name val="Symbol"/>
      <family val="1"/>
    </font>
    <font>
      <sz val="12"/>
      <name val="Symbol"/>
      <family val="1"/>
    </font>
    <font>
      <sz val="8.5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3" fillId="0" borderId="3" xfId="0" applyFont="1" applyBorder="1" applyAlignment="1" quotePrefix="1">
      <alignment/>
    </xf>
    <xf numFmtId="0" fontId="2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3" fillId="0" borderId="4" xfId="0" applyFont="1" applyBorder="1" applyAlignment="1">
      <alignment/>
    </xf>
    <xf numFmtId="3" fontId="4" fillId="0" borderId="4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3" fontId="3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8" xfId="0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8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" borderId="1" xfId="0" applyFont="1" applyFill="1" applyBorder="1" applyAlignment="1">
      <alignment horizontal="centerContinuous"/>
    </xf>
    <xf numFmtId="0" fontId="18" fillId="3" borderId="7" xfId="0" applyFont="1" applyFill="1" applyBorder="1" applyAlignment="1">
      <alignment horizontal="centerContinuous"/>
    </xf>
    <xf numFmtId="0" fontId="3" fillId="3" borderId="11" xfId="0" applyFont="1" applyFill="1" applyBorder="1" applyAlignment="1">
      <alignment horizontal="centerContinuous"/>
    </xf>
    <xf numFmtId="3" fontId="2" fillId="0" borderId="4" xfId="0" applyNumberFormat="1" applyFont="1" applyFill="1" applyBorder="1" applyAlignment="1">
      <alignment/>
    </xf>
    <xf numFmtId="0" fontId="3" fillId="3" borderId="1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3" xfId="0" applyFont="1" applyFill="1" applyBorder="1" applyAlignment="1" quotePrefix="1">
      <alignment/>
    </xf>
    <xf numFmtId="41" fontId="0" fillId="0" borderId="0" xfId="18" applyAlignment="1">
      <alignment/>
    </xf>
    <xf numFmtId="0" fontId="0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0" fillId="0" borderId="0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/>
    </xf>
    <xf numFmtId="0" fontId="15" fillId="0" borderId="0" xfId="0" applyFont="1" applyFill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3" xfId="0" applyFont="1" applyFill="1" applyBorder="1" applyAlignment="1">
      <alignment/>
    </xf>
    <xf numFmtId="3" fontId="17" fillId="0" borderId="4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2" fillId="0" borderId="5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2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left"/>
    </xf>
    <xf numFmtId="3" fontId="17" fillId="0" borderId="7" xfId="0" applyNumberFormat="1" applyFont="1" applyFill="1" applyBorder="1" applyAlignment="1">
      <alignment/>
    </xf>
    <xf numFmtId="3" fontId="17" fillId="0" borderId="6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3" fillId="0" borderId="8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3" fontId="3" fillId="0" borderId="8" xfId="0" applyNumberFormat="1" applyFont="1" applyBorder="1" applyAlignment="1">
      <alignment horizontal="left"/>
    </xf>
    <xf numFmtId="41" fontId="0" fillId="0" borderId="0" xfId="18" applyAlignment="1">
      <alignment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0" fontId="3" fillId="0" borderId="5" xfId="0" applyFont="1" applyBorder="1" applyAlignment="1">
      <alignment/>
    </xf>
    <xf numFmtId="0" fontId="18" fillId="3" borderId="11" xfId="0" applyFont="1" applyFill="1" applyBorder="1" applyAlignment="1">
      <alignment horizontal="centerContinuous"/>
    </xf>
    <xf numFmtId="0" fontId="18" fillId="3" borderId="9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1" fontId="2" fillId="0" borderId="8" xfId="18" applyFont="1" applyFill="1" applyBorder="1" applyAlignment="1">
      <alignment horizontal="right"/>
    </xf>
    <xf numFmtId="41" fontId="2" fillId="0" borderId="4" xfId="18" applyFont="1" applyFill="1" applyBorder="1" applyAlignment="1">
      <alignment horizontal="right"/>
    </xf>
    <xf numFmtId="41" fontId="2" fillId="0" borderId="4" xfId="18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3" fontId="3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41" fontId="2" fillId="0" borderId="8" xfId="18" applyFont="1" applyFill="1" applyBorder="1" applyAlignment="1">
      <alignment/>
    </xf>
    <xf numFmtId="41" fontId="2" fillId="0" borderId="4" xfId="18" applyFont="1" applyBorder="1" applyAlignment="1">
      <alignment/>
    </xf>
    <xf numFmtId="41" fontId="2" fillId="0" borderId="6" xfId="18" applyFont="1" applyFill="1" applyBorder="1" applyAlignment="1">
      <alignment/>
    </xf>
    <xf numFmtId="41" fontId="2" fillId="0" borderId="8" xfId="18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4" borderId="0" xfId="0" applyFill="1" applyAlignment="1">
      <alignment/>
    </xf>
    <xf numFmtId="0" fontId="10" fillId="0" borderId="5" xfId="0" applyFont="1" applyFill="1" applyBorder="1" applyAlignment="1">
      <alignment/>
    </xf>
    <xf numFmtId="3" fontId="3" fillId="0" borderId="9" xfId="0" applyNumberFormat="1" applyFont="1" applyBorder="1" applyAlignment="1">
      <alignment/>
    </xf>
    <xf numFmtId="3" fontId="10" fillId="4" borderId="8" xfId="0" applyNumberFormat="1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41" fontId="14" fillId="0" borderId="9" xfId="18" applyFont="1" applyFill="1" applyBorder="1" applyAlignment="1">
      <alignment/>
    </xf>
    <xf numFmtId="3" fontId="3" fillId="0" borderId="8" xfId="0" applyNumberFormat="1" applyFont="1" applyFill="1" applyBorder="1" applyAlignment="1">
      <alignment horizontal="right"/>
    </xf>
    <xf numFmtId="3" fontId="5" fillId="5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4" fillId="0" borderId="3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0" fillId="0" borderId="0" xfId="18" applyNumberFormat="1" applyAlignment="1">
      <alignment/>
    </xf>
    <xf numFmtId="0" fontId="10" fillId="0" borderId="3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1" fontId="0" fillId="0" borderId="0" xfId="18" applyFill="1" applyAlignment="1">
      <alignment/>
    </xf>
    <xf numFmtId="41" fontId="2" fillId="0" borderId="0" xfId="18" applyFont="1" applyAlignment="1">
      <alignment/>
    </xf>
    <xf numFmtId="41" fontId="13" fillId="0" borderId="0" xfId="18" applyFont="1" applyBorder="1" applyAlignment="1">
      <alignment horizontal="centerContinuous"/>
    </xf>
    <xf numFmtId="41" fontId="3" fillId="3" borderId="12" xfId="18" applyFont="1" applyFill="1" applyBorder="1" applyAlignment="1">
      <alignment horizontal="centerContinuous"/>
    </xf>
    <xf numFmtId="41" fontId="3" fillId="2" borderId="11" xfId="18" applyFont="1" applyFill="1" applyBorder="1" applyAlignment="1">
      <alignment/>
    </xf>
    <xf numFmtId="41" fontId="14" fillId="0" borderId="8" xfId="18" applyFont="1" applyFill="1" applyBorder="1" applyAlignment="1">
      <alignment/>
    </xf>
    <xf numFmtId="41" fontId="2" fillId="0" borderId="9" xfId="18" applyFont="1" applyBorder="1" applyAlignment="1">
      <alignment/>
    </xf>
    <xf numFmtId="41" fontId="3" fillId="2" borderId="12" xfId="18" applyFont="1" applyFill="1" applyBorder="1" applyAlignment="1">
      <alignment/>
    </xf>
    <xf numFmtId="41" fontId="3" fillId="2" borderId="8" xfId="18" applyFont="1" applyFill="1" applyBorder="1" applyAlignment="1">
      <alignment/>
    </xf>
    <xf numFmtId="41" fontId="2" fillId="0" borderId="8" xfId="18" applyFont="1" applyBorder="1" applyAlignment="1">
      <alignment horizontal="right"/>
    </xf>
    <xf numFmtId="41" fontId="3" fillId="2" borderId="11" xfId="18" applyFont="1" applyFill="1" applyBorder="1" applyAlignment="1">
      <alignment horizontal="right"/>
    </xf>
    <xf numFmtId="41" fontId="2" fillId="0" borderId="9" xfId="18" applyFont="1" applyBorder="1" applyAlignment="1">
      <alignment horizontal="right"/>
    </xf>
    <xf numFmtId="41" fontId="2" fillId="0" borderId="9" xfId="18" applyFont="1" applyFill="1" applyBorder="1" applyAlignment="1">
      <alignment horizontal="right"/>
    </xf>
    <xf numFmtId="41" fontId="10" fillId="4" borderId="8" xfId="18" applyFont="1" applyFill="1" applyBorder="1" applyAlignment="1">
      <alignment/>
    </xf>
    <xf numFmtId="41" fontId="3" fillId="0" borderId="8" xfId="18" applyFont="1" applyFill="1" applyBorder="1" applyAlignment="1">
      <alignment/>
    </xf>
    <xf numFmtId="41" fontId="2" fillId="0" borderId="3" xfId="18" applyFont="1" applyFill="1" applyBorder="1" applyAlignment="1">
      <alignment/>
    </xf>
    <xf numFmtId="41" fontId="3" fillId="0" borderId="9" xfId="18" applyFont="1" applyFill="1" applyBorder="1" applyAlignment="1">
      <alignment horizontal="right"/>
    </xf>
    <xf numFmtId="41" fontId="3" fillId="0" borderId="8" xfId="18" applyFont="1" applyBorder="1" applyAlignment="1">
      <alignment/>
    </xf>
    <xf numFmtId="41" fontId="2" fillId="0" borderId="9" xfId="18" applyFont="1" applyFill="1" applyBorder="1" applyAlignment="1">
      <alignment/>
    </xf>
    <xf numFmtId="41" fontId="3" fillId="0" borderId="8" xfId="18" applyFont="1" applyFill="1" applyBorder="1" applyAlignment="1">
      <alignment horizontal="right"/>
    </xf>
    <xf numFmtId="41" fontId="2" fillId="0" borderId="9" xfId="18" applyFont="1" applyBorder="1" applyAlignment="1">
      <alignment/>
    </xf>
    <xf numFmtId="41" fontId="3" fillId="0" borderId="8" xfId="18" applyFont="1" applyBorder="1" applyAlignment="1">
      <alignment horizontal="right"/>
    </xf>
    <xf numFmtId="41" fontId="3" fillId="0" borderId="9" xfId="18" applyFont="1" applyBorder="1" applyAlignment="1">
      <alignment/>
    </xf>
    <xf numFmtId="41" fontId="3" fillId="0" borderId="8" xfId="18" applyFont="1" applyBorder="1" applyAlignment="1">
      <alignment horizontal="left"/>
    </xf>
    <xf numFmtId="41" fontId="2" fillId="0" borderId="8" xfId="18" applyFont="1" applyBorder="1" applyAlignment="1">
      <alignment/>
    </xf>
    <xf numFmtId="41" fontId="3" fillId="0" borderId="11" xfId="18" applyFont="1" applyBorder="1" applyAlignment="1">
      <alignment horizontal="left"/>
    </xf>
    <xf numFmtId="41" fontId="5" fillId="5" borderId="9" xfId="18" applyFont="1" applyFill="1" applyBorder="1" applyAlignment="1">
      <alignment/>
    </xf>
    <xf numFmtId="41" fontId="2" fillId="0" borderId="0" xfId="18" applyFont="1" applyAlignment="1">
      <alignment/>
    </xf>
    <xf numFmtId="41" fontId="2" fillId="0" borderId="6" xfId="18" applyFont="1" applyBorder="1" applyAlignment="1">
      <alignment/>
    </xf>
    <xf numFmtId="41" fontId="3" fillId="2" borderId="14" xfId="18" applyFont="1" applyFill="1" applyBorder="1" applyAlignment="1">
      <alignment/>
    </xf>
    <xf numFmtId="41" fontId="3" fillId="2" borderId="12" xfId="18" applyFont="1" applyFill="1" applyBorder="1" applyAlignment="1">
      <alignment/>
    </xf>
    <xf numFmtId="41" fontId="2" fillId="0" borderId="4" xfId="18" applyFont="1" applyBorder="1" applyAlignment="1">
      <alignment horizontal="right"/>
    </xf>
    <xf numFmtId="41" fontId="3" fillId="0" borderId="6" xfId="18" applyFont="1" applyFill="1" applyBorder="1" applyAlignment="1">
      <alignment/>
    </xf>
    <xf numFmtId="41" fontId="3" fillId="0" borderId="4" xfId="18" applyFont="1" applyBorder="1" applyAlignment="1">
      <alignment/>
    </xf>
    <xf numFmtId="41" fontId="2" fillId="0" borderId="0" xfId="18" applyFont="1" applyFill="1" applyAlignment="1">
      <alignment/>
    </xf>
    <xf numFmtId="41" fontId="8" fillId="0" borderId="0" xfId="18" applyFont="1" applyFill="1" applyAlignment="1">
      <alignment/>
    </xf>
    <xf numFmtId="41" fontId="26" fillId="0" borderId="0" xfId="18" applyFont="1" applyFill="1" applyBorder="1" applyAlignment="1">
      <alignment horizontal="left"/>
    </xf>
    <xf numFmtId="41" fontId="25" fillId="0" borderId="0" xfId="18" applyFont="1" applyBorder="1" applyAlignment="1">
      <alignment horizontal="centerContinuous"/>
    </xf>
    <xf numFmtId="41" fontId="2" fillId="0" borderId="0" xfId="18" applyFont="1" applyBorder="1" applyAlignment="1">
      <alignment/>
    </xf>
    <xf numFmtId="41" fontId="18" fillId="3" borderId="7" xfId="18" applyFont="1" applyFill="1" applyBorder="1" applyAlignment="1">
      <alignment horizontal="centerContinuous"/>
    </xf>
    <xf numFmtId="41" fontId="18" fillId="3" borderId="6" xfId="18" applyFont="1" applyFill="1" applyBorder="1" applyAlignment="1">
      <alignment horizontal="centerContinuous"/>
    </xf>
    <xf numFmtId="41" fontId="14" fillId="0" borderId="8" xfId="18" applyFont="1" applyFill="1" applyBorder="1" applyAlignment="1">
      <alignment horizontal="right"/>
    </xf>
    <xf numFmtId="41" fontId="14" fillId="0" borderId="4" xfId="18" applyFont="1" applyFill="1" applyBorder="1" applyAlignment="1">
      <alignment horizontal="right"/>
    </xf>
    <xf numFmtId="41" fontId="0" fillId="0" borderId="0" xfId="18" applyFill="1" applyBorder="1" applyAlignment="1">
      <alignment/>
    </xf>
    <xf numFmtId="41" fontId="2" fillId="0" borderId="6" xfId="18" applyFont="1" applyBorder="1" applyAlignment="1">
      <alignment horizontal="right"/>
    </xf>
    <xf numFmtId="41" fontId="3" fillId="2" borderId="14" xfId="18" applyFont="1" applyFill="1" applyBorder="1" applyAlignment="1">
      <alignment/>
    </xf>
    <xf numFmtId="41" fontId="14" fillId="0" borderId="4" xfId="18" applyFont="1" applyFill="1" applyBorder="1" applyAlignment="1">
      <alignment/>
    </xf>
    <xf numFmtId="41" fontId="14" fillId="0" borderId="8" xfId="18" applyFont="1" applyBorder="1" applyAlignment="1">
      <alignment/>
    </xf>
    <xf numFmtId="41" fontId="2" fillId="0" borderId="8" xfId="18" applyFont="1" applyFill="1" applyBorder="1" applyAlignment="1">
      <alignment/>
    </xf>
    <xf numFmtId="41" fontId="2" fillId="0" borderId="6" xfId="18" applyFont="1" applyFill="1" applyBorder="1" applyAlignment="1">
      <alignment horizontal="right"/>
    </xf>
    <xf numFmtId="41" fontId="2" fillId="0" borderId="0" xfId="18" applyFont="1" applyFill="1" applyBorder="1" applyAlignment="1">
      <alignment/>
    </xf>
    <xf numFmtId="41" fontId="2" fillId="0" borderId="0" xfId="18" applyFont="1" applyFill="1" applyBorder="1" applyAlignment="1">
      <alignment horizontal="right"/>
    </xf>
    <xf numFmtId="41" fontId="3" fillId="0" borderId="6" xfId="18" applyFont="1" applyFill="1" applyBorder="1" applyAlignment="1">
      <alignment horizontal="right"/>
    </xf>
    <xf numFmtId="41" fontId="10" fillId="0" borderId="0" xfId="18" applyFont="1" applyFill="1" applyAlignment="1">
      <alignment/>
    </xf>
    <xf numFmtId="41" fontId="3" fillId="0" borderId="0" xfId="18" applyFont="1" applyFill="1" applyAlignment="1">
      <alignment/>
    </xf>
    <xf numFmtId="41" fontId="14" fillId="0" borderId="9" xfId="18" applyFont="1" applyFill="1" applyBorder="1" applyAlignment="1">
      <alignment horizontal="right"/>
    </xf>
    <xf numFmtId="41" fontId="14" fillId="0" borderId="6" xfId="18" applyFont="1" applyFill="1" applyBorder="1" applyAlignment="1">
      <alignment horizontal="right"/>
    </xf>
    <xf numFmtId="41" fontId="14" fillId="0" borderId="9" xfId="18" applyFont="1" applyBorder="1" applyAlignment="1">
      <alignment/>
    </xf>
    <xf numFmtId="41" fontId="15" fillId="0" borderId="0" xfId="18" applyFont="1" applyFill="1" applyAlignment="1">
      <alignment/>
    </xf>
    <xf numFmtId="41" fontId="3" fillId="0" borderId="4" xfId="18" applyFont="1" applyBorder="1" applyAlignment="1">
      <alignment/>
    </xf>
    <xf numFmtId="41" fontId="3" fillId="0" borderId="8" xfId="18" applyFont="1" applyBorder="1" applyAlignment="1">
      <alignment/>
    </xf>
    <xf numFmtId="41" fontId="0" fillId="4" borderId="0" xfId="18" applyFill="1" applyAlignment="1">
      <alignment/>
    </xf>
    <xf numFmtId="41" fontId="3" fillId="0" borderId="4" xfId="18" applyFont="1" applyFill="1" applyBorder="1" applyAlignment="1">
      <alignment/>
    </xf>
    <xf numFmtId="41" fontId="3" fillId="0" borderId="0" xfId="18" applyFont="1" applyFill="1" applyBorder="1" applyAlignment="1">
      <alignment/>
    </xf>
    <xf numFmtId="41" fontId="2" fillId="0" borderId="0" xfId="18" applyFont="1" applyBorder="1" applyAlignment="1">
      <alignment horizontal="right"/>
    </xf>
    <xf numFmtId="41" fontId="14" fillId="0" borderId="0" xfId="18" applyFont="1" applyFill="1" applyBorder="1" applyAlignment="1">
      <alignment horizontal="right"/>
    </xf>
    <xf numFmtId="41" fontId="2" fillId="0" borderId="8" xfId="18" applyFont="1" applyFill="1" applyBorder="1" applyAlignment="1">
      <alignment/>
    </xf>
    <xf numFmtId="41" fontId="2" fillId="0" borderId="0" xfId="18" applyFont="1" applyFill="1" applyBorder="1" applyAlignment="1">
      <alignment/>
    </xf>
    <xf numFmtId="41" fontId="2" fillId="0" borderId="5" xfId="18" applyFont="1" applyBorder="1" applyAlignment="1">
      <alignment/>
    </xf>
    <xf numFmtId="41" fontId="3" fillId="0" borderId="4" xfId="18" applyFont="1" applyBorder="1" applyAlignment="1">
      <alignment horizontal="right"/>
    </xf>
    <xf numFmtId="41" fontId="3" fillId="0" borderId="4" xfId="18" applyFont="1" applyBorder="1" applyAlignment="1">
      <alignment horizontal="right"/>
    </xf>
    <xf numFmtId="41" fontId="2" fillId="0" borderId="8" xfId="18" applyFont="1" applyBorder="1" applyAlignment="1">
      <alignment horizontal="left"/>
    </xf>
    <xf numFmtId="41" fontId="2" fillId="0" borderId="4" xfId="18" applyFont="1" applyBorder="1" applyAlignment="1">
      <alignment/>
    </xf>
    <xf numFmtId="41" fontId="2" fillId="0" borderId="6" xfId="18" applyFont="1" applyBorder="1" applyAlignment="1">
      <alignment/>
    </xf>
    <xf numFmtId="0" fontId="18" fillId="3" borderId="1" xfId="18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/>
    </xf>
    <xf numFmtId="0" fontId="18" fillId="3" borderId="2" xfId="18" applyNumberFormat="1" applyFont="1" applyFill="1" applyBorder="1" applyAlignment="1">
      <alignment horizontal="centerContinuous"/>
    </xf>
    <xf numFmtId="0" fontId="3" fillId="3" borderId="2" xfId="18" applyNumberFormat="1" applyFont="1" applyFill="1" applyBorder="1" applyAlignment="1">
      <alignment horizontal="centerContinuous"/>
    </xf>
    <xf numFmtId="0" fontId="29" fillId="0" borderId="3" xfId="0" applyFont="1" applyFill="1" applyBorder="1" applyAlignment="1">
      <alignment/>
    </xf>
    <xf numFmtId="0" fontId="29" fillId="0" borderId="7" xfId="0" applyFont="1" applyFill="1" applyBorder="1" applyAlignment="1">
      <alignment/>
    </xf>
    <xf numFmtId="0" fontId="30" fillId="0" borderId="0" xfId="0" applyFont="1" applyBorder="1" applyAlignment="1">
      <alignment/>
    </xf>
    <xf numFmtId="0" fontId="14" fillId="0" borderId="0" xfId="0" applyFont="1" applyBorder="1" applyAlignment="1">
      <alignment/>
    </xf>
    <xf numFmtId="41" fontId="14" fillId="0" borderId="4" xfId="18" applyFont="1" applyBorder="1" applyAlignment="1">
      <alignment/>
    </xf>
    <xf numFmtId="41" fontId="31" fillId="0" borderId="4" xfId="18" applyFont="1" applyBorder="1" applyAlignment="1">
      <alignment/>
    </xf>
    <xf numFmtId="3" fontId="14" fillId="0" borderId="8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15" fillId="0" borderId="3" xfId="0" applyFont="1" applyFill="1" applyBorder="1" applyAlignment="1">
      <alignment/>
    </xf>
    <xf numFmtId="3" fontId="32" fillId="0" borderId="4" xfId="0" applyNumberFormat="1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/>
    </xf>
    <xf numFmtId="3" fontId="14" fillId="0" borderId="4" xfId="0" applyNumberFormat="1" applyFont="1" applyFill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 horizontal="left"/>
    </xf>
    <xf numFmtId="3" fontId="14" fillId="0" borderId="4" xfId="0" applyNumberFormat="1" applyFont="1" applyFill="1" applyBorder="1" applyAlignment="1">
      <alignment horizontal="center"/>
    </xf>
    <xf numFmtId="0" fontId="33" fillId="0" borderId="0" xfId="15" applyFill="1" applyBorder="1" applyAlignment="1">
      <alignment/>
    </xf>
    <xf numFmtId="0" fontId="33" fillId="0" borderId="4" xfId="15" applyFill="1" applyBorder="1" applyAlignment="1">
      <alignment/>
    </xf>
    <xf numFmtId="0" fontId="33" fillId="0" borderId="10" xfId="15" applyFill="1" applyBorder="1" applyAlignment="1">
      <alignment/>
    </xf>
    <xf numFmtId="0" fontId="33" fillId="0" borderId="10" xfId="15" applyFill="1" applyBorder="1" applyAlignment="1">
      <alignment/>
    </xf>
    <xf numFmtId="0" fontId="33" fillId="0" borderId="2" xfId="15" applyFill="1" applyBorder="1" applyAlignment="1">
      <alignment/>
    </xf>
    <xf numFmtId="0" fontId="33" fillId="0" borderId="0" xfId="15" applyAlignment="1">
      <alignment/>
    </xf>
    <xf numFmtId="0" fontId="33" fillId="2" borderId="1" xfId="15" applyFill="1" applyBorder="1" applyAlignment="1">
      <alignment/>
    </xf>
    <xf numFmtId="0" fontId="33" fillId="2" borderId="10" xfId="15" applyFill="1" applyBorder="1" applyAlignment="1">
      <alignment/>
    </xf>
    <xf numFmtId="0" fontId="33" fillId="2" borderId="2" xfId="15" applyFill="1" applyBorder="1" applyAlignment="1">
      <alignment/>
    </xf>
    <xf numFmtId="0" fontId="33" fillId="0" borderId="0" xfId="15" applyFill="1" applyBorder="1" applyAlignment="1">
      <alignment/>
    </xf>
    <xf numFmtId="0" fontId="33" fillId="0" borderId="0" xfId="15" applyBorder="1" applyAlignment="1">
      <alignment/>
    </xf>
    <xf numFmtId="0" fontId="33" fillId="0" borderId="4" xfId="15" applyBorder="1" applyAlignment="1">
      <alignment/>
    </xf>
    <xf numFmtId="0" fontId="33" fillId="0" borderId="5" xfId="15" applyFill="1" applyBorder="1" applyAlignment="1">
      <alignment/>
    </xf>
    <xf numFmtId="0" fontId="33" fillId="0" borderId="6" xfId="15" applyFill="1" applyBorder="1" applyAlignment="1">
      <alignment/>
    </xf>
    <xf numFmtId="0" fontId="33" fillId="2" borderId="3" xfId="15" applyFill="1" applyBorder="1" applyAlignment="1">
      <alignment/>
    </xf>
    <xf numFmtId="0" fontId="33" fillId="2" borderId="0" xfId="15" applyFill="1" applyBorder="1" applyAlignment="1">
      <alignment/>
    </xf>
    <xf numFmtId="0" fontId="33" fillId="2" borderId="4" xfId="15" applyFill="1" applyBorder="1" applyAlignment="1">
      <alignment/>
    </xf>
    <xf numFmtId="0" fontId="33" fillId="4" borderId="1" xfId="15" applyFill="1" applyBorder="1" applyAlignment="1">
      <alignment/>
    </xf>
    <xf numFmtId="0" fontId="33" fillId="4" borderId="10" xfId="15" applyFill="1" applyBorder="1" applyAlignment="1">
      <alignment/>
    </xf>
    <xf numFmtId="0" fontId="33" fillId="4" borderId="2" xfId="15" applyFill="1" applyBorder="1" applyAlignment="1">
      <alignment/>
    </xf>
    <xf numFmtId="0" fontId="33" fillId="4" borderId="0" xfId="15" applyFill="1" applyBorder="1" applyAlignment="1">
      <alignment/>
    </xf>
    <xf numFmtId="0" fontId="33" fillId="4" borderId="4" xfId="15" applyFill="1" applyBorder="1" applyAlignment="1">
      <alignment/>
    </xf>
    <xf numFmtId="0" fontId="33" fillId="4" borderId="3" xfId="15" applyFill="1" applyBorder="1" applyAlignment="1">
      <alignment/>
    </xf>
    <xf numFmtId="0" fontId="33" fillId="0" borderId="13" xfId="15" applyBorder="1" applyAlignment="1">
      <alignment/>
    </xf>
    <xf numFmtId="0" fontId="33" fillId="0" borderId="15" xfId="15" applyBorder="1" applyAlignment="1">
      <alignment/>
    </xf>
    <xf numFmtId="0" fontId="33" fillId="0" borderId="14" xfId="15" applyBorder="1" applyAlignment="1">
      <alignment/>
    </xf>
    <xf numFmtId="41" fontId="18" fillId="3" borderId="7" xfId="18" applyFont="1" applyFill="1" applyBorder="1" applyAlignment="1">
      <alignment horizontal="center"/>
    </xf>
    <xf numFmtId="41" fontId="0" fillId="0" borderId="6" xfId="18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Istruzione
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225"/>
          <c:w val="0.961"/>
          <c:h val="0.81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ISTRUZIONE!$B$2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ISTRUZIONE!$A$3:$A$9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ISTRUZIONE!$B$3:$B$9</c:f>
              <c:numCache>
                <c:ptCount val="7"/>
                <c:pt idx="0">
                  <c:v>653</c:v>
                </c:pt>
                <c:pt idx="1">
                  <c:v>827</c:v>
                </c:pt>
                <c:pt idx="2">
                  <c:v>1535</c:v>
                </c:pt>
                <c:pt idx="3">
                  <c:v>1740</c:v>
                </c:pt>
                <c:pt idx="4">
                  <c:v>2548</c:v>
                </c:pt>
                <c:pt idx="5">
                  <c:v>2965</c:v>
                </c:pt>
                <c:pt idx="6">
                  <c:v>3610</c:v>
                </c:pt>
              </c:numCache>
            </c:numRef>
          </c:val>
        </c:ser>
        <c:ser>
          <c:idx val="0"/>
          <c:order val="1"/>
          <c:tx>
            <c:strRef>
              <c:f>ISTRUZIONE!$C$2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ISTRUZIONE!$A$3:$A$9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ISTRUZIONE!$C$3:$C$9</c:f>
              <c:numCache>
                <c:ptCount val="7"/>
                <c:pt idx="0">
                  <c:v>1661</c:v>
                </c:pt>
                <c:pt idx="1">
                  <c:v>1551</c:v>
                </c:pt>
                <c:pt idx="2">
                  <c:v>730</c:v>
                </c:pt>
                <c:pt idx="3">
                  <c:v>1143</c:v>
                </c:pt>
                <c:pt idx="4">
                  <c:v>1217</c:v>
                </c:pt>
                <c:pt idx="5">
                  <c:v>1363</c:v>
                </c:pt>
                <c:pt idx="6">
                  <c:v>1256</c:v>
                </c:pt>
              </c:numCache>
            </c:numRef>
          </c:val>
        </c:ser>
        <c:overlap val="100"/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9491"/>
        <c:crosses val="autoZero"/>
        <c:auto val="0"/>
        <c:lblOffset val="100"/>
        <c:noMultiLvlLbl val="0"/>
      </c:catAx>
      <c:valAx>
        <c:axId val="1897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3499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25"/>
          <c:y val="0.8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PERSONALE!$B$10</c:f>
              <c:strCache>
                <c:ptCount val="1"/>
                <c:pt idx="0">
                  <c:v>Indice consumi specifii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PERSONALE!$A$11:$A$17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PERSONALE!$B$11:$B$17</c:f>
              <c:numCache>
                <c:ptCount val="7"/>
                <c:pt idx="0">
                  <c:v>100</c:v>
                </c:pt>
                <c:pt idx="1">
                  <c:v>143.40588988476313</c:v>
                </c:pt>
                <c:pt idx="2">
                  <c:v>158.7708066581306</c:v>
                </c:pt>
                <c:pt idx="3">
                  <c:v>129.0653008962868</c:v>
                </c:pt>
                <c:pt idx="4">
                  <c:v>133.80281690140845</c:v>
                </c:pt>
                <c:pt idx="5">
                  <c:v>136.10755441741358</c:v>
                </c:pt>
                <c:pt idx="6">
                  <c:v>125.86427656850192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PERSONALE!$C$10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PERSONALE!$A$11:$A$17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PERSONALE!$C$11:$C$17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2688780"/>
        <c:axId val="47090157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90157"/>
        <c:crossesAt val="100"/>
        <c:auto val="1"/>
        <c:lblOffset val="100"/>
        <c:noMultiLvlLbl val="0"/>
      </c:catAx>
      <c:valAx>
        <c:axId val="47090157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887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Programmazione, Controlli e Statistica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'P&amp;C'!$B$2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'P&amp;C'!$A$3:$A$9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'P&amp;C'!$B$3:$B$9</c:f>
              <c:numCache>
                <c:ptCount val="7"/>
                <c:pt idx="0">
                  <c:v>71</c:v>
                </c:pt>
                <c:pt idx="1">
                  <c:v>80</c:v>
                </c:pt>
                <c:pt idx="2">
                  <c:v>89</c:v>
                </c:pt>
                <c:pt idx="3">
                  <c:v>116</c:v>
                </c:pt>
                <c:pt idx="4">
                  <c:v>80</c:v>
                </c:pt>
                <c:pt idx="5">
                  <c:v>107</c:v>
                </c:pt>
                <c:pt idx="6">
                  <c:v>58</c:v>
                </c:pt>
              </c:numCache>
            </c:numRef>
          </c:val>
        </c:ser>
        <c:ser>
          <c:idx val="0"/>
          <c:order val="1"/>
          <c:tx>
            <c:strRef>
              <c:f>'P&amp;C'!$C$2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'P&amp;C'!$C$3:$C$9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158230"/>
        <c:axId val="56206343"/>
      </c:bar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206343"/>
        <c:crosses val="autoZero"/>
        <c:auto val="0"/>
        <c:lblOffset val="100"/>
        <c:noMultiLvlLbl val="0"/>
      </c:catAx>
      <c:valAx>
        <c:axId val="56206343"/>
        <c:scaling>
          <c:orientation val="minMax"/>
          <c:max val="120"/>
        </c:scaling>
        <c:axPos val="l"/>
        <c:delete val="0"/>
        <c:numFmt formatCode="General" sourceLinked="1"/>
        <c:majorTickMark val="in"/>
        <c:minorTickMark val="none"/>
        <c:tickLblPos val="nextTo"/>
        <c:crossAx val="21158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'P&amp;C'!$B$10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'P&amp;C'!$B$11:$B$17</c:f>
              <c:numCache>
                <c:ptCount val="7"/>
                <c:pt idx="0">
                  <c:v>100</c:v>
                </c:pt>
                <c:pt idx="1">
                  <c:v>112.67605633802818</c:v>
                </c:pt>
                <c:pt idx="2">
                  <c:v>125.35211267605635</c:v>
                </c:pt>
                <c:pt idx="3">
                  <c:v>163.38028169014086</c:v>
                </c:pt>
                <c:pt idx="4">
                  <c:v>112.67605633802818</c:v>
                </c:pt>
                <c:pt idx="5">
                  <c:v>150.70422535211267</c:v>
                </c:pt>
                <c:pt idx="6">
                  <c:v>81.69014084507043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'P&amp;C'!$C$10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'P&amp;C'!$A$11:$A$17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'P&amp;C'!$C$11:$C$17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19905"/>
        <c:crossesAt val="80"/>
        <c:auto val="1"/>
        <c:lblOffset val="100"/>
        <c:noMultiLvlLbl val="0"/>
      </c:catAx>
      <c:valAx>
        <c:axId val="56419905"/>
        <c:scaling>
          <c:orientation val="minMax"/>
          <c:max val="17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95040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Sistemi informativi e telematici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"/>
          <c:w val="0.97075"/>
          <c:h val="0.65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'SISTEMI INFO'!$B$2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'SISTEMI INFO'!$A$3:$A$9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'SISTEMI INFO'!$B$3:$B$9</c:f>
              <c:numCache>
                <c:ptCount val="7"/>
                <c:pt idx="0">
                  <c:v>7274</c:v>
                </c:pt>
                <c:pt idx="1">
                  <c:v>8829</c:v>
                </c:pt>
                <c:pt idx="2">
                  <c:v>7879</c:v>
                </c:pt>
                <c:pt idx="3">
                  <c:v>9104</c:v>
                </c:pt>
                <c:pt idx="4">
                  <c:v>7903.412395998492</c:v>
                </c:pt>
                <c:pt idx="5">
                  <c:v>7893</c:v>
                </c:pt>
                <c:pt idx="6">
                  <c:v>8031</c:v>
                </c:pt>
              </c:numCache>
            </c:numRef>
          </c:val>
        </c:ser>
        <c:ser>
          <c:idx val="0"/>
          <c:order val="1"/>
          <c:tx>
            <c:strRef>
              <c:f>'SISTEMI INFO'!$C$2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'SISTEMI INFO'!$A$3:$A$9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'SISTEMI INFO'!$C$3:$C$9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8017098"/>
        <c:axId val="6609563"/>
      </c:bar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auto val="0"/>
        <c:lblOffset val="100"/>
        <c:noMultiLvlLbl val="0"/>
      </c:catAx>
      <c:valAx>
        <c:axId val="6609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17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5"/>
          <c:y val="0.82925"/>
          <c:w val="0.81375"/>
          <c:h val="0.1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'SISTEMI INFO'!$B$10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'SISTEMI INFO'!$B$11:$B$17</c:f>
              <c:numCache>
                <c:ptCount val="7"/>
                <c:pt idx="0">
                  <c:v>100</c:v>
                </c:pt>
                <c:pt idx="1">
                  <c:v>121.37750893593622</c:v>
                </c:pt>
                <c:pt idx="2">
                  <c:v>108.31729447346714</c:v>
                </c:pt>
                <c:pt idx="3">
                  <c:v>125.15809733296672</c:v>
                </c:pt>
                <c:pt idx="4">
                  <c:v>108.65290618639665</c:v>
                </c:pt>
                <c:pt idx="5">
                  <c:v>108.50976079186142</c:v>
                </c:pt>
                <c:pt idx="6">
                  <c:v>110.40692878746219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'SISTEMI INFO'!$C$10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'SISTEMI INFO'!$C$11:$C$17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12565"/>
        <c:crossesAt val="100"/>
        <c:auto val="1"/>
        <c:lblOffset val="100"/>
        <c:noMultiLvlLbl val="0"/>
      </c:catAx>
      <c:valAx>
        <c:axId val="6561256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86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Economia, formazione e relazioni internazionali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ECONOMIA!$B$2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ECONOMIA!$A$3:$A$9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ECONOMIA!$B$3:$B$9</c:f>
              <c:numCache>
                <c:ptCount val="7"/>
                <c:pt idx="0">
                  <c:v>936</c:v>
                </c:pt>
                <c:pt idx="1">
                  <c:v>1041</c:v>
                </c:pt>
                <c:pt idx="2">
                  <c:v>1176</c:v>
                </c:pt>
                <c:pt idx="3">
                  <c:v>1663</c:v>
                </c:pt>
                <c:pt idx="4">
                  <c:v>1678</c:v>
                </c:pt>
                <c:pt idx="5">
                  <c:v>2066</c:v>
                </c:pt>
                <c:pt idx="6">
                  <c:v>2427</c:v>
                </c:pt>
              </c:numCache>
            </c:numRef>
          </c:val>
        </c:ser>
        <c:ser>
          <c:idx val="0"/>
          <c:order val="1"/>
          <c:tx>
            <c:strRef>
              <c:f>ECONOMIA!$C$2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ECONOMIA!$A$3:$A$9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ECONOMIA!$C$3:$C$9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3642174"/>
        <c:axId val="13017519"/>
      </c:bar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auto val="0"/>
        <c:lblOffset val="100"/>
        <c:noMultiLvlLbl val="0"/>
      </c:catAx>
      <c:valAx>
        <c:axId val="13017519"/>
        <c:scaling>
          <c:orientation val="minMax"/>
          <c:max val="6000"/>
        </c:scaling>
        <c:axPos val="l"/>
        <c:delete val="0"/>
        <c:numFmt formatCode="General" sourceLinked="1"/>
        <c:majorTickMark val="out"/>
        <c:minorTickMark val="none"/>
        <c:tickLblPos val="nextTo"/>
        <c:crossAx val="53642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ECONOMIA!$B$10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ECONOMIA!$A$11:$A$17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ECONOMIA!$B$11:$B$17</c:f>
              <c:numCache>
                <c:ptCount val="7"/>
                <c:pt idx="0">
                  <c:v>100</c:v>
                </c:pt>
                <c:pt idx="1">
                  <c:v>111.21794871794873</c:v>
                </c:pt>
                <c:pt idx="2">
                  <c:v>125.64102564102564</c:v>
                </c:pt>
                <c:pt idx="3">
                  <c:v>177.67094017094016</c:v>
                </c:pt>
                <c:pt idx="4">
                  <c:v>179.27350427350427</c:v>
                </c:pt>
                <c:pt idx="5">
                  <c:v>220.72649572649573</c:v>
                </c:pt>
                <c:pt idx="6">
                  <c:v>259.2948717948718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ECONOMIA!$C$10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ECONOMIA!$A$11:$A$17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ECONOMIA!$C$11:$C$17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0048808"/>
        <c:axId val="47786089"/>
      </c:line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6089"/>
        <c:crossesAt val="100"/>
        <c:auto val="1"/>
        <c:lblOffset val="100"/>
        <c:noMultiLvlLbl val="0"/>
      </c:catAx>
      <c:valAx>
        <c:axId val="47786089"/>
        <c:scaling>
          <c:orientation val="minMax"/>
          <c:max val="2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48808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Cultura </a:t>
            </a:r>
          </a:p>
        </c:rich>
      </c:tx>
      <c:layout>
        <c:manualLayout>
          <c:xMode val="factor"/>
          <c:yMode val="factor"/>
          <c:x val="0.005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525"/>
          <c:w val="0.94925"/>
          <c:h val="0.79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CULTURA!$B$2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CULTURA!$A$3:$A$9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CULTURA!$B$3:$B$9</c:f>
              <c:numCache>
                <c:ptCount val="7"/>
                <c:pt idx="0">
                  <c:v>7589</c:v>
                </c:pt>
                <c:pt idx="1">
                  <c:v>12740</c:v>
                </c:pt>
                <c:pt idx="2">
                  <c:v>8824</c:v>
                </c:pt>
                <c:pt idx="3">
                  <c:v>10763</c:v>
                </c:pt>
                <c:pt idx="4">
                  <c:v>9711</c:v>
                </c:pt>
                <c:pt idx="5">
                  <c:v>9593</c:v>
                </c:pt>
                <c:pt idx="6">
                  <c:v>10952</c:v>
                </c:pt>
              </c:numCache>
            </c:numRef>
          </c:val>
        </c:ser>
        <c:ser>
          <c:idx val="0"/>
          <c:order val="1"/>
          <c:tx>
            <c:strRef>
              <c:f>CULTURA!$C$2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CULTURA!$A$3:$A$9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CULTURA!$C$3:$C$9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7421618"/>
        <c:axId val="45467971"/>
      </c:bar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67971"/>
        <c:crosses val="autoZero"/>
        <c:auto val="0"/>
        <c:lblOffset val="100"/>
        <c:noMultiLvlLbl val="0"/>
      </c:catAx>
      <c:valAx>
        <c:axId val="45467971"/>
        <c:scaling>
          <c:orientation val="minMax"/>
          <c:max val="1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2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89875"/>
          <c:w val="0.89025"/>
          <c:h val="0.0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CULTURA!$B$10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CULTURA!$B$11:$B$17</c:f>
              <c:numCache>
                <c:ptCount val="7"/>
                <c:pt idx="0">
                  <c:v>100</c:v>
                </c:pt>
                <c:pt idx="1">
                  <c:v>167.87455527737515</c:v>
                </c:pt>
                <c:pt idx="2">
                  <c:v>116.2735538279088</c:v>
                </c:pt>
                <c:pt idx="3">
                  <c:v>141.82369218605876</c:v>
                </c:pt>
                <c:pt idx="4">
                  <c:v>127.96152325734616</c:v>
                </c:pt>
                <c:pt idx="5">
                  <c:v>126.40664119119778</c:v>
                </c:pt>
                <c:pt idx="6">
                  <c:v>144.3141388852286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CULTURA!$C$10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CULTURA!$C$11:$C$17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7005"/>
        <c:crossesAt val="100"/>
        <c:auto val="1"/>
        <c:lblOffset val="100"/>
        <c:noMultiLvlLbl val="0"/>
      </c:catAx>
      <c:valAx>
        <c:axId val="59027005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5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Mobilità urbana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MOBILITA!$B$2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MOBILITA!$A$3:$A$9</c:f>
              <c:strCache/>
            </c:strRef>
          </c:cat>
          <c:val>
            <c:numRef>
              <c:f>MOBILITA!$B$3:$B$9</c:f>
              <c:numCache>
                <c:ptCount val="7"/>
                <c:pt idx="0">
                  <c:v>1120</c:v>
                </c:pt>
                <c:pt idx="1">
                  <c:v>1008</c:v>
                </c:pt>
                <c:pt idx="2">
                  <c:v>1435</c:v>
                </c:pt>
                <c:pt idx="3">
                  <c:v>2248.5</c:v>
                </c:pt>
                <c:pt idx="4">
                  <c:v>1508</c:v>
                </c:pt>
                <c:pt idx="5">
                  <c:v>2596</c:v>
                </c:pt>
                <c:pt idx="6">
                  <c:v>2037</c:v>
                </c:pt>
              </c:numCache>
            </c:numRef>
          </c:val>
        </c:ser>
        <c:ser>
          <c:idx val="0"/>
          <c:order val="1"/>
          <c:tx>
            <c:strRef>
              <c:f>MOBILITA!$C$2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MOBILITA!$A$3:$A$9</c:f>
              <c:strCache/>
            </c:strRef>
          </c:cat>
          <c:val>
            <c:numRef>
              <c:f>MOBILITA!$C$3:$C$9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1480998"/>
        <c:axId val="16458071"/>
      </c:bar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auto val="0"/>
        <c:lblOffset val="100"/>
        <c:noMultiLvlLbl val="0"/>
      </c:catAx>
      <c:valAx>
        <c:axId val="16458071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480998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7525"/>
          <c:w val="0.9517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ISTRUZIONE!$B$13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ISTRUZIONE!$A$14:$A$20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ISTRUZIONE!$B$14:$B$20</c:f>
              <c:numCache>
                <c:ptCount val="7"/>
                <c:pt idx="0">
                  <c:v>100</c:v>
                </c:pt>
                <c:pt idx="1">
                  <c:v>126.64624808575805</c:v>
                </c:pt>
                <c:pt idx="2">
                  <c:v>235.0689127105666</c:v>
                </c:pt>
                <c:pt idx="3">
                  <c:v>266.4624808575804</c:v>
                </c:pt>
                <c:pt idx="4">
                  <c:v>390.1990811638591</c:v>
                </c:pt>
                <c:pt idx="5">
                  <c:v>454.05819295558956</c:v>
                </c:pt>
                <c:pt idx="6">
                  <c:v>552.8330781010719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ISTRUZIONE!$C$13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ISTRUZIONE!$A$14:$A$20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ISTRUZIONE!$C$14:$C$20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43773"/>
        <c:crossesAt val="100"/>
        <c:auto val="1"/>
        <c:lblOffset val="100"/>
        <c:noMultiLvlLbl val="0"/>
      </c:catAx>
      <c:valAx>
        <c:axId val="60943773"/>
        <c:scaling>
          <c:orientation val="minMax"/>
          <c:max val="6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97692"/>
        <c:crossesAt val="1"/>
        <c:crossBetween val="between"/>
        <c:dispUnits/>
        <c:majorUnit val="10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MOBILITA!$B$10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MOBILITA!$B$11:$B$17</c:f>
              <c:numCache>
                <c:ptCount val="7"/>
                <c:pt idx="0">
                  <c:v>100</c:v>
                </c:pt>
                <c:pt idx="1">
                  <c:v>90</c:v>
                </c:pt>
                <c:pt idx="2">
                  <c:v>128.125</c:v>
                </c:pt>
                <c:pt idx="3">
                  <c:v>200.75892857142858</c:v>
                </c:pt>
                <c:pt idx="4">
                  <c:v>134.64285714285717</c:v>
                </c:pt>
                <c:pt idx="5">
                  <c:v>231.7857142857143</c:v>
                </c:pt>
                <c:pt idx="6">
                  <c:v>181.875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MOBILITA!$C$10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MOBILITA!$C$11:$C$17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35345"/>
        <c:crossesAt val="90"/>
        <c:auto val="1"/>
        <c:lblOffset val="100"/>
        <c:noMultiLvlLbl val="0"/>
      </c:catAx>
      <c:valAx>
        <c:axId val="58035345"/>
        <c:scaling>
          <c:orientation val="minMax"/>
          <c:max val="25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04912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Territorio e Riqualificazione urbana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175"/>
          <c:w val="0.95475"/>
          <c:h val="0.80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TERRITORIO!$B$2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TERRITORIO!$A$3:$A$9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TERRITORIO!$B$3:$B$9</c:f>
              <c:numCache>
                <c:ptCount val="7"/>
                <c:pt idx="0">
                  <c:v>3346</c:v>
                </c:pt>
                <c:pt idx="1">
                  <c:v>3227</c:v>
                </c:pt>
                <c:pt idx="2">
                  <c:v>2986</c:v>
                </c:pt>
                <c:pt idx="3">
                  <c:v>2613</c:v>
                </c:pt>
                <c:pt idx="4">
                  <c:v>1847</c:v>
                </c:pt>
                <c:pt idx="5">
                  <c:v>2734</c:v>
                </c:pt>
                <c:pt idx="6">
                  <c:v>2112</c:v>
                </c:pt>
              </c:numCache>
            </c:numRef>
          </c:val>
        </c:ser>
        <c:ser>
          <c:idx val="0"/>
          <c:order val="1"/>
          <c:tx>
            <c:strRef>
              <c:f>TERRITORIO!$C$2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TERRITORIO!$A$3:$A$9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TERRITORIO!$C$3:$C$9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2556058"/>
        <c:axId val="3242475"/>
      </c:bar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2475"/>
        <c:crosses val="autoZero"/>
        <c:auto val="0"/>
        <c:lblOffset val="100"/>
        <c:noMultiLvlLbl val="0"/>
      </c:catAx>
      <c:valAx>
        <c:axId val="324247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56058"/>
        <c:crossesAt val="1"/>
        <c:crossBetween val="between"/>
        <c:dispUnits/>
        <c:majorUnit val="100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8945"/>
          <c:w val="0.77425"/>
          <c:h val="0.08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TERRITORIO!$B$10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TERRITORIO!$B$11:$B$17</c:f>
              <c:numCache>
                <c:ptCount val="7"/>
                <c:pt idx="0">
                  <c:v>100</c:v>
                </c:pt>
                <c:pt idx="1">
                  <c:v>96.44351464435147</c:v>
                </c:pt>
                <c:pt idx="2">
                  <c:v>89.24088463837417</c:v>
                </c:pt>
                <c:pt idx="3">
                  <c:v>78.09324566646742</c:v>
                </c:pt>
                <c:pt idx="4">
                  <c:v>55.20023909145249</c:v>
                </c:pt>
                <c:pt idx="5">
                  <c:v>81.7095038852361</c:v>
                </c:pt>
                <c:pt idx="6">
                  <c:v>63.12014345487149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TERRITORIO!$C$10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TERRITORIO!$A$11:$A$17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TERRITORIO!$C$11:$C$17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13893"/>
        <c:crossesAt val="50"/>
        <c:auto val="1"/>
        <c:lblOffset val="100"/>
        <c:noMultiLvlLbl val="0"/>
      </c:catAx>
      <c:valAx>
        <c:axId val="61313893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8227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Progetto: nuove istituzioni per comunicare con la città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4975"/>
          <c:w val="0.94975"/>
          <c:h val="0.62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PROGXCOMUNICARE!$B$2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PROGXCOMUNICARE!$A$3:$A$9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PROGXCOMUNICARE!$B$3:$B$9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231</c:v>
                </c:pt>
                <c:pt idx="5">
                  <c:v>71</c:v>
                </c:pt>
                <c:pt idx="6">
                  <c:v>269</c:v>
                </c:pt>
              </c:numCache>
            </c:numRef>
          </c:val>
        </c:ser>
        <c:overlap val="100"/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07"/>
        <c:crosses val="autoZero"/>
        <c:auto val="0"/>
        <c:lblOffset val="100"/>
        <c:noMultiLvlLbl val="0"/>
      </c:catAx>
      <c:valAx>
        <c:axId val="369407"/>
        <c:scaling>
          <c:orientation val="minMax"/>
          <c:max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14954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Progetto per l'attuazione programma piazze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675"/>
          <c:w val="0.948"/>
          <c:h val="0.81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'QUALITA URBANA'!$B$2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</c:spPr>
          </c:dPt>
          <c:dPt>
            <c:idx val="1"/>
            <c:invertIfNegative val="0"/>
            <c:spPr>
              <a:solidFill>
                <a:srgbClr val="333300"/>
              </a:solidFill>
            </c:spPr>
          </c:dPt>
          <c:dPt>
            <c:idx val="2"/>
            <c:invertIfNegative val="0"/>
            <c:spPr>
              <a:solidFill>
                <a:srgbClr val="333300"/>
              </a:solidFill>
            </c:spPr>
          </c:dPt>
          <c:dPt>
            <c:idx val="3"/>
            <c:invertIfNegative val="0"/>
            <c:spPr>
              <a:solidFill>
                <a:srgbClr val="3333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'QUALITA URBANA'!$A$3:$A$9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'QUALITA URBANA'!$B$3:$B$9</c:f>
              <c:numCache>
                <c:ptCount val="7"/>
                <c:pt idx="0">
                  <c:v>831</c:v>
                </c:pt>
                <c:pt idx="1">
                  <c:v>330</c:v>
                </c:pt>
                <c:pt idx="2">
                  <c:v>77</c:v>
                </c:pt>
                <c:pt idx="3">
                  <c:v>134</c:v>
                </c:pt>
                <c:pt idx="4">
                  <c:v>38</c:v>
                </c:pt>
                <c:pt idx="5">
                  <c:v>29</c:v>
                </c:pt>
                <c:pt idx="6">
                  <c:v>136</c:v>
                </c:pt>
              </c:numCache>
            </c:numRef>
          </c:val>
        </c:ser>
        <c:ser>
          <c:idx val="0"/>
          <c:order val="1"/>
          <c:tx>
            <c:strRef>
              <c:f>'QUALITA URBANA'!$C$2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'QUALITA URBANA'!$A$3:$A$9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'QUALITA URBANA'!$C$3:$C$9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324664"/>
        <c:axId val="29921977"/>
      </c:bar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21977"/>
        <c:crosses val="autoZero"/>
        <c:auto val="0"/>
        <c:lblOffset val="100"/>
        <c:noMultiLvlLbl val="0"/>
      </c:catAx>
      <c:valAx>
        <c:axId val="29921977"/>
        <c:scaling>
          <c:orientation val="minMax"/>
          <c:max val="9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4664"/>
        <c:crossesAt val="1"/>
        <c:crossBetween val="between"/>
        <c:dispUnits/>
        <c:majorUnit val="300"/>
        <c:min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inflazione/consumi specifici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225"/>
          <c:w val="0.95575"/>
          <c:h val="0.70525"/>
        </c:manualLayout>
      </c:layout>
      <c:lineChart>
        <c:grouping val="standard"/>
        <c:varyColors val="0"/>
        <c:ser>
          <c:idx val="0"/>
          <c:order val="0"/>
          <c:tx>
            <c:strRef>
              <c:f>'QUALITA URBANA'!$B$10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'QUALITA URBANA'!$A$11:$A$17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'QUALITA URBANA'!$B$11:$B$17</c:f>
              <c:numCache>
                <c:ptCount val="7"/>
                <c:pt idx="0">
                  <c:v>100</c:v>
                </c:pt>
                <c:pt idx="1">
                  <c:v>39.71119133574007</c:v>
                </c:pt>
                <c:pt idx="2">
                  <c:v>9.265944645006016</c:v>
                </c:pt>
                <c:pt idx="3">
                  <c:v>16.125150421179303</c:v>
                </c:pt>
                <c:pt idx="4">
                  <c:v>4.57280385078219</c:v>
                </c:pt>
                <c:pt idx="5">
                  <c:v>3.489771359807461</c:v>
                </c:pt>
                <c:pt idx="6">
                  <c:v>16.365824308062578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'QUALITA URBANA'!$C$10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'QUALITA URBANA'!$A$11:$A$17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'QUALITA URBANA'!$C$11:$C$17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1043"/>
        <c:crossesAt val="0"/>
        <c:auto val="1"/>
        <c:lblOffset val="100"/>
        <c:noMultiLvlLbl val="0"/>
      </c:catAx>
      <c:valAx>
        <c:axId val="7761043"/>
        <c:scaling>
          <c:orientation val="minMax"/>
          <c:max val="1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338"/>
        <c:crossesAt val="1"/>
        <c:crossBetween val="between"/>
        <c:dispUnits/>
        <c:majorUnit val="10"/>
        <c:minorUnit val="5.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Sicurezza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"/>
          <c:w val="0.94875"/>
          <c:h val="0.77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SICUREZZA!$B$2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3"/>
            <c:invertIfNegative val="0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SICUREZZA!$A$3:$A$9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SICUREZZA!$B$3:$B$9</c:f>
              <c:numCache>
                <c:ptCount val="7"/>
                <c:pt idx="0">
                  <c:v>688</c:v>
                </c:pt>
                <c:pt idx="1">
                  <c:v>510</c:v>
                </c:pt>
                <c:pt idx="2">
                  <c:v>774</c:v>
                </c:pt>
                <c:pt idx="3">
                  <c:v>524</c:v>
                </c:pt>
                <c:pt idx="4">
                  <c:v>917.7110423649594</c:v>
                </c:pt>
                <c:pt idx="5">
                  <c:v>1426</c:v>
                </c:pt>
                <c:pt idx="6">
                  <c:v>1384</c:v>
                </c:pt>
              </c:numCache>
            </c:numRef>
          </c:val>
        </c:ser>
        <c:ser>
          <c:idx val="0"/>
          <c:order val="1"/>
          <c:tx>
            <c:strRef>
              <c:f>SICUREZZA!$C$2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SICUREZZA!$A$3:$A$9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SICUREZZA!$C$3:$C$9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740524"/>
        <c:axId val="24664717"/>
      </c:bar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64717"/>
        <c:crosses val="autoZero"/>
        <c:auto val="0"/>
        <c:lblOffset val="100"/>
        <c:noMultiLvlLbl val="0"/>
      </c:catAx>
      <c:valAx>
        <c:axId val="24664717"/>
        <c:scaling>
          <c:orientation val="minMax"/>
          <c:max val="1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0524"/>
        <c:crossesAt val="1"/>
        <c:crossBetween val="between"/>
        <c:dispUnits/>
        <c:majorUnit val="20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25"/>
          <c:y val="0.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inflazione/consumi specifici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SICUREZZA!$B$10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SICUREZZA!$A$11:$A$17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SICUREZZA!$B$11:$B$17</c:f>
              <c:numCache>
                <c:ptCount val="7"/>
                <c:pt idx="0">
                  <c:v>100</c:v>
                </c:pt>
                <c:pt idx="1">
                  <c:v>74.12790697674419</c:v>
                </c:pt>
                <c:pt idx="2">
                  <c:v>112.5</c:v>
                </c:pt>
                <c:pt idx="3">
                  <c:v>76.16279069767442</c:v>
                </c:pt>
                <c:pt idx="4">
                  <c:v>133.38823290188364</c:v>
                </c:pt>
                <c:pt idx="5">
                  <c:v>207.2674418604651</c:v>
                </c:pt>
                <c:pt idx="6">
                  <c:v>201.1627906976744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SICUREZZA!$C$10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SICUREZZA!$A$11:$A$17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SICUREZZA!$C$11:$C$17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5031"/>
        <c:crossesAt val="70"/>
        <c:auto val="1"/>
        <c:lblOffset val="100"/>
        <c:noMultiLvlLbl val="0"/>
      </c:catAx>
      <c:valAx>
        <c:axId val="51685031"/>
        <c:scaling>
          <c:orientation val="minMax"/>
          <c:max val="21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5586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Salute e Qualità della vita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SALUTE!$B$2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SALUTE!$A$3:$A$9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SALUTE!$B$3:$B$9</c:f>
              <c:numCache>
                <c:ptCount val="7"/>
                <c:pt idx="0">
                  <c:v>2550</c:v>
                </c:pt>
                <c:pt idx="1">
                  <c:v>2378</c:v>
                </c:pt>
                <c:pt idx="2">
                  <c:v>2467</c:v>
                </c:pt>
                <c:pt idx="3">
                  <c:v>2865</c:v>
                </c:pt>
                <c:pt idx="4">
                  <c:v>3710.2986463664674</c:v>
                </c:pt>
                <c:pt idx="5">
                  <c:v>3386</c:v>
                </c:pt>
                <c:pt idx="6">
                  <c:v>3021</c:v>
                </c:pt>
              </c:numCache>
            </c:numRef>
          </c:val>
        </c:ser>
        <c:ser>
          <c:idx val="0"/>
          <c:order val="1"/>
          <c:tx>
            <c:strRef>
              <c:f>SALUTE!$C$2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SALUTE!$A$3:$A$9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SALUTE!$C$3:$C$9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2512096"/>
        <c:axId val="25737953"/>
      </c:bar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37953"/>
        <c:crosses val="autoZero"/>
        <c:auto val="0"/>
        <c:lblOffset val="100"/>
        <c:noMultiLvlLbl val="0"/>
      </c:catAx>
      <c:valAx>
        <c:axId val="2573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1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inflazione/consumi specifici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SALUTE!$B$10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SALUTE!$A$11:$A$17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SALUTE!$B$11:$B$17</c:f>
              <c:numCache>
                <c:ptCount val="7"/>
                <c:pt idx="0">
                  <c:v>100</c:v>
                </c:pt>
                <c:pt idx="1">
                  <c:v>93.25490196078431</c:v>
                </c:pt>
                <c:pt idx="2">
                  <c:v>96.74509803921568</c:v>
                </c:pt>
                <c:pt idx="3">
                  <c:v>112.3529411764706</c:v>
                </c:pt>
                <c:pt idx="4">
                  <c:v>145.50190770064577</c:v>
                </c:pt>
                <c:pt idx="5">
                  <c:v>132.7843137254902</c:v>
                </c:pt>
                <c:pt idx="6">
                  <c:v>118.47058823529413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SALUTE!$C$10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SALUTE!$A$11:$A$17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SALUTE!$C$11:$C$17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9419"/>
        <c:crossesAt val="90"/>
        <c:auto val="1"/>
        <c:lblOffset val="100"/>
        <c:noMultiLvlLbl val="0"/>
      </c:catAx>
      <c:valAx>
        <c:axId val="4399419"/>
        <c:scaling>
          <c:orientation val="minMax"/>
          <c:max val="15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498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Sport e giovani 
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1375"/>
          <c:y val="0.1755"/>
          <c:w val="0.95575"/>
          <c:h val="0.6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'SPORT E GIOVANI'!$B$2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 E GIOVANI'!$A$3:$A$9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'SPORT E GIOVANI'!$B$3:$B$9</c:f>
              <c:numCache>
                <c:ptCount val="7"/>
                <c:pt idx="0">
                  <c:v>4115</c:v>
                </c:pt>
                <c:pt idx="1">
                  <c:v>4146</c:v>
                </c:pt>
                <c:pt idx="2">
                  <c:v>4324</c:v>
                </c:pt>
                <c:pt idx="3">
                  <c:v>4083</c:v>
                </c:pt>
                <c:pt idx="4">
                  <c:v>4114</c:v>
                </c:pt>
                <c:pt idx="5">
                  <c:v>4346</c:v>
                </c:pt>
                <c:pt idx="6">
                  <c:v>3898</c:v>
                </c:pt>
              </c:numCache>
            </c:numRef>
          </c:val>
        </c:ser>
        <c:ser>
          <c:idx val="0"/>
          <c:order val="1"/>
          <c:tx>
            <c:strRef>
              <c:f>'SPORT E GIOVANI'!$C$2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 E GIOVANI'!$A$3:$A$9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'SPORT E GIOVANI'!$C$3:$C$9</c:f>
              <c:numCache>
                <c:ptCount val="7"/>
                <c:pt idx="0">
                  <c:v>6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13</c:v>
                </c:pt>
                <c:pt idx="5">
                  <c:v>101</c:v>
                </c:pt>
                <c:pt idx="6">
                  <c:v>86</c:v>
                </c:pt>
              </c:numCache>
            </c:numRef>
          </c:val>
        </c:ser>
        <c:overlap val="100"/>
        <c:axId val="11623046"/>
        <c:axId val="37498551"/>
      </c:bar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At val="0"/>
        <c:auto val="0"/>
        <c:lblOffset val="100"/>
        <c:noMultiLvlLbl val="0"/>
      </c:catAx>
      <c:valAx>
        <c:axId val="37498551"/>
        <c:scaling>
          <c:orientation val="minMax"/>
          <c:max val="4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At val="1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5825"/>
          <c:y val="0.8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Servizi sociali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'SERVIZI SOCIALI'!$B$2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'SERVIZI SOCIALI'!$A$3:$A$9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'SERVIZI SOCIALI'!$B$3:$B$9</c:f>
              <c:numCache>
                <c:ptCount val="7"/>
                <c:pt idx="0">
                  <c:v>10756</c:v>
                </c:pt>
                <c:pt idx="1">
                  <c:v>12070</c:v>
                </c:pt>
                <c:pt idx="2">
                  <c:v>14198</c:v>
                </c:pt>
                <c:pt idx="3">
                  <c:v>15830</c:v>
                </c:pt>
                <c:pt idx="4">
                  <c:v>16993</c:v>
                </c:pt>
                <c:pt idx="5">
                  <c:v>13955</c:v>
                </c:pt>
                <c:pt idx="6">
                  <c:v>15038</c:v>
                </c:pt>
              </c:numCache>
            </c:numRef>
          </c:val>
        </c:ser>
        <c:ser>
          <c:idx val="0"/>
          <c:order val="1"/>
          <c:tx>
            <c:strRef>
              <c:f>'SERVIZI SOCIALI'!$C$2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'SERVIZI SOCIALI'!$A$3:$A$9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'SERVIZI SOCIALI'!$C$3:$C$9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9594772"/>
        <c:axId val="20808629"/>
      </c:bar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08629"/>
        <c:crosses val="autoZero"/>
        <c:auto val="0"/>
        <c:lblOffset val="100"/>
        <c:noMultiLvlLbl val="0"/>
      </c:catAx>
      <c:valAx>
        <c:axId val="208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94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inflazione/consumi specifici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'SERVIZI SOCIALI'!$B$10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SOCIALI'!$A$11:$A$17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'SERVIZI SOCIALI'!$B$11:$B$17</c:f>
              <c:numCache>
                <c:ptCount val="7"/>
                <c:pt idx="0">
                  <c:v>100</c:v>
                </c:pt>
                <c:pt idx="1">
                  <c:v>112.2164373373001</c:v>
                </c:pt>
                <c:pt idx="2">
                  <c:v>132.00074377091855</c:v>
                </c:pt>
                <c:pt idx="3">
                  <c:v>147.1736705094831</c:v>
                </c:pt>
                <c:pt idx="4">
                  <c:v>157.9862402380067</c:v>
                </c:pt>
                <c:pt idx="5">
                  <c:v>129.74153960580142</c:v>
                </c:pt>
                <c:pt idx="6">
                  <c:v>139.81033841576794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'SERVIZI SOCIALI'!$C$10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'SERVIZI SOCIALI'!$A$11:$A$17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'SERVIZI SOCIALI'!$C$11:$C$17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3059934"/>
        <c:axId val="7777359"/>
      </c:line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7359"/>
        <c:crossesAt val="100"/>
        <c:auto val="1"/>
        <c:lblOffset val="100"/>
        <c:noMultiLvlLbl val="0"/>
      </c:catAx>
      <c:valAx>
        <c:axId val="7777359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9934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Gabinetto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GABINETTO!$B$2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GABINETTO!$A$3:$A$9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GABINETTO!$B$3:$B$9</c:f>
              <c:numCache>
                <c:ptCount val="7"/>
                <c:pt idx="0">
                  <c:v>1157</c:v>
                </c:pt>
                <c:pt idx="1">
                  <c:v>1378</c:v>
                </c:pt>
                <c:pt idx="2">
                  <c:v>1251</c:v>
                </c:pt>
                <c:pt idx="3">
                  <c:v>1170</c:v>
                </c:pt>
                <c:pt idx="4">
                  <c:v>1747</c:v>
                </c:pt>
                <c:pt idx="5">
                  <c:v>2277</c:v>
                </c:pt>
                <c:pt idx="6">
                  <c:v>2970</c:v>
                </c:pt>
              </c:numCache>
            </c:numRef>
          </c:val>
        </c:ser>
        <c:ser>
          <c:idx val="0"/>
          <c:order val="1"/>
          <c:tx>
            <c:strRef>
              <c:f>GABINETTO!$C$2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GABINETTO!$A$3:$A$9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GABINETTO!$C$3:$C$9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887368"/>
        <c:axId val="25986313"/>
      </c:barChart>
      <c:cat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86313"/>
        <c:crosses val="autoZero"/>
        <c:auto val="0"/>
        <c:lblOffset val="100"/>
        <c:noMultiLvlLbl val="0"/>
      </c:catAx>
      <c:valAx>
        <c:axId val="25986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7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GABINETTO!$B$10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GABINETTO!$B$11:$B$17</c:f>
              <c:numCache>
                <c:ptCount val="7"/>
                <c:pt idx="0">
                  <c:v>100</c:v>
                </c:pt>
                <c:pt idx="1">
                  <c:v>119.10112359550563</c:v>
                </c:pt>
                <c:pt idx="2">
                  <c:v>108.12445980985305</c:v>
                </c:pt>
                <c:pt idx="3">
                  <c:v>101.12359550561798</c:v>
                </c:pt>
                <c:pt idx="4">
                  <c:v>150.99394987035438</c:v>
                </c:pt>
                <c:pt idx="5">
                  <c:v>196.8020743301642</c:v>
                </c:pt>
                <c:pt idx="6">
                  <c:v>256.6983578219533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GABINETTO!$C$10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GABINETTO!$C$11:$C$17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2550226"/>
        <c:axId val="24516579"/>
      </c:line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6579"/>
        <c:crossesAt val="100"/>
        <c:auto val="1"/>
        <c:lblOffset val="100"/>
        <c:noMultiLvlLbl val="0"/>
      </c:catAx>
      <c:valAx>
        <c:axId val="24516579"/>
        <c:scaling>
          <c:orientation val="minMax"/>
          <c:max val="275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0226"/>
        <c:crossesAt val="1"/>
        <c:crossBetween val="between"/>
        <c:dispUnits/>
        <c:majorUnit val="5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Segreteria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45"/>
          <c:w val="0.94875"/>
          <c:h val="0.6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'SEGR.GEN'!$B$2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'SEGR.GEN'!$A$3:$A$9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'SEGR.GEN'!$B$3:$B$9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874</c:v>
                </c:pt>
                <c:pt idx="5">
                  <c:v>810</c:v>
                </c:pt>
                <c:pt idx="6">
                  <c:v>916</c:v>
                </c:pt>
              </c:numCache>
            </c:numRef>
          </c:val>
        </c:ser>
        <c:ser>
          <c:idx val="0"/>
          <c:order val="1"/>
          <c:tx>
            <c:strRef>
              <c:f>'SEGR.GEN'!$C$2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'SEGR.GEN'!$A$3:$A$9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'SEGR.GEN'!$C$3:$C$9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322620"/>
        <c:axId val="39685853"/>
      </c:bar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85853"/>
        <c:crosses val="autoZero"/>
        <c:auto val="0"/>
        <c:lblOffset val="100"/>
        <c:noMultiLvlLbl val="0"/>
      </c:catAx>
      <c:valAx>
        <c:axId val="39685853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932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Polizia municipale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85"/>
          <c:w val="0.9245"/>
          <c:h val="0.8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PM!$B$2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PM!$A$3:$A$9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PM!$B$3:$B$9</c:f>
              <c:numCache>
                <c:ptCount val="7"/>
                <c:pt idx="0">
                  <c:v>1757</c:v>
                </c:pt>
                <c:pt idx="1">
                  <c:v>2208</c:v>
                </c:pt>
                <c:pt idx="2">
                  <c:v>2376</c:v>
                </c:pt>
                <c:pt idx="3">
                  <c:v>3220</c:v>
                </c:pt>
                <c:pt idx="4">
                  <c:v>2986</c:v>
                </c:pt>
                <c:pt idx="5">
                  <c:v>2237</c:v>
                </c:pt>
                <c:pt idx="6">
                  <c:v>3430</c:v>
                </c:pt>
              </c:numCache>
            </c:numRef>
          </c:val>
        </c:ser>
        <c:ser>
          <c:idx val="0"/>
          <c:order val="1"/>
          <c:tx>
            <c:strRef>
              <c:f>PM!$C$2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PM!$A$3:$A$9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PM!$C$3:$C$9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1628358"/>
        <c:axId val="60437495"/>
      </c:bar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37495"/>
        <c:crosses val="autoZero"/>
        <c:auto val="0"/>
        <c:lblOffset val="100"/>
        <c:noMultiLvlLbl val="0"/>
      </c:catAx>
      <c:valAx>
        <c:axId val="6043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835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PM!$B$10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PM!$B$11:$B$17</c:f>
              <c:numCache>
                <c:ptCount val="7"/>
                <c:pt idx="0">
                  <c:v>100</c:v>
                </c:pt>
                <c:pt idx="1">
                  <c:v>125.66875355719978</c:v>
                </c:pt>
                <c:pt idx="2">
                  <c:v>135.23050654524758</c:v>
                </c:pt>
                <c:pt idx="3">
                  <c:v>183.26693227091633</c:v>
                </c:pt>
                <c:pt idx="4">
                  <c:v>169.9487763232783</c:v>
                </c:pt>
                <c:pt idx="5">
                  <c:v>127.31929425156517</c:v>
                </c:pt>
                <c:pt idx="6">
                  <c:v>195.21912350597609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PM!$C$10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PM!$C$11:$C$17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8897"/>
        <c:crossesAt val="100"/>
        <c:auto val="1"/>
        <c:lblOffset val="100"/>
        <c:noMultiLvlLbl val="0"/>
      </c:catAx>
      <c:valAx>
        <c:axId val="63598897"/>
        <c:scaling>
          <c:orientation val="minMax"/>
          <c:max val="2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654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del Consiglio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'STAFF CONS'!$B$2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'STAFF CONS'!$A$3:$A$8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'STAFF CONS'!$B$3:$B$8</c:f>
              <c:numCache>
                <c:ptCount val="6"/>
                <c:pt idx="0">
                  <c:v>303</c:v>
                </c:pt>
                <c:pt idx="1">
                  <c:v>334</c:v>
                </c:pt>
                <c:pt idx="2">
                  <c:v>315</c:v>
                </c:pt>
                <c:pt idx="3">
                  <c:v>361</c:v>
                </c:pt>
                <c:pt idx="4">
                  <c:v>339</c:v>
                </c:pt>
                <c:pt idx="5">
                  <c:v>265</c:v>
                </c:pt>
              </c:numCache>
            </c:numRef>
          </c:val>
        </c:ser>
        <c:ser>
          <c:idx val="0"/>
          <c:order val="1"/>
          <c:tx>
            <c:strRef>
              <c:f>'STAFF CONS'!$C$2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CONS'!$A$3:$A$8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'STAFF CONS'!$C$3:$C$8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5519162"/>
        <c:axId val="51237003"/>
      </c:bar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237003"/>
        <c:crosses val="autoZero"/>
        <c:auto val="0"/>
        <c:lblOffset val="100"/>
        <c:noMultiLvlLbl val="0"/>
      </c:catAx>
      <c:valAx>
        <c:axId val="512370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51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'STAFF CONS'!$B$10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CONS'!$A$11:$A$17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'STAFF CONS'!$B$11:$B$17</c:f>
              <c:numCache>
                <c:ptCount val="7"/>
                <c:pt idx="0">
                  <c:v>100</c:v>
                </c:pt>
                <c:pt idx="1">
                  <c:v>110.23102310231023</c:v>
                </c:pt>
                <c:pt idx="2">
                  <c:v>103.96039603960396</c:v>
                </c:pt>
                <c:pt idx="3">
                  <c:v>119.14191419141915</c:v>
                </c:pt>
                <c:pt idx="4">
                  <c:v>111.88118811881189</c:v>
                </c:pt>
                <c:pt idx="5">
                  <c:v>87.45874587458746</c:v>
                </c:pt>
                <c:pt idx="6">
                  <c:v>82.50825082508251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'STAFF CONS'!$C$10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CONS'!$A$11:$A$17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'STAFF CONS'!$C$11:$C$17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6549"/>
        <c:crossesAt val="80"/>
        <c:auto val="1"/>
        <c:lblOffset val="100"/>
        <c:noMultiLvlLbl val="0"/>
      </c:catAx>
      <c:valAx>
        <c:axId val="56556549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Protezione civile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'PROT CIV'!$B$2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'PROT CIV'!$A$3:$A$9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'PROT CIV'!$B$3:$B$9</c:f>
              <c:numCache>
                <c:ptCount val="7"/>
                <c:pt idx="0">
                  <c:v>98</c:v>
                </c:pt>
                <c:pt idx="1">
                  <c:v>98</c:v>
                </c:pt>
                <c:pt idx="2">
                  <c:v>160</c:v>
                </c:pt>
                <c:pt idx="3">
                  <c:v>124</c:v>
                </c:pt>
                <c:pt idx="4">
                  <c:v>115</c:v>
                </c:pt>
                <c:pt idx="5">
                  <c:v>92</c:v>
                </c:pt>
                <c:pt idx="6">
                  <c:v>87</c:v>
                </c:pt>
              </c:numCache>
            </c:numRef>
          </c:val>
        </c:ser>
        <c:ser>
          <c:idx val="0"/>
          <c:order val="1"/>
          <c:tx>
            <c:strRef>
              <c:f>'PROT CIV'!$C$2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'PROT CIV'!$A$3:$A$9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'PROT CIV'!$C$3:$C$9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9246894"/>
        <c:axId val="17677727"/>
      </c:bar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77727"/>
        <c:crosses val="autoZero"/>
        <c:auto val="0"/>
        <c:lblOffset val="100"/>
        <c:noMultiLvlLbl val="0"/>
      </c:catAx>
      <c:valAx>
        <c:axId val="1767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46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'SPORT E GIOVANI'!$B$13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'SPORT E GIOVANI'!$A$14:$A$20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'SPORT E GIOVANI'!$B$14:$B$20</c:f>
              <c:numCache>
                <c:ptCount val="7"/>
                <c:pt idx="0">
                  <c:v>100</c:v>
                </c:pt>
                <c:pt idx="1">
                  <c:v>100.75334143377886</c:v>
                </c:pt>
                <c:pt idx="2">
                  <c:v>105.07897934386392</c:v>
                </c:pt>
                <c:pt idx="3">
                  <c:v>99.22235722964763</c:v>
                </c:pt>
                <c:pt idx="4">
                  <c:v>99.9756986634265</c:v>
                </c:pt>
                <c:pt idx="5">
                  <c:v>105.61360874848116</c:v>
                </c:pt>
                <c:pt idx="6">
                  <c:v>94.72660996354799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'SPORT E GIOVANI'!$C$13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'SPORT E GIOVANI'!$A$14:$A$20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'SPORT E GIOVANI'!$C$14:$C$20</c:f>
              <c:numCache>
                <c:ptCount val="7"/>
                <c:pt idx="0">
                  <c:v>100</c:v>
                </c:pt>
                <c:pt idx="1">
                  <c:v>102.2</c:v>
                </c:pt>
                <c:pt idx="2">
                  <c:v>104</c:v>
                </c:pt>
                <c:pt idx="3">
                  <c:v>106.5</c:v>
                </c:pt>
                <c:pt idx="4">
                  <c:v>109.3</c:v>
                </c:pt>
                <c:pt idx="5">
                  <c:v>112</c:v>
                </c:pt>
                <c:pt idx="6">
                  <c:v>114.2</c:v>
                </c:pt>
              </c:numCache>
            </c:numRef>
          </c:val>
          <c:smooth val="0"/>
        </c:ser>
        <c:marker val="1"/>
        <c:axId val="1942640"/>
        <c:axId val="17483761"/>
      </c:line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3761"/>
        <c:crossesAt val="90"/>
        <c:auto val="1"/>
        <c:lblOffset val="100"/>
        <c:noMultiLvlLbl val="0"/>
      </c:catAx>
      <c:valAx>
        <c:axId val="17483761"/>
        <c:scaling>
          <c:orientation val="minMax"/>
          <c:max val="115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2640"/>
        <c:crossesAt val="1"/>
        <c:crossBetween val="between"/>
        <c:dispUnits/>
        <c:majorUnit val="3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'PROT CIV'!$B$10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'PROT CIV'!$A$11:$A$17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'PROT CIV'!$B$11:$B$17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163.26530612244898</c:v>
                </c:pt>
                <c:pt idx="3">
                  <c:v>126.53061224489797</c:v>
                </c:pt>
                <c:pt idx="4">
                  <c:v>117.34693877551021</c:v>
                </c:pt>
                <c:pt idx="5">
                  <c:v>93.87755102040816</c:v>
                </c:pt>
                <c:pt idx="6">
                  <c:v>88.77551020408163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'PROT CIV'!$C$10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'PROT CIV'!$A$11:$A$17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'PROT CIV'!$C$11:$C$17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09753"/>
        <c:crossesAt val="80"/>
        <c:auto val="1"/>
        <c:lblOffset val="100"/>
        <c:noMultiLvlLbl val="0"/>
      </c:catAx>
      <c:valAx>
        <c:axId val="22609753"/>
        <c:scaling>
          <c:orientation val="minMax"/>
          <c:max val="17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81816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Legale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LEGALE!$B$2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LEGALE!$A$3:$A$9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LEGALE!$B$3:$B$9</c:f>
              <c:numCache>
                <c:ptCount val="7"/>
                <c:pt idx="0">
                  <c:v>187</c:v>
                </c:pt>
                <c:pt idx="1">
                  <c:v>278</c:v>
                </c:pt>
                <c:pt idx="2">
                  <c:v>315</c:v>
                </c:pt>
                <c:pt idx="3">
                  <c:v>227</c:v>
                </c:pt>
                <c:pt idx="4">
                  <c:v>239</c:v>
                </c:pt>
                <c:pt idx="5">
                  <c:v>280</c:v>
                </c:pt>
                <c:pt idx="6">
                  <c:v>265</c:v>
                </c:pt>
              </c:numCache>
            </c:numRef>
          </c:val>
        </c:ser>
        <c:ser>
          <c:idx val="0"/>
          <c:order val="1"/>
          <c:tx>
            <c:strRef>
              <c:f>LEGALE!$C$2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LEGALE!$C$3:$C$9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61186"/>
        <c:axId val="19450675"/>
      </c:barChart>
      <c:catAx>
        <c:axId val="216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50675"/>
        <c:crosses val="autoZero"/>
        <c:auto val="0"/>
        <c:lblOffset val="100"/>
        <c:noMultiLvlLbl val="0"/>
      </c:catAx>
      <c:valAx>
        <c:axId val="19450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LEGALE!$B$10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LEGALE!$B$11:$B$17</c:f>
              <c:numCache>
                <c:ptCount val="7"/>
                <c:pt idx="0">
                  <c:v>100</c:v>
                </c:pt>
                <c:pt idx="1">
                  <c:v>148.66310160427807</c:v>
                </c:pt>
                <c:pt idx="2">
                  <c:v>168.44919786096258</c:v>
                </c:pt>
                <c:pt idx="3">
                  <c:v>121.3903743315508</c:v>
                </c:pt>
                <c:pt idx="4">
                  <c:v>127.80748663101605</c:v>
                </c:pt>
                <c:pt idx="5">
                  <c:v>149.7326203208556</c:v>
                </c:pt>
                <c:pt idx="6">
                  <c:v>141.71122994652404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LEGALE!$C$10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LEGALE!$A$11:$A$17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LEGALE!$C$11:$C$17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0813"/>
        <c:crossesAt val="100"/>
        <c:auto val="1"/>
        <c:lblOffset val="100"/>
        <c:noMultiLvlLbl val="0"/>
      </c:catAx>
      <c:valAx>
        <c:axId val="32000813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8348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0275"/>
          <c:w val="0.94875"/>
          <c:h val="0.86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FINANZA!$B$2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FINANZA!$A$3:$A$9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FINANZA!$B$3:$B$9</c:f>
              <c:numCache>
                <c:ptCount val="7"/>
                <c:pt idx="0">
                  <c:v>760</c:v>
                </c:pt>
                <c:pt idx="1">
                  <c:v>903</c:v>
                </c:pt>
                <c:pt idx="2">
                  <c:v>934</c:v>
                </c:pt>
                <c:pt idx="3">
                  <c:v>1116</c:v>
                </c:pt>
                <c:pt idx="4">
                  <c:v>1473</c:v>
                </c:pt>
                <c:pt idx="5">
                  <c:v>2096</c:v>
                </c:pt>
                <c:pt idx="6">
                  <c:v>3350</c:v>
                </c:pt>
              </c:numCache>
            </c:numRef>
          </c:val>
        </c:ser>
        <c:ser>
          <c:idx val="0"/>
          <c:order val="1"/>
          <c:tx>
            <c:strRef>
              <c:f>FINANZA!$C$2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FINANZA!$A$3:$A$9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FINANZA!$C$3:$C$9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571862"/>
        <c:axId val="41929031"/>
      </c:bar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29031"/>
        <c:crosses val="autoZero"/>
        <c:auto val="0"/>
        <c:lblOffset val="100"/>
        <c:noMultiLvlLbl val="0"/>
      </c:catAx>
      <c:valAx>
        <c:axId val="419290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71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FINANZA!$B$10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FINANZA!$A$11:$A$17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FINANZA!$B$11:$B$17</c:f>
              <c:numCache>
                <c:ptCount val="7"/>
                <c:pt idx="0">
                  <c:v>100</c:v>
                </c:pt>
                <c:pt idx="1">
                  <c:v>118.8157894736842</c:v>
                </c:pt>
                <c:pt idx="2">
                  <c:v>122.89473684210526</c:v>
                </c:pt>
                <c:pt idx="3">
                  <c:v>146.8421052631579</c:v>
                </c:pt>
                <c:pt idx="4">
                  <c:v>193.81578947368422</c:v>
                </c:pt>
                <c:pt idx="5">
                  <c:v>275.7894736842105</c:v>
                </c:pt>
                <c:pt idx="6">
                  <c:v>440.7894736842105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FINANZA!$C$10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FINANZA!$A$11:$A$17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FINANZA!$C$11:$C$17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08321"/>
        <c:crossesAt val="100"/>
        <c:auto val="1"/>
        <c:lblOffset val="100"/>
        <c:noMultiLvlLbl val="0"/>
      </c:catAx>
      <c:valAx>
        <c:axId val="40808321"/>
        <c:scaling>
          <c:orientation val="minMax"/>
          <c:max val="5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16960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Gestione Patrimonio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PATRIMONIO!$B$2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PATRIMONIO!$A$3:$A$9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PATRIMONIO!$B$3:$B$9</c:f>
              <c:numCache>
                <c:ptCount val="7"/>
                <c:pt idx="0">
                  <c:v>143</c:v>
                </c:pt>
                <c:pt idx="1">
                  <c:v>173</c:v>
                </c:pt>
                <c:pt idx="2">
                  <c:v>172</c:v>
                </c:pt>
                <c:pt idx="3">
                  <c:v>172</c:v>
                </c:pt>
                <c:pt idx="4">
                  <c:v>131</c:v>
                </c:pt>
                <c:pt idx="5">
                  <c:v>189</c:v>
                </c:pt>
                <c:pt idx="6">
                  <c:v>240</c:v>
                </c:pt>
              </c:numCache>
            </c:numRef>
          </c:val>
        </c:ser>
        <c:ser>
          <c:idx val="0"/>
          <c:order val="1"/>
          <c:tx>
            <c:strRef>
              <c:f>PATRIMONIO!$C$2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PATRIMONIO!$C$3:$C$9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1730570"/>
        <c:axId val="17139675"/>
      </c:bar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39675"/>
        <c:crosses val="autoZero"/>
        <c:auto val="0"/>
        <c:lblOffset val="100"/>
        <c:noMultiLvlLbl val="0"/>
      </c:catAx>
      <c:valAx>
        <c:axId val="17139675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1730570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PATRIMONIO!$B$10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PATRIMONIO!$B$11:$B$17</c:f>
              <c:numCache>
                <c:ptCount val="7"/>
                <c:pt idx="0">
                  <c:v>100</c:v>
                </c:pt>
                <c:pt idx="1">
                  <c:v>120.97902097902097</c:v>
                </c:pt>
                <c:pt idx="2">
                  <c:v>120.27972027972027</c:v>
                </c:pt>
                <c:pt idx="3">
                  <c:v>120.27972027972027</c:v>
                </c:pt>
                <c:pt idx="4">
                  <c:v>91.6083916083916</c:v>
                </c:pt>
                <c:pt idx="5">
                  <c:v>132.16783216783216</c:v>
                </c:pt>
                <c:pt idx="6">
                  <c:v>167.83216783216784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PATRIMONIO!$C$10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PATRIMONIO!$C$11:$C$17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0039348"/>
        <c:axId val="46136405"/>
      </c:line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36405"/>
        <c:crossesAt val="90"/>
        <c:auto val="1"/>
        <c:lblOffset val="100"/>
        <c:noMultiLvlLbl val="0"/>
      </c:catAx>
      <c:valAx>
        <c:axId val="46136405"/>
        <c:scaling>
          <c:orientation val="minMax"/>
          <c:max val="17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39348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Sportello dei cittadini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'SPORTELLO CIT'!$B$2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1.108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'SPORTELLO CIT'!$A$3:$A$9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'SPORTELLO CIT'!$B$3:$B$9</c:f>
              <c:numCache>
                <c:ptCount val="7"/>
                <c:pt idx="0">
                  <c:v>1141</c:v>
                </c:pt>
                <c:pt idx="1">
                  <c:v>1106</c:v>
                </c:pt>
                <c:pt idx="2">
                  <c:v>1402</c:v>
                </c:pt>
                <c:pt idx="3">
                  <c:v>1380</c:v>
                </c:pt>
                <c:pt idx="4">
                  <c:v>1451.769603412747</c:v>
                </c:pt>
                <c:pt idx="5">
                  <c:v>1079</c:v>
                </c:pt>
                <c:pt idx="6">
                  <c:v>1020</c:v>
                </c:pt>
              </c:numCache>
            </c:numRef>
          </c:val>
        </c:ser>
        <c:ser>
          <c:idx val="0"/>
          <c:order val="1"/>
          <c:tx>
            <c:strRef>
              <c:f>'SPORTELLO CIT'!$C$2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'SPORTELLO CIT'!$A$3:$A$9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'SPORTELLO CIT'!$C$3:$C$9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2574462"/>
        <c:axId val="46061295"/>
      </c:bar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61295"/>
        <c:crosses val="autoZero"/>
        <c:auto val="0"/>
        <c:lblOffset val="100"/>
        <c:noMultiLvlLbl val="0"/>
      </c:catAx>
      <c:valAx>
        <c:axId val="46061295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257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2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605"/>
          <c:w val="0.94775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'SPORTELLO CIT'!$B$10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'SPORTELLO CIT'!$A$11:$A$17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'SPORTELLO CIT'!$B$11:$B$17</c:f>
              <c:numCache>
                <c:ptCount val="7"/>
                <c:pt idx="0">
                  <c:v>100</c:v>
                </c:pt>
                <c:pt idx="1">
                  <c:v>96.93251533742331</c:v>
                </c:pt>
                <c:pt idx="2">
                  <c:v>122.87467134092903</c:v>
                </c:pt>
                <c:pt idx="3">
                  <c:v>120.94653812445225</c:v>
                </c:pt>
                <c:pt idx="4">
                  <c:v>127.23659977324691</c:v>
                </c:pt>
                <c:pt idx="5">
                  <c:v>94.56617002629272</c:v>
                </c:pt>
                <c:pt idx="6">
                  <c:v>89.39526730937773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'SPORTELLO CIT'!$C$10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'SPORTELLO CIT'!$A$11:$A$17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'SPORTELLO CIT'!$C$11:$C$17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7385"/>
        <c:crossesAt val="80"/>
        <c:auto val="1"/>
        <c:lblOffset val="100"/>
        <c:noMultiLvlLbl val="0"/>
      </c:catAx>
      <c:valAx>
        <c:axId val="39977385"/>
        <c:scaling>
          <c:orientation val="minMax"/>
          <c:max val="13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984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QUARTIERI!$B$2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QUARTIERI!$A$3:$A$9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QUARTIERI!$B$3:$B$9</c:f>
              <c:numCache>
                <c:ptCount val="7"/>
                <c:pt idx="0">
                  <c:v>20865</c:v>
                </c:pt>
                <c:pt idx="1">
                  <c:v>23377</c:v>
                </c:pt>
                <c:pt idx="2">
                  <c:v>25259</c:v>
                </c:pt>
                <c:pt idx="3">
                  <c:v>26872.5</c:v>
                </c:pt>
                <c:pt idx="4">
                  <c:v>28608.891094733688</c:v>
                </c:pt>
                <c:pt idx="5">
                  <c:v>30082</c:v>
                </c:pt>
                <c:pt idx="6">
                  <c:v>31729</c:v>
                </c:pt>
              </c:numCache>
            </c:numRef>
          </c:val>
        </c:ser>
        <c:ser>
          <c:idx val="0"/>
          <c:order val="1"/>
          <c:tx>
            <c:strRef>
              <c:f>QUARTIERI!$C$2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QUARTIERI!$A$3:$A$9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QUARTIERI!$C$3:$C$9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4252146"/>
        <c:axId val="16942723"/>
      </c:bar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42723"/>
        <c:crosses val="autoZero"/>
        <c:auto val="0"/>
        <c:lblOffset val="100"/>
        <c:noMultiLvlLbl val="0"/>
      </c:catAx>
      <c:valAx>
        <c:axId val="16942723"/>
        <c:scaling>
          <c:orientation val="minMax"/>
          <c:max val="3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4252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25"/>
          <c:w val="0.9567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INGEGNERIA!$B$10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INGEGNERIA!$A$11:$A$17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INGEGNERIA!$B$11:$B$17</c:f>
              <c:numCache>
                <c:ptCount val="7"/>
                <c:pt idx="0">
                  <c:v>100</c:v>
                </c:pt>
                <c:pt idx="1">
                  <c:v>162.70458265139115</c:v>
                </c:pt>
                <c:pt idx="2">
                  <c:v>56.03518821603928</c:v>
                </c:pt>
                <c:pt idx="3">
                  <c:v>82.67184942716858</c:v>
                </c:pt>
                <c:pt idx="4">
                  <c:v>80.55722172543652</c:v>
                </c:pt>
                <c:pt idx="5">
                  <c:v>75.79787234042553</c:v>
                </c:pt>
                <c:pt idx="6">
                  <c:v>49.42716857610475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INGEGNERIA!$C$10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INGEGNERIA!$A$11:$A$17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INGEGNERIA!$C$11:$C$17</c:f>
              <c:numCache>
                <c:ptCount val="7"/>
                <c:pt idx="0">
                  <c:v>100</c:v>
                </c:pt>
                <c:pt idx="1">
                  <c:v>102.2</c:v>
                </c:pt>
                <c:pt idx="2">
                  <c:v>104</c:v>
                </c:pt>
                <c:pt idx="3">
                  <c:v>106.5</c:v>
                </c:pt>
                <c:pt idx="4">
                  <c:v>109.3</c:v>
                </c:pt>
                <c:pt idx="5">
                  <c:v>112</c:v>
                </c:pt>
                <c:pt idx="6">
                  <c:v>114.2</c:v>
                </c:pt>
              </c:numCache>
            </c:numRef>
          </c:val>
          <c:smooth val="0"/>
        </c:ser>
        <c:marker val="1"/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At val="40"/>
        <c:auto val="1"/>
        <c:lblOffset val="100"/>
        <c:noMultiLvlLbl val="0"/>
      </c:catAx>
      <c:valAx>
        <c:axId val="6898507"/>
        <c:scaling>
          <c:orientation val="minMax"/>
          <c:max val="17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8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QUARTIERI!$B$10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QUARTIERI!$B$11:$B$17</c:f>
              <c:numCache>
                <c:ptCount val="7"/>
                <c:pt idx="0">
                  <c:v>100</c:v>
                </c:pt>
                <c:pt idx="1">
                  <c:v>112.03930026359934</c:v>
                </c:pt>
                <c:pt idx="2">
                  <c:v>121.05919003115264</c:v>
                </c:pt>
                <c:pt idx="3">
                  <c:v>128.7922358015816</c:v>
                </c:pt>
                <c:pt idx="4">
                  <c:v>137.11426357408908</c:v>
                </c:pt>
                <c:pt idx="5">
                  <c:v>144.17445482866043</c:v>
                </c:pt>
                <c:pt idx="6">
                  <c:v>152.06805655403787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QUARTIERI!$C$10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QUARTIERI!$C$11:$C$17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83293"/>
        <c:crossesAt val="100"/>
        <c:auto val="1"/>
        <c:lblOffset val="100"/>
        <c:noMultiLvlLbl val="0"/>
      </c:catAx>
      <c:valAx>
        <c:axId val="30183293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66780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Affari istituzionali, giuridici e quartieri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'AFFARI IST'!$B$2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'AFFARI IST'!$A$3:$A$9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'AFFARI IST'!$B$3:$B$9</c:f>
              <c:numCache>
                <c:ptCount val="7"/>
                <c:pt idx="0">
                  <c:v>784</c:v>
                </c:pt>
                <c:pt idx="1">
                  <c:v>722</c:v>
                </c:pt>
                <c:pt idx="2">
                  <c:v>999</c:v>
                </c:pt>
                <c:pt idx="3">
                  <c:v>1194</c:v>
                </c:pt>
                <c:pt idx="4">
                  <c:v>1101</c:v>
                </c:pt>
                <c:pt idx="5">
                  <c:v>1440</c:v>
                </c:pt>
                <c:pt idx="6">
                  <c:v>307</c:v>
                </c:pt>
              </c:numCache>
            </c:numRef>
          </c:val>
        </c:ser>
        <c:ser>
          <c:idx val="0"/>
          <c:order val="1"/>
          <c:tx>
            <c:strRef>
              <c:f>'AFFARI IST'!$C$2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'AFFARI IST'!$A$3:$A$9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'AFFARI IST'!$C$3:$C$9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214182"/>
        <c:axId val="28927639"/>
      </c:bar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27639"/>
        <c:crosses val="autoZero"/>
        <c:auto val="0"/>
        <c:lblOffset val="100"/>
        <c:noMultiLvlLbl val="0"/>
      </c:catAx>
      <c:valAx>
        <c:axId val="28927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'AFFARI IST'!$B$10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'AFFARI IST'!$B$11:$B$17</c:f>
              <c:numCache>
                <c:ptCount val="7"/>
                <c:pt idx="0">
                  <c:v>100</c:v>
                </c:pt>
                <c:pt idx="1">
                  <c:v>92.09183673469387</c:v>
                </c:pt>
                <c:pt idx="2">
                  <c:v>127.4234693877551</c:v>
                </c:pt>
                <c:pt idx="3">
                  <c:v>152.29591836734696</c:v>
                </c:pt>
                <c:pt idx="4">
                  <c:v>140.43367346938774</c:v>
                </c:pt>
                <c:pt idx="5">
                  <c:v>183.67346938775512</c:v>
                </c:pt>
                <c:pt idx="6">
                  <c:v>39.15816326530612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'AFFARI IST'!$C$10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'AFFARI IST'!$C$11:$C$17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022160"/>
        <c:axId val="61437393"/>
      </c:line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7393"/>
        <c:crossesAt val="30"/>
        <c:auto val="1"/>
        <c:lblOffset val="100"/>
        <c:noMultiLvlLbl val="0"/>
      </c:catAx>
      <c:valAx>
        <c:axId val="61437393"/>
        <c:scaling>
          <c:orientation val="minMax"/>
          <c:max val="19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2160"/>
        <c:crossesAt val="1"/>
        <c:crossBetween val="between"/>
        <c:dispUnits/>
        <c:majorUnit val="5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Acquisti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ACQUISTI!$B$2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ACQUISTI!$A$3:$A$9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ACQUISTI!$B$3:$B$9</c:f>
              <c:numCache>
                <c:ptCount val="7"/>
                <c:pt idx="0">
                  <c:v>28</c:v>
                </c:pt>
                <c:pt idx="1">
                  <c:v>44</c:v>
                </c:pt>
                <c:pt idx="2">
                  <c:v>46</c:v>
                </c:pt>
                <c:pt idx="3">
                  <c:v>46</c:v>
                </c:pt>
                <c:pt idx="4">
                  <c:v>30</c:v>
                </c:pt>
                <c:pt idx="5">
                  <c:v>34</c:v>
                </c:pt>
                <c:pt idx="6">
                  <c:v>118</c:v>
                </c:pt>
              </c:numCache>
            </c:numRef>
          </c:val>
        </c:ser>
        <c:ser>
          <c:idx val="0"/>
          <c:order val="1"/>
          <c:tx>
            <c:strRef>
              <c:f>ACQUISTI!$C$2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ACQUISTI!$C$3:$C$9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065626"/>
        <c:axId val="10372907"/>
      </c:bar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72907"/>
        <c:crosses val="autoZero"/>
        <c:auto val="0"/>
        <c:lblOffset val="100"/>
        <c:noMultiLvlLbl val="0"/>
      </c:catAx>
      <c:valAx>
        <c:axId val="103729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65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ACQUISTI!$B$10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ACQUISTI!$B$11:$B$17</c:f>
              <c:numCache>
                <c:ptCount val="7"/>
                <c:pt idx="0">
                  <c:v>100</c:v>
                </c:pt>
                <c:pt idx="1">
                  <c:v>157.14285714285714</c:v>
                </c:pt>
                <c:pt idx="2">
                  <c:v>164.28571428571428</c:v>
                </c:pt>
                <c:pt idx="3">
                  <c:v>164.28571428571428</c:v>
                </c:pt>
                <c:pt idx="4">
                  <c:v>107.14285714285714</c:v>
                </c:pt>
                <c:pt idx="5">
                  <c:v>121.42857142857142</c:v>
                </c:pt>
                <c:pt idx="6">
                  <c:v>421.42857142857144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ACQUISTI!$C$10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ACQUISTI!$A$11:$A$17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ACQUISTI!$C$11:$C$17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99109"/>
        <c:crossesAt val="100"/>
        <c:auto val="1"/>
        <c:lblOffset val="100"/>
        <c:noMultiLvlLbl val="0"/>
      </c:catAx>
      <c:valAx>
        <c:axId val="34899109"/>
        <c:scaling>
          <c:orientation val="minMax"/>
          <c:max val="4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47300"/>
        <c:crossesAt val="1"/>
        <c:crossBetween val="between"/>
        <c:dispUnits/>
        <c:majorUnit val="5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Sportello per edilizia e impresa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525"/>
          <c:w val="0.949"/>
          <c:h val="0.7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'SPORTELLO IMPR'!$B$2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'SPORTELLO IMPR'!$A$3:$A$9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'SPORTELLO IMPR'!$B$3:$B$9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228</c:v>
                </c:pt>
                <c:pt idx="6">
                  <c:v>162</c:v>
                </c:pt>
              </c:numCache>
            </c:numRef>
          </c:val>
        </c:ser>
        <c:ser>
          <c:idx val="0"/>
          <c:order val="1"/>
          <c:tx>
            <c:strRef>
              <c:f>'SPORTELLO IMPR'!$C$2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'SPORTELLO IMPR'!$A$3:$A$9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'SPORTELLO IMPR'!$C$3:$C$9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5656526"/>
        <c:axId val="8255551"/>
      </c:bar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55551"/>
        <c:crosses val="autoZero"/>
        <c:auto val="0"/>
        <c:lblOffset val="100"/>
        <c:noMultiLvlLbl val="0"/>
      </c:catAx>
      <c:valAx>
        <c:axId val="8255551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656526"/>
        <c:crossesAt val="1"/>
        <c:crossBetween val="between"/>
        <c:dispUnits/>
        <c:majorUnit val="5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generale </a:t>
            </a:r>
          </a:p>
        </c:rich>
      </c:tx>
      <c:layout>
        <c:manualLayout>
          <c:xMode val="factor"/>
          <c:yMode val="factor"/>
          <c:x val="0.020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5625"/>
          <c:w val="0.95175"/>
          <c:h val="0.81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'DIREZIONE GEN'!$B$2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'DIREZIONE GEN'!$A$3:$A$9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'DIREZIONE GEN'!$B$3:$B$9</c:f>
              <c:numCache>
                <c:ptCount val="7"/>
                <c:pt idx="0">
                  <c:v>471</c:v>
                </c:pt>
                <c:pt idx="1">
                  <c:v>164</c:v>
                </c:pt>
                <c:pt idx="2">
                  <c:v>260</c:v>
                </c:pt>
                <c:pt idx="3">
                  <c:v>155</c:v>
                </c:pt>
                <c:pt idx="4">
                  <c:v>183</c:v>
                </c:pt>
                <c:pt idx="5">
                  <c:v>153</c:v>
                </c:pt>
                <c:pt idx="6">
                  <c:v>270</c:v>
                </c:pt>
              </c:numCache>
            </c:numRef>
          </c:val>
        </c:ser>
        <c:overlap val="100"/>
        <c:axId val="7191096"/>
        <c:axId val="64719865"/>
      </c:bar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19865"/>
        <c:crosses val="autoZero"/>
        <c:auto val="0"/>
        <c:lblOffset val="100"/>
        <c:noMultiLvlLbl val="0"/>
      </c:catAx>
      <c:valAx>
        <c:axId val="64719865"/>
        <c:scaling>
          <c:orientation val="minMax"/>
          <c:max val="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7191096"/>
        <c:crossesAt val="1"/>
        <c:crossBetween val="between"/>
        <c:dispUnits/>
        <c:majorUnit val="5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'DIREZIONE GEN'!$B$10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'DIREZIONE GEN'!$A$11:$A$17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'DIREZIONE GEN'!$B$11:$B$17</c:f>
              <c:numCache>
                <c:ptCount val="7"/>
                <c:pt idx="0">
                  <c:v>100</c:v>
                </c:pt>
                <c:pt idx="1">
                  <c:v>34.81953290870488</c:v>
                </c:pt>
                <c:pt idx="2">
                  <c:v>55.20169851380042</c:v>
                </c:pt>
                <c:pt idx="3">
                  <c:v>32.90870488322717</c:v>
                </c:pt>
                <c:pt idx="4">
                  <c:v>38.853503184713375</c:v>
                </c:pt>
                <c:pt idx="5">
                  <c:v>32.48407643312102</c:v>
                </c:pt>
                <c:pt idx="6">
                  <c:v>57.324840764331206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'DIREZIONE GEN'!$C$10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'DIREZIONE GEN'!$A$11:$A$17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'DIREZIONE GEN'!$C$11:$C$17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5607874"/>
        <c:axId val="7817683"/>
      </c:line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17683"/>
        <c:crossesAt val="30"/>
        <c:auto val="1"/>
        <c:lblOffset val="100"/>
        <c:noMultiLvlLbl val="0"/>
      </c:catAx>
      <c:valAx>
        <c:axId val="7817683"/>
        <c:scaling>
          <c:orientation val="minMax"/>
          <c:max val="115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07874"/>
        <c:crossesAt val="1"/>
        <c:crossBetween val="between"/>
        <c:dispUnits/>
        <c:majorUnit val="1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Opere Pubbliche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9675"/>
          <c:w val="0.94875"/>
          <c:h val="0.81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OP. PUB.'!$B$2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OP. PUB.'!$A$3:$A$9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OP. PUB.'!$B$3:$B$9</c:f>
              <c:numCache>
                <c:ptCount val="7"/>
                <c:pt idx="0">
                  <c:v>5862</c:v>
                </c:pt>
                <c:pt idx="1">
                  <c:v>8456</c:v>
                </c:pt>
                <c:pt idx="2">
                  <c:v>2988</c:v>
                </c:pt>
                <c:pt idx="3">
                  <c:v>4347</c:v>
                </c:pt>
                <c:pt idx="4">
                  <c:v>4106.636997939337</c:v>
                </c:pt>
                <c:pt idx="5">
                  <c:v>3923</c:v>
                </c:pt>
                <c:pt idx="6">
                  <c:v>2792</c:v>
                </c:pt>
              </c:numCache>
            </c:numRef>
          </c:val>
        </c:ser>
        <c:ser>
          <c:idx val="0"/>
          <c:order val="1"/>
          <c:tx>
            <c:strRef>
              <c:f>'AREA OP. PUB.'!$C$2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OP. PUB.'!$A$3:$A$9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OP. PUB.'!$C$3:$C$9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52557"/>
        <c:crosses val="autoZero"/>
        <c:auto val="0"/>
        <c:lblOffset val="100"/>
        <c:noMultiLvlLbl val="0"/>
      </c:catAx>
      <c:valAx>
        <c:axId val="29252557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250284"/>
        <c:crossesAt val="1"/>
        <c:crossBetween val="between"/>
        <c:dispUnits/>
        <c:majorUnit val="10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OP. PUB.'!$B$10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OP. PUB.'!$A$11:$A$17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OP. PUB.'!$B$11:$B$17</c:f>
              <c:numCache>
                <c:ptCount val="7"/>
                <c:pt idx="0">
                  <c:v>100</c:v>
                </c:pt>
                <c:pt idx="1">
                  <c:v>144.25110883657456</c:v>
                </c:pt>
                <c:pt idx="2">
                  <c:v>50.97236438075742</c:v>
                </c:pt>
                <c:pt idx="3">
                  <c:v>74.15557830092119</c:v>
                </c:pt>
                <c:pt idx="4">
                  <c:v>70.05522002625958</c:v>
                </c:pt>
                <c:pt idx="5">
                  <c:v>66.92255203002388</c:v>
                </c:pt>
                <c:pt idx="6">
                  <c:v>47.6287956328898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OP. PUB.'!$C$10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OP. PUB.'!$A$11:$A$17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OP. PUB.'!$C$11:$C$17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46887"/>
        <c:crossesAt val="40"/>
        <c:auto val="1"/>
        <c:lblOffset val="100"/>
        <c:noMultiLvlLbl val="0"/>
      </c:catAx>
      <c:valAx>
        <c:axId val="20646887"/>
        <c:scaling>
          <c:orientation val="minMax"/>
          <c:max val="16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6422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INGEGNERIA CIVILE E INFRASTRUTTURE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INGEGNERIA!$B$2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INGEGNERIA!$A$3:$A$9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INGEGNERIA!$B$3:$B$9</c:f>
              <c:numCache>
                <c:ptCount val="7"/>
                <c:pt idx="0">
                  <c:v>4888</c:v>
                </c:pt>
                <c:pt idx="1">
                  <c:v>7953</c:v>
                </c:pt>
                <c:pt idx="2">
                  <c:v>2739</c:v>
                </c:pt>
                <c:pt idx="3">
                  <c:v>4041</c:v>
                </c:pt>
                <c:pt idx="4">
                  <c:v>3937.636997939337</c:v>
                </c:pt>
                <c:pt idx="5">
                  <c:v>3705</c:v>
                </c:pt>
                <c:pt idx="6">
                  <c:v>2416</c:v>
                </c:pt>
              </c:numCache>
            </c:numRef>
          </c:val>
        </c:ser>
        <c:ser>
          <c:idx val="1"/>
          <c:order val="1"/>
          <c:tx>
            <c:strRef>
              <c:f>INGEGNERIA!$C$2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INGEGNERIA!$A$3:$A$9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INGEGNERIA!$C$3:$C$9</c:f>
              <c:numCache>
                <c:ptCount val="7"/>
                <c:pt idx="0">
                  <c:v>0</c:v>
                </c:pt>
                <c:pt idx="1">
                  <c:v>22</c:v>
                </c:pt>
                <c:pt idx="2">
                  <c:v>67</c:v>
                </c:pt>
                <c:pt idx="3">
                  <c:v>0</c:v>
                </c:pt>
                <c:pt idx="4">
                  <c:v>419.36300206066306</c:v>
                </c:pt>
                <c:pt idx="5">
                  <c:v>2397</c:v>
                </c:pt>
                <c:pt idx="6">
                  <c:v>1313</c:v>
                </c:pt>
              </c:numCache>
            </c:numRef>
          </c:val>
        </c:ser>
        <c:overlap val="100"/>
        <c:axId val="62086564"/>
        <c:axId val="21908165"/>
      </c:bar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auto val="1"/>
        <c:lblOffset val="100"/>
        <c:noMultiLvlLbl val="0"/>
      </c:catAx>
      <c:valAx>
        <c:axId val="21908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Famiglia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9675"/>
          <c:w val="0.94875"/>
          <c:h val="0.81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FAMIGLIA'!$B$2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FAMIGLIA'!$A$3:$A$9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FAMIGLIA'!$B$3:$B$9</c:f>
              <c:numCache>
                <c:ptCount val="7"/>
                <c:pt idx="0">
                  <c:v>13959</c:v>
                </c:pt>
                <c:pt idx="1">
                  <c:v>15275</c:v>
                </c:pt>
                <c:pt idx="2">
                  <c:v>18200</c:v>
                </c:pt>
                <c:pt idx="3">
                  <c:v>20435</c:v>
                </c:pt>
                <c:pt idx="4">
                  <c:v>23251.298646366467</c:v>
                </c:pt>
                <c:pt idx="5">
                  <c:v>20306</c:v>
                </c:pt>
                <c:pt idx="6">
                  <c:v>21719</c:v>
                </c:pt>
              </c:numCache>
            </c:numRef>
          </c:val>
        </c:ser>
        <c:ser>
          <c:idx val="0"/>
          <c:order val="1"/>
          <c:tx>
            <c:strRef>
              <c:f>'AREA FAMIGLIA'!$C$2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FAMIGLIA'!$A$3:$A$9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FAMIGLIA'!$C$3:$C$9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1604256"/>
        <c:axId val="61785121"/>
      </c:bar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85121"/>
        <c:crosses val="autoZero"/>
        <c:auto val="0"/>
        <c:lblOffset val="100"/>
        <c:noMultiLvlLbl val="0"/>
      </c:catAx>
      <c:valAx>
        <c:axId val="61785121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1604256"/>
        <c:crossesAt val="1"/>
        <c:crossBetween val="between"/>
        <c:dispUnits/>
        <c:majorUnit val="50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FAMIGLIA'!$B$10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FAMIGLIA'!$A$11:$A$17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FAMIGLIA'!$B$11:$B$17</c:f>
              <c:numCache>
                <c:ptCount val="7"/>
                <c:pt idx="0">
                  <c:v>100</c:v>
                </c:pt>
                <c:pt idx="1">
                  <c:v>109.42760942760943</c:v>
                </c:pt>
                <c:pt idx="2">
                  <c:v>130.38183250949209</c:v>
                </c:pt>
                <c:pt idx="3">
                  <c:v>146.39300809513577</c:v>
                </c:pt>
                <c:pt idx="4">
                  <c:v>166.5685124032271</c:v>
                </c:pt>
                <c:pt idx="5">
                  <c:v>145.4688731284476</c:v>
                </c:pt>
                <c:pt idx="6">
                  <c:v>155.5913747403109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FAMIGLIA'!$C$10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FAMIGLIA'!$A$11:$A$17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FAMIGLIA'!$C$11:$C$17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8875"/>
        <c:crossesAt val="100"/>
        <c:auto val="1"/>
        <c:lblOffset val="100"/>
        <c:noMultiLvlLbl val="0"/>
      </c:catAx>
      <c:valAx>
        <c:axId val="38538875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95178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Sviluppo socio-economico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525"/>
          <c:w val="0.95175"/>
          <c:h val="0.8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SVILUPPO SOCIO-EC'!$B$2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SVILUPPO SOCIO-EC'!$A$3:$A$9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SVILUPPO SOCIO-EC'!$B$3:$B$9</c:f>
              <c:numCache>
                <c:ptCount val="7"/>
                <c:pt idx="0">
                  <c:v>12640</c:v>
                </c:pt>
                <c:pt idx="1">
                  <c:v>17927</c:v>
                </c:pt>
                <c:pt idx="2">
                  <c:v>14324</c:v>
                </c:pt>
                <c:pt idx="3">
                  <c:v>16530</c:v>
                </c:pt>
                <c:pt idx="4">
                  <c:v>15734</c:v>
                </c:pt>
                <c:pt idx="5">
                  <c:v>16076</c:v>
                </c:pt>
                <c:pt idx="6">
                  <c:v>17546</c:v>
                </c:pt>
              </c:numCache>
            </c:numRef>
          </c:val>
        </c:ser>
        <c:ser>
          <c:idx val="0"/>
          <c:order val="1"/>
          <c:tx>
            <c:strRef>
              <c:f>'AREA SVILUPPO SOCIO-EC'!$C$2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SVILUPPO SOCIO-EC'!$A$3:$A$9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SVILUPPO SOCIO-EC'!$C$3:$C$9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1305556"/>
        <c:axId val="34641141"/>
      </c:bar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141"/>
        <c:crosses val="autoZero"/>
        <c:auto val="0"/>
        <c:lblOffset val="100"/>
        <c:noMultiLvlLbl val="0"/>
      </c:catAx>
      <c:valAx>
        <c:axId val="34641141"/>
        <c:scaling>
          <c:orientation val="minMax"/>
          <c:max val="3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1305556"/>
        <c:crossesAt val="1"/>
        <c:crossBetween val="between"/>
        <c:dispUnits/>
        <c:majorUnit val="50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75"/>
          <c:y val="0.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SVILUPPO SOCIO-EC'!$B$10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SVILUPPO SOCIO-EC'!$A$11:$A$17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SVILUPPO SOCIO-EC'!$B$11:$B$17</c:f>
              <c:numCache>
                <c:ptCount val="7"/>
                <c:pt idx="0">
                  <c:v>100</c:v>
                </c:pt>
                <c:pt idx="1">
                  <c:v>141.82753164556962</c:v>
                </c:pt>
                <c:pt idx="2">
                  <c:v>113.32278481012659</c:v>
                </c:pt>
                <c:pt idx="3">
                  <c:v>130.7753164556962</c:v>
                </c:pt>
                <c:pt idx="4">
                  <c:v>124.47784810126583</c:v>
                </c:pt>
                <c:pt idx="5">
                  <c:v>127.18354430379746</c:v>
                </c:pt>
                <c:pt idx="6">
                  <c:v>138.8132911392405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SVILUPPO SOCIO-EC'!$C$10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SVILUPPO SOCIO-EC'!$A$11:$A$17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SVILUPPO SOCIO-EC'!$C$11:$C$17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3334814"/>
        <c:axId val="5446900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69007"/>
        <c:crossesAt val="100"/>
        <c:auto val="1"/>
        <c:lblOffset val="100"/>
        <c:noMultiLvlLbl val="0"/>
      </c:catAx>
      <c:valAx>
        <c:axId val="54469007"/>
        <c:scaling>
          <c:orientation val="minMax"/>
          <c:max val="145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481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Qualità urbana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9025"/>
          <c:w val="0.95575"/>
          <c:h val="0.80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QUALITA'' URBANA'!$B$2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QUALITA'' URBANA'!$A$3:$A$9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QUALITA'' URBANA'!$B$3:$B$9</c:f>
              <c:numCache>
                <c:ptCount val="7"/>
                <c:pt idx="0">
                  <c:v>18480</c:v>
                </c:pt>
                <c:pt idx="1">
                  <c:v>22723</c:v>
                </c:pt>
                <c:pt idx="2">
                  <c:v>20403</c:v>
                </c:pt>
                <c:pt idx="3">
                  <c:v>20687.5</c:v>
                </c:pt>
                <c:pt idx="4">
                  <c:v>19724.117690198163</c:v>
                </c:pt>
                <c:pt idx="5">
                  <c:v>22585</c:v>
                </c:pt>
                <c:pt idx="6">
                  <c:v>21156</c:v>
                </c:pt>
              </c:numCache>
            </c:numRef>
          </c:val>
        </c:ser>
        <c:ser>
          <c:idx val="0"/>
          <c:order val="1"/>
          <c:tx>
            <c:strRef>
              <c:f>'AREA QUALITA'' URBANA'!$C$2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QUALITA'' URBANA'!$A$3:$A$9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QUALITA'' URBANA'!$C$3:$C$9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0459016"/>
        <c:axId val="49913417"/>
      </c:bar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13417"/>
        <c:crosses val="autoZero"/>
        <c:auto val="0"/>
        <c:lblOffset val="100"/>
        <c:noMultiLvlLbl val="0"/>
      </c:catAx>
      <c:valAx>
        <c:axId val="49913417"/>
        <c:scaling>
          <c:orientation val="minMax"/>
          <c:max val="3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59016"/>
        <c:crossesAt val="1"/>
        <c:crossBetween val="between"/>
        <c:dispUnits/>
        <c:majorUnit val="5000"/>
        <c:minorUnit val="25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QUALITA'' URBANA'!$B$10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QUALITA'' URBANA'!$A$11:$A$17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QUALITA'' URBANA'!$B$11:$B$17</c:f>
              <c:numCache>
                <c:ptCount val="7"/>
                <c:pt idx="0">
                  <c:v>100</c:v>
                </c:pt>
                <c:pt idx="1">
                  <c:v>122.95995670995671</c:v>
                </c:pt>
                <c:pt idx="2">
                  <c:v>110.40584415584416</c:v>
                </c:pt>
                <c:pt idx="3">
                  <c:v>111.94534632034632</c:v>
                </c:pt>
                <c:pt idx="4">
                  <c:v>106.7322385833234</c:v>
                </c:pt>
                <c:pt idx="5">
                  <c:v>122.21320346320346</c:v>
                </c:pt>
                <c:pt idx="6">
                  <c:v>114.48051948051948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QUALITA'' URBANA'!$C$10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QUALITA'' URBANA'!$A$11:$A$17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QUALITA'' URBANA'!$C$11:$C$17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4947"/>
        <c:crossesAt val="100"/>
        <c:auto val="1"/>
        <c:lblOffset val="100"/>
        <c:noMultiLvlLbl val="0"/>
      </c:catAx>
      <c:valAx>
        <c:axId val="16454947"/>
        <c:scaling>
          <c:orientation val="minMax"/>
          <c:max val="125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67570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Comunicazione e Rapporti con la cittadinanza</a:t>
            </a:r>
          </a:p>
        </c:rich>
      </c:tx>
      <c:layout>
        <c:manualLayout>
          <c:xMode val="factor"/>
          <c:yMode val="factor"/>
          <c:x val="0.013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225"/>
          <c:w val="0.9555"/>
          <c:h val="0.78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'AREA COM. E RAP. CON CIT'!$B$2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COM. E RAP. CON CIT'!$A$3:$A$9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COM. E RAP. CON CIT'!$B$3:$B$9</c:f>
              <c:numCache>
                <c:ptCount val="7"/>
                <c:pt idx="0">
                  <c:v>1829</c:v>
                </c:pt>
                <c:pt idx="1">
                  <c:v>1616</c:v>
                </c:pt>
                <c:pt idx="2">
                  <c:v>2176</c:v>
                </c:pt>
                <c:pt idx="3">
                  <c:v>1904</c:v>
                </c:pt>
                <c:pt idx="4">
                  <c:v>2369.4806457777067</c:v>
                </c:pt>
                <c:pt idx="5">
                  <c:v>2733</c:v>
                </c:pt>
                <c:pt idx="6">
                  <c:v>2566</c:v>
                </c:pt>
              </c:numCache>
            </c:numRef>
          </c:val>
        </c:ser>
        <c:ser>
          <c:idx val="0"/>
          <c:order val="1"/>
          <c:tx>
            <c:strRef>
              <c:f>'AREA COM. E RAP. CON CIT'!$C$2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'AREA COM. E RAP. CON CIT'!$A$3:$A$9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COM. E RAP. CON CIT'!$C$3:$C$9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3876796"/>
        <c:axId val="57782301"/>
      </c:bar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2301"/>
        <c:crosses val="autoZero"/>
        <c:auto val="0"/>
        <c:lblOffset val="100"/>
        <c:noMultiLvlLbl val="0"/>
      </c:catAx>
      <c:valAx>
        <c:axId val="57782301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3876796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5"/>
          <c:y val="0.9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'AREA COM. E RAP. CON CIT'!$B$10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COM. E RAP. CON CIT'!$A$11:$A$17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COM. E RAP. CON CIT'!$B$11:$B$17</c:f>
              <c:numCache>
                <c:ptCount val="7"/>
                <c:pt idx="0">
                  <c:v>100</c:v>
                </c:pt>
                <c:pt idx="1">
                  <c:v>88.35429196282122</c:v>
                </c:pt>
                <c:pt idx="2">
                  <c:v>118.97211591033351</c:v>
                </c:pt>
                <c:pt idx="3">
                  <c:v>104.10060142154182</c:v>
                </c:pt>
                <c:pt idx="4">
                  <c:v>129.55060939189212</c:v>
                </c:pt>
                <c:pt idx="5">
                  <c:v>149.42591580098414</c:v>
                </c:pt>
                <c:pt idx="6">
                  <c:v>140.29524330235103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'AREA COM. E RAP. CON CIT'!$C$10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 COM. E RAP. CON CIT'!$A$11:$A$17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'AREA COM. E RAP. CON CIT'!$C$11:$C$17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54775"/>
        <c:crossesAt val="80"/>
        <c:auto val="1"/>
        <c:lblOffset val="100"/>
        <c:noMultiLvlLbl val="0"/>
      </c:catAx>
      <c:valAx>
        <c:axId val="49854775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78662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Consumi Specifici</a:t>
            </a:r>
          </a:p>
        </c:rich>
      </c:tx>
      <c:layout>
        <c:manualLayout>
          <c:xMode val="factor"/>
          <c:yMode val="factor"/>
          <c:x val="0.024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8675"/>
          <c:h val="0.84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TOTALE!$B$2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TOTALE!$B$3:$B$9</c:f>
              <c:numCache>
                <c:ptCount val="7"/>
                <c:pt idx="0">
                  <c:v>87295</c:v>
                </c:pt>
                <c:pt idx="1">
                  <c:v>105532</c:v>
                </c:pt>
                <c:pt idx="2">
                  <c:v>99212</c:v>
                </c:pt>
                <c:pt idx="3">
                  <c:v>108868</c:v>
                </c:pt>
                <c:pt idx="4">
                  <c:v>111907.83747101385</c:v>
                </c:pt>
                <c:pt idx="5">
                  <c:v>114452</c:v>
                </c:pt>
                <c:pt idx="6">
                  <c:v>118543</c:v>
                </c:pt>
              </c:numCache>
            </c:numRef>
          </c:val>
        </c:ser>
        <c:ser>
          <c:idx val="0"/>
          <c:order val="1"/>
          <c:tx>
            <c:strRef>
              <c:f>TOTALE!$C$2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TOTALE!$C$3:$C$9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6039792"/>
        <c:axId val="11704945"/>
      </c:bar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04945"/>
        <c:crosses val="autoZero"/>
        <c:auto val="0"/>
        <c:lblOffset val="100"/>
        <c:noMultiLvlLbl val="0"/>
      </c:catAx>
      <c:valAx>
        <c:axId val="11704945"/>
        <c:scaling>
          <c:orientation val="minMax"/>
          <c:max val="1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39792"/>
        <c:crossesAt val="1"/>
        <c:crossBetween val="between"/>
        <c:dispUnits/>
        <c:majorUnit val="25000"/>
        <c:minorUnit val="40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25"/>
          <c:y val="0.931"/>
          <c:w val="0.675"/>
          <c:h val="0.0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TOTALE!$B$10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TOTALE!$B$11:$B$17</c:f>
              <c:numCache>
                <c:ptCount val="7"/>
                <c:pt idx="0">
                  <c:v>100</c:v>
                </c:pt>
                <c:pt idx="1">
                  <c:v>120.89123088378486</c:v>
                </c:pt>
                <c:pt idx="2">
                  <c:v>113.65141187925998</c:v>
                </c:pt>
                <c:pt idx="3">
                  <c:v>124.71275559883155</c:v>
                </c:pt>
                <c:pt idx="4">
                  <c:v>128.1950139996722</c:v>
                </c:pt>
                <c:pt idx="5">
                  <c:v>131.10945644080417</c:v>
                </c:pt>
                <c:pt idx="6">
                  <c:v>135.79586459705595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TOTALE!$C$10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TOTALE!$C$11:$C$17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6459"/>
        <c:crossesAt val="100"/>
        <c:auto val="1"/>
        <c:lblOffset val="100"/>
        <c:noMultiLvlLbl val="0"/>
      </c:catAx>
      <c:valAx>
        <c:axId val="8576459"/>
        <c:scaling>
          <c:orientation val="minMax"/>
          <c:max val="1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35642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Manutenzione e conduzioni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0.99775"/>
          <c:h val="0.8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MANUTENZIONE!$B$2</c:f>
              <c:strCache>
                <c:ptCount val="1"/>
                <c:pt idx="0">
                  <c:v>Consumi specifici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MANUTENZIONE!$A$3:$A$9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MANUTENZIONE!$B$3:$B$9</c:f>
              <c:numCache>
                <c:ptCount val="7"/>
                <c:pt idx="0">
                  <c:v>14014</c:v>
                </c:pt>
                <c:pt idx="1">
                  <c:v>18488</c:v>
                </c:pt>
                <c:pt idx="2">
                  <c:v>15982</c:v>
                </c:pt>
                <c:pt idx="3">
                  <c:v>15826</c:v>
                </c:pt>
                <c:pt idx="4">
                  <c:v>16369.117690198163</c:v>
                </c:pt>
                <c:pt idx="5">
                  <c:v>17255</c:v>
                </c:pt>
                <c:pt idx="6">
                  <c:v>17007</c:v>
                </c:pt>
              </c:numCache>
            </c:numRef>
          </c:val>
        </c:ser>
        <c:ser>
          <c:idx val="0"/>
          <c:order val="1"/>
          <c:tx>
            <c:strRef>
              <c:f>MANUTENZIONE!$C$2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MANUTENZIONE!$A$3:$A$9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MANUTENZIONE!$C$3:$C$9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2955758"/>
        <c:axId val="29730911"/>
      </c:bar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auto val="0"/>
        <c:lblOffset val="100"/>
        <c:noMultiLvlLbl val="0"/>
      </c:catAx>
      <c:valAx>
        <c:axId val="29730911"/>
        <c:scaling>
          <c:orientation val="minMax"/>
          <c:max val="2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975"/>
          <c:y val="0.9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-0.0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05"/>
          <c:w val="0.951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MANUTENZIONE!$B$10</c:f>
              <c:strCache>
                <c:ptCount val="1"/>
                <c:pt idx="0">
                  <c:v>Indice cons spec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MANUTENZIONE!$A$11:$A$17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MANUTENZIONE!$B$11:$B$17</c:f>
              <c:numCache>
                <c:ptCount val="7"/>
                <c:pt idx="0">
                  <c:v>100</c:v>
                </c:pt>
                <c:pt idx="1">
                  <c:v>131.92521763950336</c:v>
                </c:pt>
                <c:pt idx="2">
                  <c:v>114.04309975738546</c:v>
                </c:pt>
                <c:pt idx="3">
                  <c:v>112.9299272156415</c:v>
                </c:pt>
                <c:pt idx="4">
                  <c:v>116.80546375194922</c:v>
                </c:pt>
                <c:pt idx="5">
                  <c:v>123.12687312687314</c:v>
                </c:pt>
                <c:pt idx="6">
                  <c:v>121.35721421435707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MANUTENZIONE!$C$10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MANUTENZIONE!$A$11:$A$17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MANUTENZIONE!$C$11:$C$17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3561"/>
        <c:crossesAt val="100"/>
        <c:auto val="1"/>
        <c:lblOffset val="100"/>
        <c:noMultiLvlLbl val="0"/>
      </c:catAx>
      <c:valAx>
        <c:axId val="59393561"/>
        <c:scaling>
          <c:orientation val="minMax"/>
          <c:max val="135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160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ed organizzazione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05"/>
          <c:w val="0.95075"/>
          <c:h val="0.80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PERSONALE!$B$2</c:f>
              <c:strCache>
                <c:ptCount val="1"/>
                <c:pt idx="0">
                  <c:v>Consumi specifici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PERSONALE!$A$3:$A$9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PERSONALE!$B$3:$B$9</c:f>
              <c:numCache>
                <c:ptCount val="7"/>
                <c:pt idx="0">
                  <c:v>781</c:v>
                </c:pt>
                <c:pt idx="1">
                  <c:v>1120</c:v>
                </c:pt>
                <c:pt idx="2">
                  <c:v>1240</c:v>
                </c:pt>
                <c:pt idx="3">
                  <c:v>1008</c:v>
                </c:pt>
                <c:pt idx="4">
                  <c:v>1045</c:v>
                </c:pt>
                <c:pt idx="5">
                  <c:v>1063</c:v>
                </c:pt>
                <c:pt idx="6">
                  <c:v>983</c:v>
                </c:pt>
              </c:numCache>
            </c:numRef>
          </c:val>
        </c:ser>
        <c:ser>
          <c:idx val="0"/>
          <c:order val="1"/>
          <c:tx>
            <c:strRef>
              <c:f>PERSONALE!$C$2</c:f>
              <c:strCache>
                <c:ptCount val="1"/>
                <c:pt idx="0">
                  <c:v>Consumi specifici finalizzati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PERSONALE!$A$3:$A$9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PERSONALE!$C$3:$C$9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4780002"/>
        <c:axId val="46149107"/>
      </c:bar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9107"/>
        <c:crosses val="autoZero"/>
        <c:auto val="0"/>
        <c:lblOffset val="100"/>
        <c:noMultiLvlLbl val="0"/>
      </c:catAx>
      <c:valAx>
        <c:axId val="46149107"/>
        <c:scaling>
          <c:orientation val="minMax"/>
          <c:max val="14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4780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85725</xdr:rowOff>
    </xdr:from>
    <xdr:to>
      <xdr:col>15</xdr:col>
      <xdr:colOff>314325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6981825" y="85725"/>
        <a:ext cx="39719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419100</xdr:colOff>
      <xdr:row>0</xdr:row>
      <xdr:rowOff>104775</xdr:rowOff>
    </xdr:from>
    <xdr:to>
      <xdr:col>22</xdr:col>
      <xdr:colOff>180975</xdr:colOff>
      <xdr:row>17</xdr:row>
      <xdr:rowOff>47625</xdr:rowOff>
    </xdr:to>
    <xdr:graphicFrame>
      <xdr:nvGraphicFramePr>
        <xdr:cNvPr id="2" name="Chart 2"/>
        <xdr:cNvGraphicFramePr/>
      </xdr:nvGraphicFramePr>
      <xdr:xfrm>
        <a:off x="11058525" y="104775"/>
        <a:ext cx="40290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13</xdr:col>
      <xdr:colOff>28575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953000" y="57150"/>
        <a:ext cx="4295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95250</xdr:colOff>
      <xdr:row>0</xdr:row>
      <xdr:rowOff>95250</xdr:rowOff>
    </xdr:from>
    <xdr:to>
      <xdr:col>20</xdr:col>
      <xdr:colOff>19050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9315450" y="95250"/>
        <a:ext cx="41910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12</xdr:col>
      <xdr:colOff>57150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5372100" y="57150"/>
        <a:ext cx="43053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133350</xdr:colOff>
      <xdr:row>0</xdr:row>
      <xdr:rowOff>66675</xdr:rowOff>
    </xdr:from>
    <xdr:to>
      <xdr:col>18</xdr:col>
      <xdr:colOff>581025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9753600" y="66675"/>
        <a:ext cx="41052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85725</xdr:rowOff>
    </xdr:from>
    <xdr:to>
      <xdr:col>13</xdr:col>
      <xdr:colOff>142875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5562600" y="85725"/>
        <a:ext cx="3800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104775</xdr:rowOff>
    </xdr:from>
    <xdr:to>
      <xdr:col>14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162675" y="104775"/>
        <a:ext cx="37433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0</xdr:row>
      <xdr:rowOff>114300</xdr:rowOff>
    </xdr:from>
    <xdr:to>
      <xdr:col>20</xdr:col>
      <xdr:colOff>457200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9982200" y="114300"/>
        <a:ext cx="39624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95250</xdr:rowOff>
    </xdr:from>
    <xdr:to>
      <xdr:col>14</xdr:col>
      <xdr:colOff>161925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6181725" y="95250"/>
        <a:ext cx="3810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0</xdr:row>
      <xdr:rowOff>114300</xdr:rowOff>
    </xdr:from>
    <xdr:to>
      <xdr:col>20</xdr:col>
      <xdr:colOff>523875</xdr:colOff>
      <xdr:row>17</xdr:row>
      <xdr:rowOff>95250</xdr:rowOff>
    </xdr:to>
    <xdr:graphicFrame>
      <xdr:nvGraphicFramePr>
        <xdr:cNvPr id="2" name="Chart 2"/>
        <xdr:cNvGraphicFramePr/>
      </xdr:nvGraphicFramePr>
      <xdr:xfrm>
        <a:off x="10125075" y="114300"/>
        <a:ext cx="38862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95250</xdr:rowOff>
    </xdr:from>
    <xdr:to>
      <xdr:col>13</xdr:col>
      <xdr:colOff>161925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5581650" y="95250"/>
        <a:ext cx="3800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276225</xdr:colOff>
      <xdr:row>0</xdr:row>
      <xdr:rowOff>95250</xdr:rowOff>
    </xdr:from>
    <xdr:to>
      <xdr:col>19</xdr:col>
      <xdr:colOff>514350</xdr:colOff>
      <xdr:row>18</xdr:row>
      <xdr:rowOff>76200</xdr:rowOff>
    </xdr:to>
    <xdr:graphicFrame>
      <xdr:nvGraphicFramePr>
        <xdr:cNvPr id="2" name="Chart 2"/>
        <xdr:cNvGraphicFramePr/>
      </xdr:nvGraphicFramePr>
      <xdr:xfrm>
        <a:off x="9496425" y="95250"/>
        <a:ext cx="38957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85725</xdr:rowOff>
    </xdr:from>
    <xdr:to>
      <xdr:col>13</xdr:col>
      <xdr:colOff>152400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5667375" y="85725"/>
        <a:ext cx="3800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314325</xdr:colOff>
      <xdr:row>0</xdr:row>
      <xdr:rowOff>85725</xdr:rowOff>
    </xdr:from>
    <xdr:to>
      <xdr:col>19</xdr:col>
      <xdr:colOff>542925</xdr:colOff>
      <xdr:row>18</xdr:row>
      <xdr:rowOff>57150</xdr:rowOff>
    </xdr:to>
    <xdr:graphicFrame>
      <xdr:nvGraphicFramePr>
        <xdr:cNvPr id="2" name="Chart 2"/>
        <xdr:cNvGraphicFramePr/>
      </xdr:nvGraphicFramePr>
      <xdr:xfrm>
        <a:off x="9629775" y="85725"/>
        <a:ext cx="38862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114300</xdr:rowOff>
    </xdr:from>
    <xdr:to>
      <xdr:col>12</xdr:col>
      <xdr:colOff>190500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5000625" y="114300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0</xdr:row>
      <xdr:rowOff>133350</xdr:rowOff>
    </xdr:from>
    <xdr:to>
      <xdr:col>19</xdr:col>
      <xdr:colOff>57150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8886825" y="133350"/>
        <a:ext cx="40481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95250</xdr:rowOff>
    </xdr:from>
    <xdr:to>
      <xdr:col>14</xdr:col>
      <xdr:colOff>133350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6162675" y="95250"/>
        <a:ext cx="3800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12</xdr:col>
      <xdr:colOff>323850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953000" y="66675"/>
        <a:ext cx="39814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0</xdr:row>
      <xdr:rowOff>85725</xdr:rowOff>
    </xdr:from>
    <xdr:to>
      <xdr:col>18</xdr:col>
      <xdr:colOff>552450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9029700" y="85725"/>
        <a:ext cx="37909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66675</xdr:rowOff>
    </xdr:from>
    <xdr:to>
      <xdr:col>14</xdr:col>
      <xdr:colOff>476250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6981825" y="66675"/>
        <a:ext cx="3524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0</xdr:row>
      <xdr:rowOff>76200</xdr:rowOff>
    </xdr:from>
    <xdr:to>
      <xdr:col>21</xdr:col>
      <xdr:colOff>200025</xdr:colOff>
      <xdr:row>15</xdr:row>
      <xdr:rowOff>85725</xdr:rowOff>
    </xdr:to>
    <xdr:graphicFrame>
      <xdr:nvGraphicFramePr>
        <xdr:cNvPr id="2" name="Chart 2"/>
        <xdr:cNvGraphicFramePr/>
      </xdr:nvGraphicFramePr>
      <xdr:xfrm>
        <a:off x="10591800" y="76200"/>
        <a:ext cx="39052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66675</xdr:rowOff>
    </xdr:from>
    <xdr:to>
      <xdr:col>12</xdr:col>
      <xdr:colOff>209550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5019675" y="66675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0</xdr:row>
      <xdr:rowOff>76200</xdr:rowOff>
    </xdr:from>
    <xdr:to>
      <xdr:col>18</xdr:col>
      <xdr:colOff>457200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8915400" y="76200"/>
        <a:ext cx="38100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104775</xdr:rowOff>
    </xdr:from>
    <xdr:to>
      <xdr:col>12</xdr:col>
      <xdr:colOff>142875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4953000" y="104775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200025</xdr:colOff>
      <xdr:row>0</xdr:row>
      <xdr:rowOff>123825</xdr:rowOff>
    </xdr:from>
    <xdr:to>
      <xdr:col>18</xdr:col>
      <xdr:colOff>466725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8810625" y="123825"/>
        <a:ext cx="39243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85725</xdr:rowOff>
    </xdr:from>
    <xdr:to>
      <xdr:col>12</xdr:col>
      <xdr:colOff>142875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953000" y="409575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200025</xdr:colOff>
      <xdr:row>2</xdr:row>
      <xdr:rowOff>104775</xdr:rowOff>
    </xdr:from>
    <xdr:to>
      <xdr:col>18</xdr:col>
      <xdr:colOff>400050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8810625" y="428625"/>
        <a:ext cx="38576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12</xdr:col>
      <xdr:colOff>142875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4953000" y="95250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238125</xdr:colOff>
      <xdr:row>0</xdr:row>
      <xdr:rowOff>85725</xdr:rowOff>
    </xdr:from>
    <xdr:to>
      <xdr:col>19</xdr:col>
      <xdr:colOff>180975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8848725" y="85725"/>
        <a:ext cx="42100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76200</xdr:rowOff>
    </xdr:from>
    <xdr:to>
      <xdr:col>12</xdr:col>
      <xdr:colOff>161925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4972050" y="76200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0</xdr:row>
      <xdr:rowOff>95250</xdr:rowOff>
    </xdr:from>
    <xdr:to>
      <xdr:col>18</xdr:col>
      <xdr:colOff>200025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8858250" y="95250"/>
        <a:ext cx="36099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12</xdr:col>
      <xdr:colOff>142875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4953000" y="66675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219075</xdr:colOff>
      <xdr:row>0</xdr:row>
      <xdr:rowOff>85725</xdr:rowOff>
    </xdr:from>
    <xdr:to>
      <xdr:col>18</xdr:col>
      <xdr:colOff>285750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8829675" y="85725"/>
        <a:ext cx="3724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114300</xdr:rowOff>
    </xdr:from>
    <xdr:to>
      <xdr:col>13</xdr:col>
      <xdr:colOff>95250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962525" y="114300"/>
        <a:ext cx="43529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219075</xdr:colOff>
      <xdr:row>0</xdr:row>
      <xdr:rowOff>142875</xdr:rowOff>
    </xdr:from>
    <xdr:to>
      <xdr:col>19</xdr:col>
      <xdr:colOff>361950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9439275" y="142875"/>
        <a:ext cx="38004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95250</xdr:rowOff>
    </xdr:from>
    <xdr:to>
      <xdr:col>12</xdr:col>
      <xdr:colOff>161925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4972050" y="95250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0</xdr:row>
      <xdr:rowOff>114300</xdr:rowOff>
    </xdr:from>
    <xdr:to>
      <xdr:col>18</xdr:col>
      <xdr:colOff>304800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8858250" y="114300"/>
        <a:ext cx="37147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85725</xdr:rowOff>
    </xdr:from>
    <xdr:to>
      <xdr:col>12</xdr:col>
      <xdr:colOff>161925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972050" y="85725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0</xdr:row>
      <xdr:rowOff>133350</xdr:rowOff>
    </xdr:from>
    <xdr:to>
      <xdr:col>18</xdr:col>
      <xdr:colOff>419100</xdr:colOff>
      <xdr:row>20</xdr:row>
      <xdr:rowOff>76200</xdr:rowOff>
    </xdr:to>
    <xdr:graphicFrame>
      <xdr:nvGraphicFramePr>
        <xdr:cNvPr id="2" name="Chart 2"/>
        <xdr:cNvGraphicFramePr/>
      </xdr:nvGraphicFramePr>
      <xdr:xfrm>
        <a:off x="8896350" y="133350"/>
        <a:ext cx="37909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133350</xdr:rowOff>
    </xdr:from>
    <xdr:to>
      <xdr:col>14</xdr:col>
      <xdr:colOff>161925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6191250" y="133350"/>
        <a:ext cx="3800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495300</xdr:colOff>
      <xdr:row>0</xdr:row>
      <xdr:rowOff>114300</xdr:rowOff>
    </xdr:from>
    <xdr:to>
      <xdr:col>24</xdr:col>
      <xdr:colOff>104775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12230100" y="114300"/>
        <a:ext cx="4486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0</xdr:row>
      <xdr:rowOff>95250</xdr:rowOff>
    </xdr:from>
    <xdr:to>
      <xdr:col>16</xdr:col>
      <xdr:colOff>352425</xdr:colOff>
      <xdr:row>17</xdr:row>
      <xdr:rowOff>57150</xdr:rowOff>
    </xdr:to>
    <xdr:graphicFrame>
      <xdr:nvGraphicFramePr>
        <xdr:cNvPr id="2" name="Chart 4"/>
        <xdr:cNvGraphicFramePr/>
      </xdr:nvGraphicFramePr>
      <xdr:xfrm>
        <a:off x="8448675" y="95250"/>
        <a:ext cx="36385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95250</xdr:rowOff>
    </xdr:from>
    <xdr:to>
      <xdr:col>12</xdr:col>
      <xdr:colOff>361950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4943475" y="95250"/>
        <a:ext cx="4029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476250</xdr:colOff>
      <xdr:row>0</xdr:row>
      <xdr:rowOff>133350</xdr:rowOff>
    </xdr:from>
    <xdr:to>
      <xdr:col>19</xdr:col>
      <xdr:colOff>28575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9086850" y="133350"/>
        <a:ext cx="38195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57150</xdr:rowOff>
    </xdr:from>
    <xdr:to>
      <xdr:col>12</xdr:col>
      <xdr:colOff>152400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962525" y="57150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228600</xdr:colOff>
      <xdr:row>0</xdr:row>
      <xdr:rowOff>76200</xdr:rowOff>
    </xdr:from>
    <xdr:to>
      <xdr:col>18</xdr:col>
      <xdr:colOff>266700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8839200" y="76200"/>
        <a:ext cx="36957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12</xdr:col>
      <xdr:colOff>161925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972050" y="57150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238125</xdr:colOff>
      <xdr:row>0</xdr:row>
      <xdr:rowOff>76200</xdr:rowOff>
    </xdr:from>
    <xdr:to>
      <xdr:col>19</xdr:col>
      <xdr:colOff>104775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8848725" y="76200"/>
        <a:ext cx="41338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85725</xdr:rowOff>
    </xdr:from>
    <xdr:to>
      <xdr:col>13</xdr:col>
      <xdr:colOff>371475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562600" y="85725"/>
        <a:ext cx="4029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0</xdr:row>
      <xdr:rowOff>104775</xdr:rowOff>
    </xdr:from>
    <xdr:to>
      <xdr:col>19</xdr:col>
      <xdr:colOff>495300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9667875" y="104775"/>
        <a:ext cx="37052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13</xdr:col>
      <xdr:colOff>180975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5019675" y="85725"/>
        <a:ext cx="4381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266700</xdr:colOff>
      <xdr:row>0</xdr:row>
      <xdr:rowOff>95250</xdr:rowOff>
    </xdr:from>
    <xdr:to>
      <xdr:col>19</xdr:col>
      <xdr:colOff>581025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9486900" y="95250"/>
        <a:ext cx="39719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76200</xdr:rowOff>
    </xdr:from>
    <xdr:to>
      <xdr:col>13</xdr:col>
      <xdr:colOff>152400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010150" y="76200"/>
        <a:ext cx="43624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104775</xdr:rowOff>
    </xdr:from>
    <xdr:to>
      <xdr:col>19</xdr:col>
      <xdr:colOff>600075</xdr:colOff>
      <xdr:row>22</xdr:row>
      <xdr:rowOff>19050</xdr:rowOff>
    </xdr:to>
    <xdr:graphicFrame>
      <xdr:nvGraphicFramePr>
        <xdr:cNvPr id="2" name="Chart 2"/>
        <xdr:cNvGraphicFramePr/>
      </xdr:nvGraphicFramePr>
      <xdr:xfrm>
        <a:off x="9429750" y="104775"/>
        <a:ext cx="40481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95250</xdr:rowOff>
    </xdr:from>
    <xdr:to>
      <xdr:col>13</xdr:col>
      <xdr:colOff>85725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4972050" y="95250"/>
        <a:ext cx="4333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123825</xdr:rowOff>
    </xdr:from>
    <xdr:to>
      <xdr:col>19</xdr:col>
      <xdr:colOff>428625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9391650" y="123825"/>
        <a:ext cx="3914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95250</xdr:rowOff>
    </xdr:from>
    <xdr:to>
      <xdr:col>11</xdr:col>
      <xdr:colOff>561975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4324350" y="95250"/>
        <a:ext cx="4238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85725</xdr:colOff>
      <xdr:row>0</xdr:row>
      <xdr:rowOff>133350</xdr:rowOff>
    </xdr:from>
    <xdr:to>
      <xdr:col>18</xdr:col>
      <xdr:colOff>466725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8696325" y="133350"/>
        <a:ext cx="4038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66675</xdr:rowOff>
    </xdr:from>
    <xdr:to>
      <xdr:col>10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81450" y="66675"/>
        <a:ext cx="4000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0</xdr:row>
      <xdr:rowOff>85725</xdr:rowOff>
    </xdr:from>
    <xdr:to>
      <xdr:col>17</xdr:col>
      <xdr:colOff>219075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8048625" y="85725"/>
        <a:ext cx="38290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85725</xdr:rowOff>
    </xdr:from>
    <xdr:to>
      <xdr:col>12</xdr:col>
      <xdr:colOff>123825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933950" y="85725"/>
        <a:ext cx="380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228600</xdr:colOff>
      <xdr:row>0</xdr:row>
      <xdr:rowOff>104775</xdr:rowOff>
    </xdr:from>
    <xdr:to>
      <xdr:col>18</xdr:col>
      <xdr:colOff>600075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8839200" y="104775"/>
        <a:ext cx="40290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76200</xdr:rowOff>
    </xdr:from>
    <xdr:to>
      <xdr:col>11</xdr:col>
      <xdr:colOff>352425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629150" y="76200"/>
        <a:ext cx="3971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428625</xdr:colOff>
      <xdr:row>0</xdr:row>
      <xdr:rowOff>95250</xdr:rowOff>
    </xdr:from>
    <xdr:to>
      <xdr:col>18</xdr:col>
      <xdr:colOff>390525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8677275" y="95250"/>
        <a:ext cx="4229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85725</xdr:rowOff>
    </xdr:from>
    <xdr:to>
      <xdr:col>12</xdr:col>
      <xdr:colOff>561975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4962525" y="85725"/>
        <a:ext cx="4210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0</xdr:row>
      <xdr:rowOff>114300</xdr:rowOff>
    </xdr:from>
    <xdr:to>
      <xdr:col>20</xdr:col>
      <xdr:colOff>28575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9248775" y="114300"/>
        <a:ext cx="42672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47625</xdr:rowOff>
    </xdr:from>
    <xdr:to>
      <xdr:col>11</xdr:col>
      <xdr:colOff>247650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5000625" y="47625"/>
        <a:ext cx="39052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0</xdr:row>
      <xdr:rowOff>66675</xdr:rowOff>
    </xdr:from>
    <xdr:to>
      <xdr:col>18</xdr:col>
      <xdr:colOff>180975</xdr:colOff>
      <xdr:row>18</xdr:row>
      <xdr:rowOff>133350</xdr:rowOff>
    </xdr:to>
    <xdr:graphicFrame>
      <xdr:nvGraphicFramePr>
        <xdr:cNvPr id="2" name="Chart 2"/>
        <xdr:cNvGraphicFramePr/>
      </xdr:nvGraphicFramePr>
      <xdr:xfrm>
        <a:off x="8972550" y="66675"/>
        <a:ext cx="4133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4" customWidth="1"/>
    <col min="2" max="2" width="5.00390625" style="4" customWidth="1"/>
    <col min="3" max="3" width="4.57421875" style="4" customWidth="1"/>
    <col min="4" max="4" width="43.28125" style="5" customWidth="1"/>
    <col min="5" max="5" width="0.5625" style="0" customWidth="1"/>
    <col min="6" max="6" width="9.7109375" style="192" customWidth="1"/>
    <col min="7" max="7" width="10.8515625" style="192" customWidth="1"/>
    <col min="8" max="8" width="11.00390625" style="192" customWidth="1"/>
    <col min="9" max="9" width="10.8515625" style="192" customWidth="1"/>
    <col min="10" max="10" width="11.00390625" style="192" customWidth="1"/>
    <col min="11" max="11" width="10.8515625" style="192" customWidth="1"/>
    <col min="12" max="12" width="11.00390625" style="192" customWidth="1"/>
    <col min="13" max="13" width="10.8515625" style="192" customWidth="1"/>
    <col min="14" max="14" width="11.00390625" style="218" customWidth="1"/>
    <col min="15" max="15" width="10.8515625" style="74" customWidth="1"/>
    <col min="16" max="16" width="11.00390625" style="192" bestFit="1" customWidth="1"/>
    <col min="17" max="17" width="10.8515625" style="218" bestFit="1" customWidth="1"/>
    <col min="18" max="18" width="11.00390625" style="192" bestFit="1" customWidth="1"/>
    <col min="19" max="19" width="10.8515625" style="218" bestFit="1" customWidth="1"/>
    <col min="20" max="44" width="9.140625" style="74" customWidth="1"/>
  </cols>
  <sheetData>
    <row r="1" spans="1:44" s="3" customFormat="1" ht="20.25">
      <c r="A1" s="157" t="s">
        <v>181</v>
      </c>
      <c r="B1" s="4"/>
      <c r="C1" s="4"/>
      <c r="D1" s="5"/>
      <c r="E1"/>
      <c r="F1" s="192"/>
      <c r="G1" s="192"/>
      <c r="H1" s="192"/>
      <c r="I1" s="192"/>
      <c r="J1" s="192"/>
      <c r="K1" s="192"/>
      <c r="L1" s="192"/>
      <c r="M1" s="192"/>
      <c r="N1" s="218"/>
      <c r="O1" s="74"/>
      <c r="P1" s="192"/>
      <c r="Q1" s="218"/>
      <c r="R1" s="192"/>
      <c r="S1" s="218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</row>
    <row r="2" spans="1:44" s="3" customFormat="1" ht="15">
      <c r="A2" s="4"/>
      <c r="B2" s="4"/>
      <c r="C2" s="4"/>
      <c r="D2" s="5"/>
      <c r="E2"/>
      <c r="F2" s="192"/>
      <c r="G2" s="192"/>
      <c r="H2" s="225"/>
      <c r="I2" s="226"/>
      <c r="J2" s="225"/>
      <c r="K2" s="225"/>
      <c r="L2" s="225"/>
      <c r="M2" s="192"/>
      <c r="N2" s="218"/>
      <c r="O2" s="74"/>
      <c r="P2" s="192"/>
      <c r="Q2" s="218"/>
      <c r="R2" s="192"/>
      <c r="S2" s="218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</row>
    <row r="3" spans="1:44" s="3" customFormat="1" ht="21.75">
      <c r="A3" s="8"/>
      <c r="B3" s="8"/>
      <c r="C3" s="8"/>
      <c r="D3" s="9" t="s">
        <v>69</v>
      </c>
      <c r="E3"/>
      <c r="F3" s="192"/>
      <c r="G3" s="192"/>
      <c r="H3" s="225"/>
      <c r="I3" s="226"/>
      <c r="J3" s="227"/>
      <c r="K3" s="227"/>
      <c r="L3" s="227"/>
      <c r="M3" s="228"/>
      <c r="N3" s="229"/>
      <c r="O3" s="74"/>
      <c r="P3" s="193"/>
      <c r="Q3" s="218"/>
      <c r="R3" s="193"/>
      <c r="S3" s="218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</row>
    <row r="4" spans="1:44" s="3" customFormat="1" ht="12.75">
      <c r="A4" s="8"/>
      <c r="B4" s="8"/>
      <c r="C4" s="8"/>
      <c r="D4" s="11"/>
      <c r="E4"/>
      <c r="F4" s="192"/>
      <c r="G4" s="192"/>
      <c r="H4" s="192"/>
      <c r="I4" s="192"/>
      <c r="J4" s="192"/>
      <c r="K4" s="192"/>
      <c r="L4" s="192"/>
      <c r="M4" s="192"/>
      <c r="N4" s="218"/>
      <c r="O4" s="74"/>
      <c r="P4" s="192"/>
      <c r="Q4" s="218"/>
      <c r="R4" s="192"/>
      <c r="S4" s="218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</row>
    <row r="5" spans="1:44" s="3" customFormat="1" ht="12.75">
      <c r="A5" s="160" t="s">
        <v>223</v>
      </c>
      <c r="B5" s="12"/>
      <c r="C5" s="12"/>
      <c r="D5" s="13"/>
      <c r="E5"/>
      <c r="F5" s="192"/>
      <c r="G5" s="192"/>
      <c r="H5" s="192"/>
      <c r="I5" s="192"/>
      <c r="J5" s="192"/>
      <c r="K5" s="192"/>
      <c r="L5" s="192"/>
      <c r="M5" s="192"/>
      <c r="N5" s="218"/>
      <c r="O5" s="74"/>
      <c r="P5" s="192"/>
      <c r="Q5" s="218"/>
      <c r="R5" s="192"/>
      <c r="S5" s="218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</row>
    <row r="6" spans="1:44" s="3" customFormat="1" ht="12.75">
      <c r="A6" s="14"/>
      <c r="B6" s="22"/>
      <c r="C6" s="14"/>
      <c r="D6" s="14"/>
      <c r="E6"/>
      <c r="F6" s="265">
        <v>1997</v>
      </c>
      <c r="G6" s="267"/>
      <c r="H6" s="265">
        <v>1998</v>
      </c>
      <c r="I6" s="267"/>
      <c r="J6" s="265">
        <v>1999</v>
      </c>
      <c r="K6" s="267"/>
      <c r="L6" s="265">
        <v>2000</v>
      </c>
      <c r="M6" s="267"/>
      <c r="N6" s="265">
        <v>2001</v>
      </c>
      <c r="O6" s="268"/>
      <c r="P6" s="265">
        <v>2002</v>
      </c>
      <c r="Q6" s="268"/>
      <c r="R6" s="265">
        <v>2003</v>
      </c>
      <c r="S6" s="268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</row>
    <row r="7" spans="1:44" s="3" customFormat="1" ht="12.75">
      <c r="A7" s="14"/>
      <c r="B7" s="14"/>
      <c r="C7" s="14"/>
      <c r="D7" s="14"/>
      <c r="E7"/>
      <c r="F7" s="230" t="s">
        <v>97</v>
      </c>
      <c r="G7" s="231"/>
      <c r="H7" s="230" t="s">
        <v>97</v>
      </c>
      <c r="I7" s="231"/>
      <c r="J7" s="230" t="s">
        <v>97</v>
      </c>
      <c r="K7" s="231"/>
      <c r="L7" s="230" t="s">
        <v>97</v>
      </c>
      <c r="M7" s="231"/>
      <c r="N7" s="311" t="s">
        <v>97</v>
      </c>
      <c r="O7" s="312"/>
      <c r="P7" s="311" t="s">
        <v>97</v>
      </c>
      <c r="Q7" s="312"/>
      <c r="R7" s="311" t="s">
        <v>97</v>
      </c>
      <c r="S7" s="312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</row>
    <row r="8" spans="1:44" s="3" customFormat="1" ht="12.75">
      <c r="A8" s="14"/>
      <c r="B8" s="14"/>
      <c r="C8" s="14"/>
      <c r="D8" s="14"/>
      <c r="E8"/>
      <c r="F8" s="194" t="s">
        <v>75</v>
      </c>
      <c r="G8" s="194" t="s">
        <v>222</v>
      </c>
      <c r="H8" s="194" t="s">
        <v>75</v>
      </c>
      <c r="I8" s="194" t="s">
        <v>222</v>
      </c>
      <c r="J8" s="194" t="s">
        <v>75</v>
      </c>
      <c r="K8" s="194" t="s">
        <v>222</v>
      </c>
      <c r="L8" s="194" t="s">
        <v>75</v>
      </c>
      <c r="M8" s="194" t="s">
        <v>222</v>
      </c>
      <c r="N8" s="194" t="s">
        <v>75</v>
      </c>
      <c r="O8" s="194" t="s">
        <v>222</v>
      </c>
      <c r="P8" s="194" t="s">
        <v>75</v>
      </c>
      <c r="Q8" s="194" t="s">
        <v>222</v>
      </c>
      <c r="R8" s="194" t="s">
        <v>75</v>
      </c>
      <c r="S8" s="194" t="s">
        <v>222</v>
      </c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</row>
    <row r="9" spans="1:44" s="3" customFormat="1" ht="12.75">
      <c r="A9" s="291" t="s">
        <v>0</v>
      </c>
      <c r="B9" s="292"/>
      <c r="C9" s="292"/>
      <c r="D9" s="293"/>
      <c r="E9" s="51"/>
      <c r="F9" s="195">
        <f aca="true" t="shared" si="0" ref="F9:O9">SUM(F10:F13)</f>
        <v>471</v>
      </c>
      <c r="G9" s="195">
        <f t="shared" si="0"/>
        <v>0</v>
      </c>
      <c r="H9" s="195">
        <f t="shared" si="0"/>
        <v>164</v>
      </c>
      <c r="I9" s="195">
        <f t="shared" si="0"/>
        <v>0</v>
      </c>
      <c r="J9" s="195">
        <f t="shared" si="0"/>
        <v>260</v>
      </c>
      <c r="K9" s="195">
        <f t="shared" si="0"/>
        <v>0</v>
      </c>
      <c r="L9" s="195">
        <f t="shared" si="0"/>
        <v>155</v>
      </c>
      <c r="M9" s="195">
        <f t="shared" si="0"/>
        <v>0</v>
      </c>
      <c r="N9" s="195">
        <f t="shared" si="0"/>
        <v>183</v>
      </c>
      <c r="O9" s="195">
        <f t="shared" si="0"/>
        <v>0</v>
      </c>
      <c r="P9" s="195">
        <f>SUM(P10:P13)</f>
        <v>153</v>
      </c>
      <c r="Q9" s="195">
        <f>SUM(Q10:Q13)</f>
        <v>0</v>
      </c>
      <c r="R9" s="195">
        <f>SUM(R10:R13)</f>
        <v>270</v>
      </c>
      <c r="S9" s="195">
        <f>SUM(S10:S13)</f>
        <v>0</v>
      </c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</row>
    <row r="10" spans="1:44" s="3" customFormat="1" ht="12.75">
      <c r="A10" s="18"/>
      <c r="B10" s="10" t="s">
        <v>0</v>
      </c>
      <c r="C10" s="40"/>
      <c r="D10" s="41"/>
      <c r="E10" s="40"/>
      <c r="F10" s="164">
        <v>3</v>
      </c>
      <c r="G10" s="162"/>
      <c r="H10" s="164">
        <v>5</v>
      </c>
      <c r="I10" s="162"/>
      <c r="J10" s="164">
        <v>2</v>
      </c>
      <c r="K10" s="162"/>
      <c r="L10" s="164">
        <f>ROUND((10/1936.27)*1000,0)</f>
        <v>5</v>
      </c>
      <c r="M10" s="162"/>
      <c r="N10" s="164">
        <v>56</v>
      </c>
      <c r="O10" s="162"/>
      <c r="P10" s="164">
        <v>80</v>
      </c>
      <c r="Q10" s="162"/>
      <c r="R10" s="164">
        <v>44</v>
      </c>
      <c r="S10" s="162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</row>
    <row r="11" spans="1:44" s="3" customFormat="1" ht="12.75">
      <c r="A11" s="71"/>
      <c r="B11" s="59" t="s">
        <v>153</v>
      </c>
      <c r="C11" s="59"/>
      <c r="D11" s="72"/>
      <c r="F11" s="161">
        <v>468</v>
      </c>
      <c r="G11" s="155"/>
      <c r="H11" s="161">
        <v>159</v>
      </c>
      <c r="I11" s="155"/>
      <c r="J11" s="161">
        <v>258</v>
      </c>
      <c r="K11" s="155"/>
      <c r="L11" s="164">
        <f>ROUND((291/1936.27)*1000,0)</f>
        <v>150</v>
      </c>
      <c r="M11" s="155"/>
      <c r="N11" s="161">
        <v>127</v>
      </c>
      <c r="O11" s="155"/>
      <c r="P11" s="161">
        <v>73</v>
      </c>
      <c r="Q11" s="155"/>
      <c r="R11" s="161">
        <v>71</v>
      </c>
      <c r="S11" s="155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</row>
    <row r="12" spans="1:44" s="3" customFormat="1" ht="12.75">
      <c r="A12" s="71"/>
      <c r="B12" s="59" t="s">
        <v>110</v>
      </c>
      <c r="C12" s="59"/>
      <c r="D12" s="72"/>
      <c r="F12" s="161"/>
      <c r="G12" s="155"/>
      <c r="H12" s="161"/>
      <c r="I12" s="155"/>
      <c r="J12" s="161"/>
      <c r="K12" s="155"/>
      <c r="L12" s="164"/>
      <c r="M12" s="155"/>
      <c r="N12" s="161"/>
      <c r="O12" s="155"/>
      <c r="P12" s="161"/>
      <c r="Q12" s="155"/>
      <c r="R12" s="161"/>
      <c r="S12" s="155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</row>
    <row r="13" spans="1:44" s="3" customFormat="1" ht="12.75">
      <c r="A13" s="71"/>
      <c r="B13" s="59" t="s">
        <v>111</v>
      </c>
      <c r="C13" s="59"/>
      <c r="D13" s="72"/>
      <c r="F13" s="161"/>
      <c r="G13" s="155"/>
      <c r="H13" s="161"/>
      <c r="I13" s="155"/>
      <c r="J13" s="161"/>
      <c r="K13" s="155"/>
      <c r="L13" s="164"/>
      <c r="M13" s="155"/>
      <c r="N13" s="161"/>
      <c r="O13" s="155"/>
      <c r="P13" s="161"/>
      <c r="Q13" s="155"/>
      <c r="R13" s="161">
        <v>155</v>
      </c>
      <c r="S13" s="155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</row>
    <row r="14" spans="1:44" s="3" customFormat="1" ht="12.75">
      <c r="A14" s="291" t="s">
        <v>1</v>
      </c>
      <c r="B14" s="292"/>
      <c r="C14" s="292"/>
      <c r="D14" s="293"/>
      <c r="E14" s="52"/>
      <c r="F14" s="195">
        <f aca="true" t="shared" si="1" ref="F14:K14">SUM(F15:F22)</f>
        <v>1741</v>
      </c>
      <c r="G14" s="195">
        <f t="shared" si="1"/>
        <v>584</v>
      </c>
      <c r="H14" s="195">
        <f t="shared" si="1"/>
        <v>2000</v>
      </c>
      <c r="I14" s="195">
        <f t="shared" si="1"/>
        <v>622</v>
      </c>
      <c r="J14" s="195">
        <f t="shared" si="1"/>
        <v>2659</v>
      </c>
      <c r="K14" s="195">
        <f t="shared" si="1"/>
        <v>1408</v>
      </c>
      <c r="L14" s="195">
        <f aca="true" t="shared" si="2" ref="L14:Q14">SUM(L15:L22)</f>
        <v>2867</v>
      </c>
      <c r="M14" s="195">
        <f t="shared" si="2"/>
        <v>1697</v>
      </c>
      <c r="N14" s="195">
        <f t="shared" si="2"/>
        <v>3158</v>
      </c>
      <c r="O14" s="195">
        <f t="shared" si="2"/>
        <v>1411</v>
      </c>
      <c r="P14" s="195">
        <f t="shared" si="2"/>
        <v>3564</v>
      </c>
      <c r="Q14" s="195">
        <f t="shared" si="2"/>
        <v>1287</v>
      </c>
      <c r="R14" s="195">
        <f>SUM(R15:R22)</f>
        <v>4127</v>
      </c>
      <c r="S14" s="195">
        <f>SUM(S15:S22)</f>
        <v>1157</v>
      </c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</row>
    <row r="15" spans="1:44" s="3" customFormat="1" ht="12.75">
      <c r="A15" s="73"/>
      <c r="B15" s="59" t="s">
        <v>154</v>
      </c>
      <c r="C15" s="59"/>
      <c r="D15" s="72"/>
      <c r="F15" s="153">
        <v>716</v>
      </c>
      <c r="G15" s="154"/>
      <c r="H15" s="161">
        <v>692</v>
      </c>
      <c r="I15" s="155"/>
      <c r="J15" s="153">
        <v>568</v>
      </c>
      <c r="K15" s="154"/>
      <c r="L15" s="164">
        <f>ROUND((976/1936.27)*1000,0)</f>
        <v>504</v>
      </c>
      <c r="M15" s="155"/>
      <c r="N15" s="161">
        <v>817</v>
      </c>
      <c r="O15" s="155"/>
      <c r="P15" s="161">
        <v>625</v>
      </c>
      <c r="Q15" s="155"/>
      <c r="R15" s="161">
        <v>321</v>
      </c>
      <c r="S15" s="155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</row>
    <row r="16" spans="1:44" s="3" customFormat="1" ht="12.75">
      <c r="A16" s="73"/>
      <c r="B16" s="59" t="s">
        <v>182</v>
      </c>
      <c r="C16" s="59"/>
      <c r="D16" s="72"/>
      <c r="F16" s="153"/>
      <c r="G16" s="154"/>
      <c r="H16" s="161"/>
      <c r="I16" s="155"/>
      <c r="J16" s="153"/>
      <c r="K16" s="154"/>
      <c r="L16" s="164"/>
      <c r="M16" s="155"/>
      <c r="N16" s="161"/>
      <c r="O16" s="155"/>
      <c r="P16" s="161">
        <v>655</v>
      </c>
      <c r="Q16" s="155"/>
      <c r="R16" s="161">
        <v>1484</v>
      </c>
      <c r="S16" s="155">
        <v>15</v>
      </c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</row>
    <row r="17" spans="1:44" s="3" customFormat="1" ht="12.75">
      <c r="A17" s="25"/>
      <c r="B17" s="19" t="s">
        <v>5</v>
      </c>
      <c r="C17" s="19"/>
      <c r="D17" s="26"/>
      <c r="E17"/>
      <c r="F17" s="200">
        <v>0</v>
      </c>
      <c r="G17" s="222"/>
      <c r="H17" s="200">
        <v>0</v>
      </c>
      <c r="I17" s="222"/>
      <c r="J17" s="200">
        <v>0</v>
      </c>
      <c r="K17" s="222"/>
      <c r="L17" s="164">
        <v>0</v>
      </c>
      <c r="M17" s="162"/>
      <c r="N17" s="164">
        <v>0</v>
      </c>
      <c r="O17" s="162"/>
      <c r="P17" s="164"/>
      <c r="Q17" s="162"/>
      <c r="R17" s="164"/>
      <c r="S17" s="162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</row>
    <row r="18" spans="1:44" s="3" customFormat="1" ht="12.75">
      <c r="A18" s="73"/>
      <c r="B18" s="58" t="s">
        <v>167</v>
      </c>
      <c r="C18" s="61"/>
      <c r="D18" s="84"/>
      <c r="E18" s="85"/>
      <c r="F18" s="153">
        <f>309+507</f>
        <v>816</v>
      </c>
      <c r="G18" s="154">
        <f>114+470</f>
        <v>584</v>
      </c>
      <c r="H18" s="153">
        <f>213+656</f>
        <v>869</v>
      </c>
      <c r="I18" s="154">
        <f>2+620</f>
        <v>622</v>
      </c>
      <c r="J18" s="153">
        <f>334+1332</f>
        <v>1666</v>
      </c>
      <c r="K18" s="154">
        <f>109+1299</f>
        <v>1408</v>
      </c>
      <c r="L18" s="164">
        <v>1975</v>
      </c>
      <c r="M18" s="155">
        <v>1697</v>
      </c>
      <c r="N18" s="161">
        <v>1644</v>
      </c>
      <c r="O18" s="155">
        <v>1411</v>
      </c>
      <c r="P18" s="161">
        <v>1518</v>
      </c>
      <c r="Q18" s="155">
        <v>1287</v>
      </c>
      <c r="R18" s="161">
        <v>1414</v>
      </c>
      <c r="S18" s="155">
        <v>1142</v>
      </c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</row>
    <row r="19" spans="1:44" s="3" customFormat="1" ht="12.75">
      <c r="A19" s="73"/>
      <c r="B19" s="59" t="s">
        <v>2</v>
      </c>
      <c r="C19" s="59"/>
      <c r="D19" s="72"/>
      <c r="F19" s="153">
        <v>209</v>
      </c>
      <c r="G19" s="154"/>
      <c r="H19" s="153">
        <v>439</v>
      </c>
      <c r="I19" s="154"/>
      <c r="J19" s="153">
        <v>290</v>
      </c>
      <c r="K19" s="154"/>
      <c r="L19" s="164">
        <f>ROUND((342/1936.27)*1000,0)</f>
        <v>177</v>
      </c>
      <c r="M19" s="155"/>
      <c r="N19" s="161">
        <v>315</v>
      </c>
      <c r="O19" s="155"/>
      <c r="P19" s="161">
        <v>318</v>
      </c>
      <c r="Q19" s="155"/>
      <c r="R19" s="161">
        <v>271</v>
      </c>
      <c r="S19" s="155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</row>
    <row r="20" spans="1:44" s="62" customFormat="1" ht="12.75">
      <c r="A20" s="25"/>
      <c r="B20" s="19" t="s">
        <v>3</v>
      </c>
      <c r="C20" s="19"/>
      <c r="D20" s="26"/>
      <c r="E20"/>
      <c r="F20" s="200">
        <v>0</v>
      </c>
      <c r="G20" s="222"/>
      <c r="H20" s="200">
        <v>0</v>
      </c>
      <c r="I20" s="222"/>
      <c r="J20" s="200">
        <v>135</v>
      </c>
      <c r="K20" s="222"/>
      <c r="L20" s="164">
        <f>ROUND((409/1936.27)*1000,0)</f>
        <v>211</v>
      </c>
      <c r="M20" s="162"/>
      <c r="N20" s="164">
        <v>382</v>
      </c>
      <c r="O20" s="162"/>
      <c r="P20" s="164">
        <v>234</v>
      </c>
      <c r="Q20" s="162"/>
      <c r="R20" s="164">
        <v>442</v>
      </c>
      <c r="S20" s="162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</row>
    <row r="21" spans="1:44" s="62" customFormat="1" ht="12.75">
      <c r="A21" s="25"/>
      <c r="B21" s="19" t="s">
        <v>112</v>
      </c>
      <c r="C21" s="19"/>
      <c r="D21" s="26"/>
      <c r="E21"/>
      <c r="F21" s="200"/>
      <c r="G21" s="222"/>
      <c r="H21" s="200"/>
      <c r="I21" s="222"/>
      <c r="J21" s="200"/>
      <c r="K21" s="222"/>
      <c r="L21" s="164"/>
      <c r="M21" s="162"/>
      <c r="N21" s="164"/>
      <c r="O21" s="162"/>
      <c r="P21" s="164">
        <v>214</v>
      </c>
      <c r="Q21" s="162"/>
      <c r="R21" s="164">
        <v>195</v>
      </c>
      <c r="S21" s="162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</row>
    <row r="22" spans="1:44" s="3" customFormat="1" ht="12.75">
      <c r="A22" s="25"/>
      <c r="B22" s="19" t="s">
        <v>4</v>
      </c>
      <c r="C22" s="19"/>
      <c r="D22" s="26"/>
      <c r="E22"/>
      <c r="F22" s="202">
        <v>0</v>
      </c>
      <c r="G22" s="235"/>
      <c r="H22" s="202">
        <v>0</v>
      </c>
      <c r="I22" s="235"/>
      <c r="J22" s="202">
        <v>0</v>
      </c>
      <c r="K22" s="235"/>
      <c r="L22" s="164">
        <v>0</v>
      </c>
      <c r="M22" s="219"/>
      <c r="N22" s="197">
        <v>0</v>
      </c>
      <c r="O22" s="219"/>
      <c r="P22" s="197"/>
      <c r="Q22" s="219"/>
      <c r="R22" s="197"/>
      <c r="S22" s="219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</row>
    <row r="23" spans="1:44" s="3" customFormat="1" ht="12.75">
      <c r="A23" s="291" t="s">
        <v>6</v>
      </c>
      <c r="B23" s="292"/>
      <c r="C23" s="292"/>
      <c r="D23" s="293"/>
      <c r="E23" s="52"/>
      <c r="F23" s="198">
        <v>303</v>
      </c>
      <c r="G23" s="236">
        <v>0</v>
      </c>
      <c r="H23" s="198">
        <v>334</v>
      </c>
      <c r="I23" s="236">
        <v>0</v>
      </c>
      <c r="J23" s="221">
        <v>315</v>
      </c>
      <c r="K23" s="220">
        <v>0</v>
      </c>
      <c r="L23" s="221">
        <f>ROUND((699/1936.27)*1000,0)</f>
        <v>361</v>
      </c>
      <c r="M23" s="220">
        <v>0</v>
      </c>
      <c r="N23" s="198">
        <v>339</v>
      </c>
      <c r="O23" s="220">
        <v>0</v>
      </c>
      <c r="P23" s="198">
        <v>265</v>
      </c>
      <c r="Q23" s="220">
        <v>0</v>
      </c>
      <c r="R23" s="198">
        <v>250</v>
      </c>
      <c r="S23" s="220">
        <v>0</v>
      </c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</row>
    <row r="24" spans="1:44" s="3" customFormat="1" ht="12.75">
      <c r="A24" s="291" t="s">
        <v>7</v>
      </c>
      <c r="B24" s="292"/>
      <c r="C24" s="292"/>
      <c r="D24" s="293"/>
      <c r="E24" s="52"/>
      <c r="F24" s="198">
        <v>146</v>
      </c>
      <c r="G24" s="198">
        <v>48</v>
      </c>
      <c r="H24" s="198">
        <v>138</v>
      </c>
      <c r="I24" s="198">
        <v>40</v>
      </c>
      <c r="J24" s="221">
        <v>182</v>
      </c>
      <c r="K24" s="221">
        <v>22</v>
      </c>
      <c r="L24" s="221">
        <f>ROUND((249/1936.27)*1000,0)</f>
        <v>129</v>
      </c>
      <c r="M24" s="221">
        <f>ROUND((10155/1936.27),0)</f>
        <v>5</v>
      </c>
      <c r="N24" s="198">
        <v>115</v>
      </c>
      <c r="O24" s="221">
        <v>0</v>
      </c>
      <c r="P24" s="198">
        <v>92</v>
      </c>
      <c r="Q24" s="221"/>
      <c r="R24" s="198">
        <v>92</v>
      </c>
      <c r="S24" s="221">
        <v>5</v>
      </c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</row>
    <row r="25" spans="1:44" s="3" customFormat="1" ht="12.75">
      <c r="A25" s="291" t="s">
        <v>155</v>
      </c>
      <c r="B25" s="292"/>
      <c r="C25" s="292"/>
      <c r="D25" s="293"/>
      <c r="E25" s="52"/>
      <c r="F25" s="198">
        <v>187</v>
      </c>
      <c r="G25" s="198">
        <v>0</v>
      </c>
      <c r="H25" s="198">
        <v>278</v>
      </c>
      <c r="I25" s="198">
        <v>0</v>
      </c>
      <c r="J25" s="221">
        <v>315</v>
      </c>
      <c r="K25" s="221">
        <v>0</v>
      </c>
      <c r="L25" s="221">
        <f>ROUND((440/1936.27)*1000,0)</f>
        <v>227</v>
      </c>
      <c r="M25" s="221">
        <v>0</v>
      </c>
      <c r="N25" s="198">
        <v>239</v>
      </c>
      <c r="O25" s="221">
        <v>0</v>
      </c>
      <c r="P25" s="198">
        <v>280</v>
      </c>
      <c r="Q25" s="221">
        <v>0</v>
      </c>
      <c r="R25" s="198">
        <v>265</v>
      </c>
      <c r="S25" s="221">
        <v>0</v>
      </c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</row>
    <row r="26" spans="1:44" s="3" customFormat="1" ht="12.75">
      <c r="A26" s="291" t="s">
        <v>156</v>
      </c>
      <c r="B26" s="292"/>
      <c r="C26" s="292"/>
      <c r="D26" s="293"/>
      <c r="E26" s="52"/>
      <c r="F26" s="198"/>
      <c r="G26" s="198"/>
      <c r="H26" s="198"/>
      <c r="I26" s="198"/>
      <c r="J26" s="221"/>
      <c r="K26" s="221"/>
      <c r="L26" s="221">
        <f>ROUND((484/1936.27)*1000,0)</f>
        <v>250</v>
      </c>
      <c r="M26" s="221">
        <v>0</v>
      </c>
      <c r="N26" s="198">
        <f>851+23</f>
        <v>874</v>
      </c>
      <c r="O26" s="221">
        <v>0</v>
      </c>
      <c r="P26" s="198">
        <v>810</v>
      </c>
      <c r="Q26" s="221">
        <v>0</v>
      </c>
      <c r="R26" s="198">
        <v>916</v>
      </c>
      <c r="S26" s="221">
        <v>0</v>
      </c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</row>
    <row r="27" spans="1:44" s="3" customFormat="1" ht="12.75">
      <c r="A27" s="291" t="s">
        <v>8</v>
      </c>
      <c r="B27" s="292"/>
      <c r="C27" s="292"/>
      <c r="D27" s="293"/>
      <c r="E27" s="52"/>
      <c r="F27" s="199">
        <f aca="true" t="shared" si="3" ref="F27:O27">SUM(F28:F34)</f>
        <v>784</v>
      </c>
      <c r="G27" s="199">
        <f t="shared" si="3"/>
        <v>0</v>
      </c>
      <c r="H27" s="199">
        <f t="shared" si="3"/>
        <v>722</v>
      </c>
      <c r="I27" s="199">
        <f t="shared" si="3"/>
        <v>0</v>
      </c>
      <c r="J27" s="199">
        <f t="shared" si="3"/>
        <v>1040</v>
      </c>
      <c r="K27" s="199">
        <f t="shared" si="3"/>
        <v>41</v>
      </c>
      <c r="L27" s="199">
        <f t="shared" si="3"/>
        <v>1202</v>
      </c>
      <c r="M27" s="199">
        <f t="shared" si="3"/>
        <v>8</v>
      </c>
      <c r="N27" s="199">
        <f t="shared" si="3"/>
        <v>1101</v>
      </c>
      <c r="O27" s="199">
        <f t="shared" si="3"/>
        <v>0</v>
      </c>
      <c r="P27" s="199">
        <f>SUM(P28:P34)</f>
        <v>1447</v>
      </c>
      <c r="Q27" s="199">
        <f>SUM(Q28:Q34)</f>
        <v>7</v>
      </c>
      <c r="R27" s="199">
        <f>SUM(R28:R34)</f>
        <v>314</v>
      </c>
      <c r="S27" s="199">
        <f>SUM(S28:S34)</f>
        <v>7</v>
      </c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</row>
    <row r="28" spans="1:44" s="3" customFormat="1" ht="12.75">
      <c r="A28" s="71"/>
      <c r="B28" s="59" t="s">
        <v>9</v>
      </c>
      <c r="C28" s="59"/>
      <c r="D28" s="72"/>
      <c r="F28" s="161">
        <v>199</v>
      </c>
      <c r="G28" s="155"/>
      <c r="H28" s="161">
        <v>154</v>
      </c>
      <c r="I28" s="155"/>
      <c r="J28" s="161">
        <v>200</v>
      </c>
      <c r="K28" s="155"/>
      <c r="L28" s="164">
        <f>ROUND((153/1936.27)*1000,0)</f>
        <v>79</v>
      </c>
      <c r="M28" s="155"/>
      <c r="N28" s="161">
        <v>98</v>
      </c>
      <c r="O28" s="155"/>
      <c r="P28" s="161">
        <v>44</v>
      </c>
      <c r="Q28" s="155"/>
      <c r="R28" s="161">
        <v>36</v>
      </c>
      <c r="S28" s="155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</row>
    <row r="29" spans="1:44" s="3" customFormat="1" ht="12.75">
      <c r="A29" s="71"/>
      <c r="B29" s="61" t="s">
        <v>10</v>
      </c>
      <c r="C29" s="59"/>
      <c r="D29" s="72"/>
      <c r="F29" s="196">
        <v>4</v>
      </c>
      <c r="G29" s="237"/>
      <c r="H29" s="196">
        <v>10</v>
      </c>
      <c r="I29" s="237"/>
      <c r="J29" s="196">
        <v>65</v>
      </c>
      <c r="K29" s="237">
        <v>41</v>
      </c>
      <c r="L29" s="238">
        <f>ROUND((45/1936.27)*1000,0)</f>
        <v>23</v>
      </c>
      <c r="M29" s="155"/>
      <c r="N29" s="161"/>
      <c r="O29" s="155"/>
      <c r="P29" s="161"/>
      <c r="Q29" s="155"/>
      <c r="R29" s="161"/>
      <c r="S29" s="155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</row>
    <row r="30" spans="1:44" s="3" customFormat="1" ht="12.75">
      <c r="A30" s="71"/>
      <c r="B30" s="61" t="s">
        <v>157</v>
      </c>
      <c r="C30" s="61"/>
      <c r="D30" s="84"/>
      <c r="E30" s="85"/>
      <c r="F30" s="196">
        <v>144</v>
      </c>
      <c r="G30" s="237"/>
      <c r="H30" s="196">
        <v>103</v>
      </c>
      <c r="I30" s="237"/>
      <c r="J30" s="196">
        <v>96</v>
      </c>
      <c r="K30" s="237"/>
      <c r="L30" s="238"/>
      <c r="M30" s="155"/>
      <c r="N30" s="196"/>
      <c r="O30" s="155"/>
      <c r="P30" s="196"/>
      <c r="Q30" s="155"/>
      <c r="R30" s="196"/>
      <c r="S30" s="155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</row>
    <row r="31" spans="1:44" s="3" customFormat="1" ht="12.75">
      <c r="A31" s="71"/>
      <c r="B31" s="59" t="s">
        <v>174</v>
      </c>
      <c r="C31" s="59"/>
      <c r="D31" s="72"/>
      <c r="F31" s="161">
        <v>98</v>
      </c>
      <c r="G31" s="155"/>
      <c r="H31" s="161">
        <v>223</v>
      </c>
      <c r="I31" s="155"/>
      <c r="J31" s="161">
        <v>139</v>
      </c>
      <c r="K31" s="155"/>
      <c r="L31" s="164">
        <f>ROUND((258/1936.27)*1000,0)</f>
        <v>133</v>
      </c>
      <c r="M31" s="155"/>
      <c r="N31" s="161">
        <v>127</v>
      </c>
      <c r="O31" s="155"/>
      <c r="P31" s="161">
        <v>116</v>
      </c>
      <c r="Q31" s="155"/>
      <c r="R31" s="161">
        <v>131</v>
      </c>
      <c r="S31" s="155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</row>
    <row r="32" spans="1:44" s="3" customFormat="1" ht="12.75">
      <c r="A32" s="71"/>
      <c r="B32" s="59" t="s">
        <v>113</v>
      </c>
      <c r="C32" s="59"/>
      <c r="D32" s="72"/>
      <c r="F32" s="200">
        <v>339</v>
      </c>
      <c r="G32" s="222">
        <v>0</v>
      </c>
      <c r="H32" s="200">
        <v>232</v>
      </c>
      <c r="I32" s="222">
        <v>0</v>
      </c>
      <c r="J32" s="200">
        <v>540</v>
      </c>
      <c r="K32" s="222">
        <v>0</v>
      </c>
      <c r="L32" s="200">
        <f>ROUND((1872/1936.27)*1000,0)</f>
        <v>967</v>
      </c>
      <c r="M32" s="222">
        <f>ROUND(16000/1936.27,0)</f>
        <v>8</v>
      </c>
      <c r="N32" s="200">
        <v>876</v>
      </c>
      <c r="O32" s="222">
        <v>0</v>
      </c>
      <c r="P32" s="200">
        <v>1287</v>
      </c>
      <c r="Q32" s="222">
        <v>7</v>
      </c>
      <c r="R32" s="200">
        <v>147</v>
      </c>
      <c r="S32" s="222">
        <v>7</v>
      </c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</row>
    <row r="33" spans="1:44" s="3" customFormat="1" ht="12.75">
      <c r="A33" s="71"/>
      <c r="B33" s="59" t="s">
        <v>114</v>
      </c>
      <c r="C33" s="59"/>
      <c r="D33" s="72"/>
      <c r="F33" s="161"/>
      <c r="G33" s="155"/>
      <c r="H33" s="161"/>
      <c r="I33" s="155"/>
      <c r="J33" s="161"/>
      <c r="K33" s="155"/>
      <c r="L33" s="164"/>
      <c r="M33" s="155"/>
      <c r="N33" s="161"/>
      <c r="O33" s="155"/>
      <c r="P33" s="161"/>
      <c r="Q33" s="155"/>
      <c r="R33" s="161"/>
      <c r="S33" s="155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</row>
    <row r="34" spans="1:44" s="3" customFormat="1" ht="12.75">
      <c r="A34" s="28"/>
      <c r="B34" s="19" t="s">
        <v>95</v>
      </c>
      <c r="C34" s="19"/>
      <c r="D34" s="26"/>
      <c r="E34"/>
      <c r="F34" s="164"/>
      <c r="G34" s="162"/>
      <c r="H34" s="164"/>
      <c r="I34" s="162"/>
      <c r="J34" s="164"/>
      <c r="K34" s="162"/>
      <c r="L34" s="164">
        <v>0</v>
      </c>
      <c r="M34" s="162"/>
      <c r="N34" s="164">
        <v>0</v>
      </c>
      <c r="O34" s="162"/>
      <c r="P34" s="164"/>
      <c r="Q34" s="162"/>
      <c r="R34" s="164"/>
      <c r="S34" s="162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</row>
    <row r="35" spans="1:44" s="3" customFormat="1" ht="12.75">
      <c r="A35" s="291" t="s">
        <v>115</v>
      </c>
      <c r="B35" s="292"/>
      <c r="C35" s="292"/>
      <c r="D35" s="293"/>
      <c r="E35" s="52"/>
      <c r="F35" s="195">
        <f aca="true" t="shared" si="4" ref="F35:O35">SUM(F36:F37)</f>
        <v>760</v>
      </c>
      <c r="G35" s="195">
        <f t="shared" si="4"/>
        <v>0</v>
      </c>
      <c r="H35" s="195">
        <f t="shared" si="4"/>
        <v>903</v>
      </c>
      <c r="I35" s="195">
        <f t="shared" si="4"/>
        <v>0</v>
      </c>
      <c r="J35" s="195">
        <f t="shared" si="4"/>
        <v>934</v>
      </c>
      <c r="K35" s="195">
        <f t="shared" si="4"/>
        <v>0</v>
      </c>
      <c r="L35" s="195">
        <f t="shared" si="4"/>
        <v>1116</v>
      </c>
      <c r="M35" s="195">
        <f t="shared" si="4"/>
        <v>0</v>
      </c>
      <c r="N35" s="195">
        <f t="shared" si="4"/>
        <v>1473</v>
      </c>
      <c r="O35" s="195">
        <f t="shared" si="4"/>
        <v>0</v>
      </c>
      <c r="P35" s="195">
        <f>SUM(P36:P37)</f>
        <v>2096</v>
      </c>
      <c r="Q35" s="195">
        <f>SUM(Q36:Q37)</f>
        <v>0</v>
      </c>
      <c r="R35" s="195">
        <f>SUM(R36:R37)</f>
        <v>3350</v>
      </c>
      <c r="S35" s="195">
        <f>SUM(S36:S37)</f>
        <v>0</v>
      </c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</row>
    <row r="36" spans="1:44" s="3" customFormat="1" ht="12.75">
      <c r="A36" s="188"/>
      <c r="B36" s="59" t="s">
        <v>116</v>
      </c>
      <c r="C36" s="69"/>
      <c r="D36" s="70"/>
      <c r="F36" s="161">
        <v>41</v>
      </c>
      <c r="G36" s="161"/>
      <c r="H36" s="239">
        <v>132</v>
      </c>
      <c r="I36" s="161"/>
      <c r="J36" s="161">
        <v>150</v>
      </c>
      <c r="K36" s="161"/>
      <c r="L36" s="239">
        <v>162</v>
      </c>
      <c r="M36" s="161"/>
      <c r="N36" s="161">
        <v>169</v>
      </c>
      <c r="O36" s="161"/>
      <c r="P36" s="161">
        <v>244</v>
      </c>
      <c r="Q36" s="161"/>
      <c r="R36" s="161">
        <v>304</v>
      </c>
      <c r="S36" s="16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</row>
    <row r="37" spans="1:44" s="3" customFormat="1" ht="12.75">
      <c r="A37" s="189"/>
      <c r="B37" s="101" t="s">
        <v>117</v>
      </c>
      <c r="C37" s="93"/>
      <c r="D37" s="94"/>
      <c r="F37" s="153">
        <v>719</v>
      </c>
      <c r="G37" s="154"/>
      <c r="H37" s="161">
        <v>771</v>
      </c>
      <c r="I37" s="155"/>
      <c r="J37" s="153">
        <v>784</v>
      </c>
      <c r="K37" s="154"/>
      <c r="L37" s="164">
        <f>ROUND((1847/1936.27)*1000,0)</f>
        <v>954</v>
      </c>
      <c r="M37" s="155"/>
      <c r="N37" s="153">
        <v>1304</v>
      </c>
      <c r="O37" s="155"/>
      <c r="P37" s="153">
        <v>1852</v>
      </c>
      <c r="Q37" s="155"/>
      <c r="R37" s="153">
        <v>3046</v>
      </c>
      <c r="S37" s="155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</row>
    <row r="38" spans="1:44" s="3" customFormat="1" ht="12.75">
      <c r="A38" s="299" t="s">
        <v>11</v>
      </c>
      <c r="B38" s="300"/>
      <c r="C38" s="300"/>
      <c r="D38" s="301"/>
      <c r="E38" s="52"/>
      <c r="F38" s="201">
        <f aca="true" t="shared" si="5" ref="F38:K38">SUM(F39:F42)</f>
        <v>28</v>
      </c>
      <c r="G38" s="201">
        <f t="shared" si="5"/>
        <v>0</v>
      </c>
      <c r="H38" s="201">
        <f t="shared" si="5"/>
        <v>44</v>
      </c>
      <c r="I38" s="201">
        <f t="shared" si="5"/>
        <v>0</v>
      </c>
      <c r="J38" s="201">
        <f t="shared" si="5"/>
        <v>46</v>
      </c>
      <c r="K38" s="201">
        <f t="shared" si="5"/>
        <v>0</v>
      </c>
      <c r="L38" s="201">
        <f aca="true" t="shared" si="6" ref="L38:Q38">SUM(L39:L42)</f>
        <v>46</v>
      </c>
      <c r="M38" s="201">
        <f t="shared" si="6"/>
        <v>0</v>
      </c>
      <c r="N38" s="201">
        <f t="shared" si="6"/>
        <v>30</v>
      </c>
      <c r="O38" s="201">
        <f t="shared" si="6"/>
        <v>0</v>
      </c>
      <c r="P38" s="201">
        <f t="shared" si="6"/>
        <v>34</v>
      </c>
      <c r="Q38" s="201">
        <f t="shared" si="6"/>
        <v>0</v>
      </c>
      <c r="R38" s="201">
        <f>SUM(R39:R42)</f>
        <v>118</v>
      </c>
      <c r="S38" s="201">
        <f>SUM(S39:S42)</f>
        <v>0</v>
      </c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</row>
    <row r="39" spans="1:44" s="3" customFormat="1" ht="12.75">
      <c r="A39" s="68"/>
      <c r="B39" s="59" t="s">
        <v>12</v>
      </c>
      <c r="C39" s="69"/>
      <c r="D39" s="70"/>
      <c r="F39" s="153">
        <v>28</v>
      </c>
      <c r="G39" s="154"/>
      <c r="H39" s="161">
        <v>44</v>
      </c>
      <c r="I39" s="155"/>
      <c r="J39" s="153">
        <v>46</v>
      </c>
      <c r="K39" s="154"/>
      <c r="L39" s="164">
        <f>ROUND((90/1936.27)*1000,0)</f>
        <v>46</v>
      </c>
      <c r="M39" s="155"/>
      <c r="N39" s="161">
        <v>30</v>
      </c>
      <c r="O39" s="155"/>
      <c r="P39" s="161">
        <v>4</v>
      </c>
      <c r="Q39" s="155"/>
      <c r="R39" s="161">
        <v>20</v>
      </c>
      <c r="S39" s="155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</row>
    <row r="40" spans="1:44" s="3" customFormat="1" ht="12.75">
      <c r="A40" s="29"/>
      <c r="B40" s="19" t="s">
        <v>13</v>
      </c>
      <c r="C40" s="20"/>
      <c r="D40" s="21"/>
      <c r="E40"/>
      <c r="F40" s="200"/>
      <c r="G40" s="222"/>
      <c r="H40" s="200"/>
      <c r="I40" s="222"/>
      <c r="J40" s="200"/>
      <c r="K40" s="222"/>
      <c r="L40" s="164"/>
      <c r="M40" s="162"/>
      <c r="N40" s="164">
        <v>0</v>
      </c>
      <c r="O40" s="162"/>
      <c r="P40" s="164"/>
      <c r="Q40" s="162"/>
      <c r="R40" s="164">
        <v>6</v>
      </c>
      <c r="S40" s="162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</row>
    <row r="41" spans="1:44" s="3" customFormat="1" ht="12.75">
      <c r="A41" s="29"/>
      <c r="B41" s="19" t="s">
        <v>14</v>
      </c>
      <c r="C41" s="20"/>
      <c r="D41" s="21"/>
      <c r="E41"/>
      <c r="F41" s="200"/>
      <c r="G41" s="222"/>
      <c r="H41" s="200"/>
      <c r="I41" s="222"/>
      <c r="J41" s="200"/>
      <c r="K41" s="222"/>
      <c r="L41" s="164"/>
      <c r="M41" s="162"/>
      <c r="N41" s="164">
        <v>0</v>
      </c>
      <c r="O41" s="162"/>
      <c r="P41" s="164"/>
      <c r="Q41" s="162"/>
      <c r="R41" s="164"/>
      <c r="S41" s="162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</row>
    <row r="42" spans="1:44" s="3" customFormat="1" ht="12.75">
      <c r="A42" s="29"/>
      <c r="B42" s="19" t="s">
        <v>15</v>
      </c>
      <c r="C42" s="20"/>
      <c r="D42" s="21"/>
      <c r="E42"/>
      <c r="F42" s="202"/>
      <c r="G42" s="235"/>
      <c r="H42" s="202"/>
      <c r="I42" s="235"/>
      <c r="J42" s="202"/>
      <c r="K42" s="235"/>
      <c r="L42" s="197"/>
      <c r="M42" s="219"/>
      <c r="N42" s="197">
        <v>0</v>
      </c>
      <c r="O42" s="219"/>
      <c r="P42" s="197">
        <v>30</v>
      </c>
      <c r="Q42" s="219"/>
      <c r="R42" s="197">
        <v>92</v>
      </c>
      <c r="S42" s="219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</row>
    <row r="43" spans="1:44" s="3" customFormat="1" ht="12.75">
      <c r="A43" s="291" t="s">
        <v>28</v>
      </c>
      <c r="B43" s="292"/>
      <c r="C43" s="292"/>
      <c r="D43" s="293"/>
      <c r="E43" s="52"/>
      <c r="F43" s="199">
        <f>SUM(F44:F49)</f>
        <v>781</v>
      </c>
      <c r="G43" s="199">
        <f>SUM(G44:G49)</f>
        <v>0</v>
      </c>
      <c r="H43" s="199">
        <f>SUM(H44:H49)</f>
        <v>1120</v>
      </c>
      <c r="I43" s="199">
        <f>SUM(I44:I49)</f>
        <v>0</v>
      </c>
      <c r="J43" s="199">
        <f>SUM(J44:J49)-1</f>
        <v>1239</v>
      </c>
      <c r="K43" s="199">
        <f aca="true" t="shared" si="7" ref="K43:Q43">SUM(K44:K49)</f>
        <v>0</v>
      </c>
      <c r="L43" s="199">
        <f t="shared" si="7"/>
        <v>1008</v>
      </c>
      <c r="M43" s="199">
        <f t="shared" si="7"/>
        <v>0</v>
      </c>
      <c r="N43" s="199">
        <f t="shared" si="7"/>
        <v>1045</v>
      </c>
      <c r="O43" s="199">
        <f t="shared" si="7"/>
        <v>0</v>
      </c>
      <c r="P43" s="199">
        <f t="shared" si="7"/>
        <v>1063</v>
      </c>
      <c r="Q43" s="199">
        <f t="shared" si="7"/>
        <v>0</v>
      </c>
      <c r="R43" s="199">
        <f>SUM(R44:R49)</f>
        <v>983</v>
      </c>
      <c r="S43" s="199">
        <f>SUM(S44:S49)</f>
        <v>0</v>
      </c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</row>
    <row r="44" spans="1:44" s="3" customFormat="1" ht="12.75">
      <c r="A44" s="71"/>
      <c r="B44" s="59" t="s">
        <v>9</v>
      </c>
      <c r="C44" s="59"/>
      <c r="D44" s="72"/>
      <c r="F44" s="153">
        <v>306</v>
      </c>
      <c r="G44" s="154"/>
      <c r="H44" s="161">
        <v>382</v>
      </c>
      <c r="I44" s="155"/>
      <c r="J44" s="153">
        <f>445</f>
        <v>445</v>
      </c>
      <c r="K44" s="154"/>
      <c r="L44" s="164">
        <f>ROUND((515/1936.27)*1000,0)</f>
        <v>266</v>
      </c>
      <c r="M44" s="155"/>
      <c r="N44" s="153">
        <v>224</v>
      </c>
      <c r="O44" s="155"/>
      <c r="P44" s="153">
        <v>248</v>
      </c>
      <c r="Q44" s="155"/>
      <c r="R44" s="153">
        <v>343</v>
      </c>
      <c r="S44" s="155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</row>
    <row r="45" spans="1:44" s="3" customFormat="1" ht="12.75">
      <c r="A45" s="71"/>
      <c r="B45" s="59" t="s">
        <v>29</v>
      </c>
      <c r="C45" s="59"/>
      <c r="D45" s="72"/>
      <c r="F45" s="153">
        <v>25</v>
      </c>
      <c r="G45" s="154"/>
      <c r="H45" s="153">
        <v>28</v>
      </c>
      <c r="I45" s="154"/>
      <c r="J45" s="153">
        <v>5</v>
      </c>
      <c r="K45" s="154"/>
      <c r="L45" s="164">
        <f>ROUND((20/1936.27)*1000,0)</f>
        <v>10</v>
      </c>
      <c r="M45" s="155"/>
      <c r="N45" s="153">
        <v>23</v>
      </c>
      <c r="O45" s="155"/>
      <c r="P45" s="153">
        <v>22</v>
      </c>
      <c r="Q45" s="155"/>
      <c r="R45" s="153">
        <v>21</v>
      </c>
      <c r="S45" s="155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</row>
    <row r="46" spans="1:44" s="3" customFormat="1" ht="12.75">
      <c r="A46" s="71"/>
      <c r="B46" s="59" t="s">
        <v>76</v>
      </c>
      <c r="C46" s="59"/>
      <c r="D46" s="72"/>
      <c r="F46" s="153">
        <v>94</v>
      </c>
      <c r="G46" s="154"/>
      <c r="H46" s="153">
        <v>83</v>
      </c>
      <c r="I46" s="154"/>
      <c r="J46" s="153">
        <v>60</v>
      </c>
      <c r="K46" s="154"/>
      <c r="L46" s="164">
        <f>ROUND((80/1936.27)*1000,0)</f>
        <v>41</v>
      </c>
      <c r="M46" s="155"/>
      <c r="N46" s="153">
        <v>0</v>
      </c>
      <c r="O46" s="155"/>
      <c r="P46" s="153"/>
      <c r="Q46" s="155"/>
      <c r="R46" s="153"/>
      <c r="S46" s="155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</row>
    <row r="47" spans="1:44" s="3" customFormat="1" ht="12.75">
      <c r="A47" s="71"/>
      <c r="B47" s="59" t="s">
        <v>118</v>
      </c>
      <c r="C47" s="59"/>
      <c r="D47" s="72"/>
      <c r="F47" s="153">
        <v>218</v>
      </c>
      <c r="G47" s="154"/>
      <c r="H47" s="153">
        <v>305</v>
      </c>
      <c r="I47" s="154"/>
      <c r="J47" s="153">
        <v>336</v>
      </c>
      <c r="K47" s="154"/>
      <c r="L47" s="164">
        <f>ROUND((710/1936.27)*1000,0)</f>
        <v>367</v>
      </c>
      <c r="M47" s="155"/>
      <c r="N47" s="153">
        <v>506</v>
      </c>
      <c r="O47" s="155"/>
      <c r="P47" s="153">
        <v>478</v>
      </c>
      <c r="Q47" s="155"/>
      <c r="R47" s="153">
        <v>400</v>
      </c>
      <c r="S47" s="155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</row>
    <row r="48" spans="1:44" s="3" customFormat="1" ht="12.75">
      <c r="A48" s="71"/>
      <c r="B48" s="59" t="s">
        <v>119</v>
      </c>
      <c r="C48" s="59"/>
      <c r="D48" s="72"/>
      <c r="F48" s="153">
        <v>88</v>
      </c>
      <c r="G48" s="154"/>
      <c r="H48" s="153">
        <v>202</v>
      </c>
      <c r="I48" s="154"/>
      <c r="J48" s="153">
        <v>270</v>
      </c>
      <c r="K48" s="154"/>
      <c r="L48" s="164">
        <f>ROUND((487/1936.27)*1000,0)</f>
        <v>252</v>
      </c>
      <c r="M48" s="155"/>
      <c r="N48" s="153">
        <v>241</v>
      </c>
      <c r="O48" s="155"/>
      <c r="P48" s="153">
        <v>254</v>
      </c>
      <c r="Q48" s="155"/>
      <c r="R48" s="153">
        <v>219</v>
      </c>
      <c r="S48" s="155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</row>
    <row r="49" spans="1:44" s="3" customFormat="1" ht="12.75">
      <c r="A49" s="100"/>
      <c r="B49" s="101" t="s">
        <v>120</v>
      </c>
      <c r="C49" s="101"/>
      <c r="D49" s="102"/>
      <c r="F49" s="202">
        <v>50</v>
      </c>
      <c r="G49" s="235">
        <v>0</v>
      </c>
      <c r="H49" s="153">
        <v>120</v>
      </c>
      <c r="I49" s="154">
        <v>0</v>
      </c>
      <c r="J49" s="153">
        <v>124</v>
      </c>
      <c r="K49" s="154">
        <v>0</v>
      </c>
      <c r="L49" s="153">
        <f>ROUND((140/1936.27)*1000,0)</f>
        <v>72</v>
      </c>
      <c r="M49" s="154">
        <v>0</v>
      </c>
      <c r="N49" s="164">
        <v>51</v>
      </c>
      <c r="O49" s="155">
        <v>0</v>
      </c>
      <c r="P49" s="164">
        <v>61</v>
      </c>
      <c r="Q49" s="155"/>
      <c r="R49" s="164"/>
      <c r="S49" s="155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</row>
    <row r="50" spans="1:44" s="3" customFormat="1" ht="12.75">
      <c r="A50" s="291" t="s">
        <v>121</v>
      </c>
      <c r="B50" s="292"/>
      <c r="C50" s="292"/>
      <c r="D50" s="293"/>
      <c r="E50" s="52"/>
      <c r="F50" s="195">
        <f aca="true" t="shared" si="8" ref="F50:S50">SUM(F51:F53)</f>
        <v>71</v>
      </c>
      <c r="G50" s="195">
        <f t="shared" si="8"/>
        <v>0</v>
      </c>
      <c r="H50" s="195">
        <f t="shared" si="8"/>
        <v>80</v>
      </c>
      <c r="I50" s="195">
        <f t="shared" si="8"/>
        <v>0</v>
      </c>
      <c r="J50" s="195">
        <f t="shared" si="8"/>
        <v>89</v>
      </c>
      <c r="K50" s="195">
        <f t="shared" si="8"/>
        <v>0</v>
      </c>
      <c r="L50" s="195">
        <f t="shared" si="8"/>
        <v>116</v>
      </c>
      <c r="M50" s="195">
        <f t="shared" si="8"/>
        <v>0</v>
      </c>
      <c r="N50" s="195">
        <f t="shared" si="8"/>
        <v>80</v>
      </c>
      <c r="O50" s="195">
        <f t="shared" si="8"/>
        <v>0</v>
      </c>
      <c r="P50" s="195">
        <f t="shared" si="8"/>
        <v>107</v>
      </c>
      <c r="Q50" s="195">
        <f t="shared" si="8"/>
        <v>0</v>
      </c>
      <c r="R50" s="195">
        <f t="shared" si="8"/>
        <v>58</v>
      </c>
      <c r="S50" s="195">
        <f t="shared" si="8"/>
        <v>0</v>
      </c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</row>
    <row r="51" spans="1:44" s="3" customFormat="1" ht="12.75">
      <c r="A51" s="18"/>
      <c r="B51" s="19" t="s">
        <v>9</v>
      </c>
      <c r="C51" s="20"/>
      <c r="D51" s="21"/>
      <c r="E51"/>
      <c r="F51" s="200">
        <v>71</v>
      </c>
      <c r="G51" s="222"/>
      <c r="H51" s="164">
        <v>80</v>
      </c>
      <c r="I51" s="162"/>
      <c r="J51" s="200">
        <v>89</v>
      </c>
      <c r="K51" s="222"/>
      <c r="L51" s="164">
        <f>ROUND((225/1936.27)*1000,0)</f>
        <v>116</v>
      </c>
      <c r="M51" s="162"/>
      <c r="N51" s="164">
        <v>80</v>
      </c>
      <c r="O51" s="162"/>
      <c r="P51" s="164">
        <v>107</v>
      </c>
      <c r="Q51" s="162"/>
      <c r="R51" s="164">
        <v>58</v>
      </c>
      <c r="S51" s="162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</row>
    <row r="52" spans="1:44" s="3" customFormat="1" ht="12.75">
      <c r="A52" s="18"/>
      <c r="B52" s="19" t="s">
        <v>183</v>
      </c>
      <c r="C52" s="20"/>
      <c r="D52" s="21"/>
      <c r="E52"/>
      <c r="F52" s="200">
        <v>0</v>
      </c>
      <c r="G52" s="222"/>
      <c r="H52" s="200">
        <v>0</v>
      </c>
      <c r="I52" s="222"/>
      <c r="J52" s="200">
        <v>0</v>
      </c>
      <c r="K52" s="222"/>
      <c r="L52" s="164">
        <v>0</v>
      </c>
      <c r="M52" s="162"/>
      <c r="N52" s="200">
        <v>0</v>
      </c>
      <c r="O52" s="162"/>
      <c r="P52" s="200"/>
      <c r="Q52" s="162"/>
      <c r="R52" s="200"/>
      <c r="S52" s="162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</row>
    <row r="53" spans="1:44" s="3" customFormat="1" ht="12.75">
      <c r="A53" s="35"/>
      <c r="B53" s="34" t="s">
        <v>101</v>
      </c>
      <c r="C53" s="30"/>
      <c r="D53" s="31"/>
      <c r="E53"/>
      <c r="F53" s="202">
        <v>0</v>
      </c>
      <c r="G53" s="235"/>
      <c r="H53" s="202">
        <v>0</v>
      </c>
      <c r="I53" s="235"/>
      <c r="J53" s="202">
        <v>0</v>
      </c>
      <c r="K53" s="235"/>
      <c r="L53" s="164">
        <v>0</v>
      </c>
      <c r="M53" s="219"/>
      <c r="N53" s="202">
        <v>0</v>
      </c>
      <c r="O53" s="219"/>
      <c r="P53" s="202"/>
      <c r="Q53" s="219"/>
      <c r="R53" s="202"/>
      <c r="S53" s="219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</row>
    <row r="54" spans="1:44" s="3" customFormat="1" ht="12.75">
      <c r="A54" s="291" t="s">
        <v>158</v>
      </c>
      <c r="B54" s="292"/>
      <c r="C54" s="292"/>
      <c r="D54" s="293"/>
      <c r="E54" s="52"/>
      <c r="F54" s="195">
        <f aca="true" t="shared" si="9" ref="F54:K54">SUM(F55:F58)</f>
        <v>7274</v>
      </c>
      <c r="G54" s="195">
        <f t="shared" si="9"/>
        <v>0</v>
      </c>
      <c r="H54" s="195">
        <f t="shared" si="9"/>
        <v>8829</v>
      </c>
      <c r="I54" s="195">
        <f t="shared" si="9"/>
        <v>0</v>
      </c>
      <c r="J54" s="195">
        <f t="shared" si="9"/>
        <v>7879</v>
      </c>
      <c r="K54" s="195">
        <f t="shared" si="9"/>
        <v>0</v>
      </c>
      <c r="L54" s="195">
        <f aca="true" t="shared" si="10" ref="L54:Q54">SUM(L55:L58)</f>
        <v>9104</v>
      </c>
      <c r="M54" s="195">
        <f t="shared" si="10"/>
        <v>0</v>
      </c>
      <c r="N54" s="195">
        <f t="shared" si="10"/>
        <v>8016</v>
      </c>
      <c r="O54" s="195">
        <f t="shared" si="10"/>
        <v>112.58760400150805</v>
      </c>
      <c r="P54" s="195">
        <f t="shared" si="10"/>
        <v>8513</v>
      </c>
      <c r="Q54" s="195">
        <f t="shared" si="10"/>
        <v>620</v>
      </c>
      <c r="R54" s="195">
        <f>SUM(R55:R58)</f>
        <v>8435</v>
      </c>
      <c r="S54" s="195">
        <f>SUM(S55:S58)</f>
        <v>404</v>
      </c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</row>
    <row r="55" spans="1:44" s="62" customFormat="1" ht="12.75">
      <c r="A55" s="71"/>
      <c r="B55" s="59" t="s">
        <v>12</v>
      </c>
      <c r="C55" s="59"/>
      <c r="D55" s="72"/>
      <c r="E55" s="3"/>
      <c r="F55" s="161">
        <v>52</v>
      </c>
      <c r="G55" s="155"/>
      <c r="H55" s="161">
        <v>52</v>
      </c>
      <c r="I55" s="155"/>
      <c r="J55" s="153">
        <v>50</v>
      </c>
      <c r="K55" s="154"/>
      <c r="L55" s="164">
        <f>ROUND((100/1936.27)*1000,0)</f>
        <v>52</v>
      </c>
      <c r="M55" s="155"/>
      <c r="N55" s="153">
        <v>40</v>
      </c>
      <c r="O55" s="155"/>
      <c r="P55" s="153">
        <v>174</v>
      </c>
      <c r="Q55" s="155"/>
      <c r="R55" s="153">
        <v>167</v>
      </c>
      <c r="S55" s="155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</row>
    <row r="56" spans="1:44" s="62" customFormat="1" ht="12.75">
      <c r="A56" s="71"/>
      <c r="B56" s="59" t="s">
        <v>123</v>
      </c>
      <c r="C56" s="59"/>
      <c r="D56" s="72"/>
      <c r="E56" s="3"/>
      <c r="F56" s="161"/>
      <c r="G56" s="155"/>
      <c r="H56" s="161"/>
      <c r="I56" s="155"/>
      <c r="J56" s="153"/>
      <c r="K56" s="154"/>
      <c r="L56" s="164"/>
      <c r="M56" s="155"/>
      <c r="N56" s="153"/>
      <c r="O56" s="155"/>
      <c r="P56" s="153">
        <v>41</v>
      </c>
      <c r="Q56" s="155"/>
      <c r="R56" s="153"/>
      <c r="S56" s="155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</row>
    <row r="57" spans="1:44" s="3" customFormat="1" ht="12.75">
      <c r="A57" s="71"/>
      <c r="B57" s="59" t="s">
        <v>122</v>
      </c>
      <c r="C57" s="59"/>
      <c r="D57" s="72"/>
      <c r="F57" s="161">
        <v>2822</v>
      </c>
      <c r="G57" s="155"/>
      <c r="H57" s="161">
        <v>3040</v>
      </c>
      <c r="I57" s="155"/>
      <c r="J57" s="153">
        <v>2927</v>
      </c>
      <c r="K57" s="154"/>
      <c r="L57" s="164">
        <f>ROUND((6324/1936.27)*1000,0)</f>
        <v>3266</v>
      </c>
      <c r="M57" s="155"/>
      <c r="N57" s="153">
        <v>2383</v>
      </c>
      <c r="O57" s="155"/>
      <c r="P57" s="153">
        <v>2573</v>
      </c>
      <c r="Q57" s="155"/>
      <c r="R57" s="153">
        <v>2781</v>
      </c>
      <c r="S57" s="155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</row>
    <row r="58" spans="1:44" s="3" customFormat="1" ht="12.75">
      <c r="A58" s="100"/>
      <c r="B58" s="101" t="s">
        <v>31</v>
      </c>
      <c r="C58" s="101"/>
      <c r="D58" s="102"/>
      <c r="F58" s="209">
        <v>4400</v>
      </c>
      <c r="G58" s="163"/>
      <c r="H58" s="209">
        <v>5737</v>
      </c>
      <c r="I58" s="163"/>
      <c r="J58" s="203">
        <v>4902</v>
      </c>
      <c r="K58" s="240"/>
      <c r="L58" s="197">
        <f>ROUND((11203/1936.27)*1000,0)</f>
        <v>5786</v>
      </c>
      <c r="M58" s="163"/>
      <c r="N58" s="203">
        <v>5593</v>
      </c>
      <c r="O58" s="163">
        <f>218/1.93627</f>
        <v>112.58760400150805</v>
      </c>
      <c r="P58" s="203">
        <v>5725</v>
      </c>
      <c r="Q58" s="163">
        <v>620</v>
      </c>
      <c r="R58" s="203">
        <v>5487</v>
      </c>
      <c r="S58" s="163">
        <v>404</v>
      </c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</row>
    <row r="59" spans="1:44" s="3" customFormat="1" ht="12.75">
      <c r="A59" s="302" t="s">
        <v>124</v>
      </c>
      <c r="B59" s="303"/>
      <c r="C59" s="303"/>
      <c r="D59" s="304"/>
      <c r="E59" s="173"/>
      <c r="F59" s="204">
        <f aca="true" t="shared" si="11" ref="F59:S59">+F60+F62+F72+F61</f>
        <v>5862</v>
      </c>
      <c r="G59" s="204">
        <f t="shared" si="11"/>
        <v>0</v>
      </c>
      <c r="H59" s="204">
        <f t="shared" si="11"/>
        <v>8478</v>
      </c>
      <c r="I59" s="204">
        <f t="shared" si="11"/>
        <v>22</v>
      </c>
      <c r="J59" s="204">
        <f t="shared" si="11"/>
        <v>3055</v>
      </c>
      <c r="K59" s="204">
        <f t="shared" si="11"/>
        <v>67</v>
      </c>
      <c r="L59" s="204">
        <f t="shared" si="11"/>
        <v>4347</v>
      </c>
      <c r="M59" s="204">
        <f t="shared" si="11"/>
        <v>0</v>
      </c>
      <c r="N59" s="204">
        <f t="shared" si="11"/>
        <v>4526</v>
      </c>
      <c r="O59" s="204">
        <f t="shared" si="11"/>
        <v>419.36300206066306</v>
      </c>
      <c r="P59" s="204">
        <f t="shared" si="11"/>
        <v>6320</v>
      </c>
      <c r="Q59" s="204">
        <f t="shared" si="11"/>
        <v>2397</v>
      </c>
      <c r="R59" s="204">
        <f t="shared" si="11"/>
        <v>4105</v>
      </c>
      <c r="S59" s="204">
        <f t="shared" si="11"/>
        <v>1313</v>
      </c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</row>
    <row r="60" spans="1:44" s="3" customFormat="1" ht="12.75">
      <c r="A60" s="71"/>
      <c r="B60" s="59"/>
      <c r="C60" s="59" t="s">
        <v>125</v>
      </c>
      <c r="D60" s="72"/>
      <c r="F60" s="161"/>
      <c r="G60" s="155"/>
      <c r="H60" s="161"/>
      <c r="I60" s="155"/>
      <c r="J60" s="154"/>
      <c r="K60" s="154"/>
      <c r="L60" s="162"/>
      <c r="M60" s="155"/>
      <c r="N60" s="154"/>
      <c r="O60" s="155"/>
      <c r="P60" s="153"/>
      <c r="Q60" s="155"/>
      <c r="R60" s="154"/>
      <c r="S60" s="155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</row>
    <row r="61" spans="1:44" s="3" customFormat="1" ht="12.75">
      <c r="A61" s="71"/>
      <c r="B61" s="295" t="s">
        <v>184</v>
      </c>
      <c r="C61" s="285"/>
      <c r="D61" s="286"/>
      <c r="F61" s="205">
        <v>831</v>
      </c>
      <c r="G61" s="253"/>
      <c r="H61" s="251">
        <v>330</v>
      </c>
      <c r="I61" s="224"/>
      <c r="J61" s="251">
        <v>77</v>
      </c>
      <c r="K61" s="250"/>
      <c r="L61" s="251">
        <f>ROUND((260/1936.27)*1000,0)</f>
        <v>134</v>
      </c>
      <c r="M61" s="162"/>
      <c r="N61" s="208">
        <v>38</v>
      </c>
      <c r="O61" s="162"/>
      <c r="P61" s="208">
        <v>29</v>
      </c>
      <c r="Q61" s="162"/>
      <c r="R61" s="208">
        <v>136</v>
      </c>
      <c r="S61" s="162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</row>
    <row r="62" spans="1:44" s="3" customFormat="1" ht="12.75">
      <c r="A62" s="71"/>
      <c r="B62" s="290" t="s">
        <v>126</v>
      </c>
      <c r="C62" s="285"/>
      <c r="D62" s="286"/>
      <c r="F62" s="205">
        <f aca="true" t="shared" si="12" ref="F62:N62">SUM(F63:F71)</f>
        <v>4888</v>
      </c>
      <c r="G62" s="205">
        <f t="shared" si="12"/>
        <v>0</v>
      </c>
      <c r="H62" s="205">
        <f t="shared" si="12"/>
        <v>7975</v>
      </c>
      <c r="I62" s="205">
        <f t="shared" si="12"/>
        <v>22</v>
      </c>
      <c r="J62" s="205">
        <f t="shared" si="12"/>
        <v>2806</v>
      </c>
      <c r="K62" s="205">
        <f t="shared" si="12"/>
        <v>67</v>
      </c>
      <c r="L62" s="205">
        <f t="shared" si="12"/>
        <v>4041</v>
      </c>
      <c r="M62" s="205">
        <f t="shared" si="12"/>
        <v>0</v>
      </c>
      <c r="N62" s="205">
        <f t="shared" si="12"/>
        <v>4357</v>
      </c>
      <c r="O62" s="205">
        <f>SUM(O63:O71)</f>
        <v>419.36300206066306</v>
      </c>
      <c r="P62" s="205">
        <f>SUM(P63:P71)</f>
        <v>6102</v>
      </c>
      <c r="Q62" s="205">
        <f>SUM(Q63:Q71)</f>
        <v>2397</v>
      </c>
      <c r="R62" s="205">
        <f>SUM(R63:R71)</f>
        <v>3729</v>
      </c>
      <c r="S62" s="205">
        <f>SUM(S63:S71)</f>
        <v>1313</v>
      </c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</row>
    <row r="63" spans="1:44" s="3" customFormat="1" ht="12.75">
      <c r="A63" s="71"/>
      <c r="B63" s="59"/>
      <c r="C63" s="59" t="s">
        <v>16</v>
      </c>
      <c r="D63" s="72"/>
      <c r="F63" s="161">
        <v>4324</v>
      </c>
      <c r="G63" s="155"/>
      <c r="H63" s="161">
        <v>6850</v>
      </c>
      <c r="I63" s="155">
        <v>22</v>
      </c>
      <c r="J63" s="161">
        <v>1620</v>
      </c>
      <c r="K63" s="155">
        <v>67</v>
      </c>
      <c r="L63" s="164">
        <f>ROUND((3354/1936.27)*1000,0)</f>
        <v>1732</v>
      </c>
      <c r="M63" s="155"/>
      <c r="N63" s="161">
        <v>2570</v>
      </c>
      <c r="O63" s="155">
        <f>262/1.93627</f>
        <v>135.31170756144547</v>
      </c>
      <c r="P63" s="161">
        <v>966</v>
      </c>
      <c r="Q63" s="155"/>
      <c r="R63" s="161">
        <v>685</v>
      </c>
      <c r="S63" s="155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</row>
    <row r="64" spans="1:44" s="3" customFormat="1" ht="12.75">
      <c r="A64" s="71"/>
      <c r="B64" s="59"/>
      <c r="C64" s="19" t="s">
        <v>17</v>
      </c>
      <c r="D64" s="72"/>
      <c r="F64" s="164">
        <v>2</v>
      </c>
      <c r="G64" s="162"/>
      <c r="H64" s="164">
        <v>2</v>
      </c>
      <c r="I64" s="162"/>
      <c r="J64" s="164">
        <v>2</v>
      </c>
      <c r="K64" s="162"/>
      <c r="L64" s="164">
        <f>ROUND((4/1936.27)*1000,0)</f>
        <v>2</v>
      </c>
      <c r="M64" s="162"/>
      <c r="N64" s="164">
        <v>30</v>
      </c>
      <c r="O64" s="162"/>
      <c r="P64" s="164">
        <v>93</v>
      </c>
      <c r="Q64" s="162"/>
      <c r="R64" s="164">
        <v>744</v>
      </c>
      <c r="S64" s="162">
        <v>440</v>
      </c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</row>
    <row r="65" spans="1:44" s="3" customFormat="1" ht="12.75">
      <c r="A65" s="71"/>
      <c r="B65" s="59"/>
      <c r="C65" s="19" t="s">
        <v>18</v>
      </c>
      <c r="D65" s="72"/>
      <c r="F65" s="164">
        <v>268</v>
      </c>
      <c r="G65" s="162"/>
      <c r="H65" s="164">
        <v>408</v>
      </c>
      <c r="I65" s="162"/>
      <c r="J65" s="164">
        <v>362</v>
      </c>
      <c r="K65" s="162"/>
      <c r="L65" s="164">
        <f>ROUND((2401/1936.27)*1000,0)</f>
        <v>1240</v>
      </c>
      <c r="M65" s="162"/>
      <c r="N65" s="164">
        <v>516</v>
      </c>
      <c r="O65" s="162"/>
      <c r="P65" s="164">
        <v>3373</v>
      </c>
      <c r="Q65" s="162">
        <v>2360</v>
      </c>
      <c r="R65" s="164">
        <v>533</v>
      </c>
      <c r="S65" s="162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</row>
    <row r="66" spans="1:44" s="3" customFormat="1" ht="12.75">
      <c r="A66" s="71"/>
      <c r="B66" s="59"/>
      <c r="C66" s="19" t="s">
        <v>185</v>
      </c>
      <c r="D66" s="72"/>
      <c r="F66" s="164"/>
      <c r="G66" s="162"/>
      <c r="H66" s="164"/>
      <c r="I66" s="162"/>
      <c r="J66" s="164"/>
      <c r="K66" s="162"/>
      <c r="L66" s="164"/>
      <c r="M66" s="162"/>
      <c r="N66" s="164"/>
      <c r="O66" s="162"/>
      <c r="P66" s="164"/>
      <c r="Q66" s="162"/>
      <c r="R66" s="164"/>
      <c r="S66" s="162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</row>
    <row r="67" spans="1:44" s="3" customFormat="1" ht="12.75">
      <c r="A67" s="71"/>
      <c r="B67" s="59"/>
      <c r="C67" s="19" t="s">
        <v>187</v>
      </c>
      <c r="D67" s="72"/>
      <c r="F67" s="164">
        <v>129</v>
      </c>
      <c r="G67" s="162"/>
      <c r="H67" s="164">
        <v>212</v>
      </c>
      <c r="I67" s="162"/>
      <c r="J67" s="164">
        <v>206</v>
      </c>
      <c r="K67" s="162"/>
      <c r="L67" s="164">
        <v>145</v>
      </c>
      <c r="M67" s="162"/>
      <c r="N67" s="164">
        <f>284+1</f>
        <v>285</v>
      </c>
      <c r="O67" s="162">
        <f>550/1.93627</f>
        <v>284.0512944992176</v>
      </c>
      <c r="P67" s="164">
        <f>184+12</f>
        <v>196</v>
      </c>
      <c r="Q67" s="162"/>
      <c r="R67" s="164">
        <v>258</v>
      </c>
      <c r="S67" s="162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</row>
    <row r="68" spans="1:44" s="3" customFormat="1" ht="12.75">
      <c r="A68" s="71"/>
      <c r="B68" s="59"/>
      <c r="C68" s="19" t="s">
        <v>19</v>
      </c>
      <c r="D68" s="72"/>
      <c r="F68" s="164">
        <v>88</v>
      </c>
      <c r="G68" s="162"/>
      <c r="H68" s="164">
        <v>356</v>
      </c>
      <c r="I68" s="162"/>
      <c r="J68" s="164">
        <v>491</v>
      </c>
      <c r="K68" s="162"/>
      <c r="L68" s="164">
        <f>ROUND((670/1936.27)*1000,0)</f>
        <v>346</v>
      </c>
      <c r="M68" s="162"/>
      <c r="N68" s="164">
        <v>369</v>
      </c>
      <c r="O68" s="162"/>
      <c r="P68" s="164">
        <v>420</v>
      </c>
      <c r="Q68" s="162">
        <v>37</v>
      </c>
      <c r="R68" s="164">
        <v>441</v>
      </c>
      <c r="S68" s="162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</row>
    <row r="69" spans="1:44" s="3" customFormat="1" ht="12.75">
      <c r="A69" s="71"/>
      <c r="B69" s="59"/>
      <c r="C69" s="19" t="s">
        <v>20</v>
      </c>
      <c r="D69" s="72"/>
      <c r="F69" s="164"/>
      <c r="G69" s="162"/>
      <c r="H69" s="164"/>
      <c r="I69" s="162"/>
      <c r="J69" s="164">
        <v>1</v>
      </c>
      <c r="K69" s="162"/>
      <c r="L69" s="164">
        <f>ROUND((201/1936.27)*1000,0)</f>
        <v>104</v>
      </c>
      <c r="M69" s="162"/>
      <c r="N69" s="164">
        <v>0</v>
      </c>
      <c r="O69" s="162"/>
      <c r="P69" s="164">
        <v>1</v>
      </c>
      <c r="Q69" s="162"/>
      <c r="R69" s="164"/>
      <c r="S69" s="162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</row>
    <row r="70" spans="1:44" s="3" customFormat="1" ht="12.75">
      <c r="A70" s="71"/>
      <c r="B70" s="59"/>
      <c r="C70" s="19" t="s">
        <v>21</v>
      </c>
      <c r="D70" s="72"/>
      <c r="F70" s="164"/>
      <c r="G70" s="162"/>
      <c r="H70" s="164"/>
      <c r="I70" s="162"/>
      <c r="J70" s="164"/>
      <c r="K70" s="162"/>
      <c r="L70" s="164">
        <v>0</v>
      </c>
      <c r="M70" s="162"/>
      <c r="N70" s="164">
        <v>0</v>
      </c>
      <c r="O70" s="162"/>
      <c r="P70" s="164">
        <v>20</v>
      </c>
      <c r="Q70" s="162"/>
      <c r="R70" s="164"/>
      <c r="S70" s="162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</row>
    <row r="71" spans="1:44" s="3" customFormat="1" ht="12.75">
      <c r="A71" s="71"/>
      <c r="B71" s="59"/>
      <c r="C71" s="59" t="s">
        <v>186</v>
      </c>
      <c r="D71" s="72"/>
      <c r="F71" s="161">
        <f>ROUND(150/1936.27*1000,0)</f>
        <v>77</v>
      </c>
      <c r="G71" s="241"/>
      <c r="H71" s="161">
        <v>147</v>
      </c>
      <c r="I71" s="241"/>
      <c r="J71" s="161">
        <v>124</v>
      </c>
      <c r="K71" s="242"/>
      <c r="L71" s="164">
        <f>ROUND((913/1936.27)*1000,0)</f>
        <v>472</v>
      </c>
      <c r="M71" s="161"/>
      <c r="N71" s="206">
        <v>587</v>
      </c>
      <c r="O71" s="161"/>
      <c r="P71" s="206">
        <v>1033</v>
      </c>
      <c r="Q71" s="161"/>
      <c r="R71" s="206">
        <v>1068</v>
      </c>
      <c r="S71" s="161">
        <v>873</v>
      </c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</row>
    <row r="72" spans="1:44" s="3" customFormat="1" ht="12.75">
      <c r="A72" s="100"/>
      <c r="B72" s="297" t="s">
        <v>127</v>
      </c>
      <c r="C72" s="297"/>
      <c r="D72" s="298"/>
      <c r="F72" s="207">
        <v>143</v>
      </c>
      <c r="G72" s="243"/>
      <c r="H72" s="207">
        <v>173</v>
      </c>
      <c r="I72" s="243"/>
      <c r="J72" s="207">
        <v>172</v>
      </c>
      <c r="K72" s="243"/>
      <c r="L72" s="213">
        <f>ROUND((334/1936.27)*1000,0)</f>
        <v>172</v>
      </c>
      <c r="M72" s="223"/>
      <c r="N72" s="207">
        <v>131</v>
      </c>
      <c r="O72" s="223"/>
      <c r="P72" s="207">
        <v>189</v>
      </c>
      <c r="Q72" s="223"/>
      <c r="R72" s="207">
        <v>240</v>
      </c>
      <c r="S72" s="223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191"/>
      <c r="AL72" s="191"/>
      <c r="AM72" s="191"/>
      <c r="AN72" s="191"/>
      <c r="AO72" s="191"/>
      <c r="AP72" s="191"/>
      <c r="AQ72" s="191"/>
      <c r="AR72" s="191"/>
    </row>
    <row r="73" spans="1:44" s="3" customFormat="1" ht="12.75">
      <c r="A73" s="302" t="s">
        <v>128</v>
      </c>
      <c r="B73" s="305"/>
      <c r="C73" s="305"/>
      <c r="D73" s="306"/>
      <c r="E73" s="173"/>
      <c r="F73" s="204">
        <f aca="true" t="shared" si="13" ref="F73:O73">+F74+F75+F79+F90</f>
        <v>17705</v>
      </c>
      <c r="G73" s="204">
        <f t="shared" si="13"/>
        <v>3746</v>
      </c>
      <c r="H73" s="204">
        <f t="shared" si="13"/>
        <v>20919</v>
      </c>
      <c r="I73" s="204">
        <f t="shared" si="13"/>
        <v>5644</v>
      </c>
      <c r="J73" s="204">
        <f t="shared" si="13"/>
        <v>20453</v>
      </c>
      <c r="K73" s="204">
        <f t="shared" si="13"/>
        <v>2253</v>
      </c>
      <c r="L73" s="204">
        <f t="shared" si="13"/>
        <v>29009</v>
      </c>
      <c r="M73" s="204">
        <f t="shared" si="13"/>
        <v>8574</v>
      </c>
      <c r="N73" s="204">
        <f t="shared" si="13"/>
        <v>30334</v>
      </c>
      <c r="O73" s="204">
        <f t="shared" si="13"/>
        <v>7082.701353633533</v>
      </c>
      <c r="P73" s="204">
        <f>+P74+P75+P79+P90</f>
        <v>34167</v>
      </c>
      <c r="Q73" s="204">
        <f>+Q74+Q75+Q79+Q90</f>
        <v>13861</v>
      </c>
      <c r="R73" s="204">
        <f>+R74+R75+R79+R90</f>
        <v>35202</v>
      </c>
      <c r="S73" s="204">
        <f>+S74+S75+S79+S90</f>
        <v>13483</v>
      </c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</row>
    <row r="74" spans="1:44" s="3" customFormat="1" ht="12.75">
      <c r="A74" s="71"/>
      <c r="B74" s="59"/>
      <c r="C74" s="59" t="s">
        <v>129</v>
      </c>
      <c r="D74" s="72"/>
      <c r="F74" s="161"/>
      <c r="G74" s="155"/>
      <c r="H74" s="161"/>
      <c r="I74" s="155"/>
      <c r="J74" s="154"/>
      <c r="K74" s="154"/>
      <c r="L74" s="162"/>
      <c r="M74" s="155"/>
      <c r="N74" s="154"/>
      <c r="O74" s="155"/>
      <c r="P74" s="153"/>
      <c r="Q74" s="155"/>
      <c r="R74" s="154">
        <v>292</v>
      </c>
      <c r="S74" s="155">
        <v>242</v>
      </c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</row>
    <row r="75" spans="1:44" s="3" customFormat="1" ht="12.75">
      <c r="A75" s="71"/>
      <c r="B75" s="285" t="s">
        <v>130</v>
      </c>
      <c r="C75" s="285"/>
      <c r="D75" s="286"/>
      <c r="F75" s="205">
        <f aca="true" t="shared" si="14" ref="F75:L75">SUM(F76:F78)</f>
        <v>2550</v>
      </c>
      <c r="G75" s="205">
        <f t="shared" si="14"/>
        <v>0</v>
      </c>
      <c r="H75" s="205">
        <f t="shared" si="14"/>
        <v>2378</v>
      </c>
      <c r="I75" s="205">
        <f t="shared" si="14"/>
        <v>0</v>
      </c>
      <c r="J75" s="205">
        <f t="shared" si="14"/>
        <v>2467</v>
      </c>
      <c r="K75" s="205">
        <f t="shared" si="14"/>
        <v>0</v>
      </c>
      <c r="L75" s="205">
        <f t="shared" si="14"/>
        <v>2865</v>
      </c>
      <c r="M75" s="205">
        <f aca="true" t="shared" si="15" ref="M75:S75">SUM(M76:M78)</f>
        <v>0</v>
      </c>
      <c r="N75" s="205">
        <f t="shared" si="15"/>
        <v>3748</v>
      </c>
      <c r="O75" s="205">
        <f t="shared" si="15"/>
        <v>37.70135363353251</v>
      </c>
      <c r="P75" s="205">
        <f t="shared" si="15"/>
        <v>3445</v>
      </c>
      <c r="Q75" s="205">
        <f t="shared" si="15"/>
        <v>59</v>
      </c>
      <c r="R75" s="205">
        <f t="shared" si="15"/>
        <v>3076</v>
      </c>
      <c r="S75" s="205">
        <f t="shared" si="15"/>
        <v>55</v>
      </c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</row>
    <row r="76" spans="1:44" s="3" customFormat="1" ht="12.75">
      <c r="A76" s="71"/>
      <c r="B76" s="59"/>
      <c r="C76" s="10" t="s">
        <v>9</v>
      </c>
      <c r="D76" s="72"/>
      <c r="F76" s="200"/>
      <c r="G76" s="222"/>
      <c r="H76" s="200"/>
      <c r="I76" s="222"/>
      <c r="J76" s="200"/>
      <c r="K76" s="222"/>
      <c r="L76" s="164">
        <f>ROUND((50/1936.27)*1000,0)</f>
        <v>26</v>
      </c>
      <c r="M76" s="155"/>
      <c r="N76" s="200">
        <v>77</v>
      </c>
      <c r="O76" s="155"/>
      <c r="P76" s="200">
        <v>67</v>
      </c>
      <c r="Q76" s="155"/>
      <c r="R76" s="200">
        <v>49</v>
      </c>
      <c r="S76" s="15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191"/>
      <c r="AQ76" s="191"/>
      <c r="AR76" s="191"/>
    </row>
    <row r="77" spans="1:44" s="3" customFormat="1" ht="12.75">
      <c r="A77" s="71"/>
      <c r="B77" s="59"/>
      <c r="C77" s="58" t="s">
        <v>188</v>
      </c>
      <c r="D77" s="72"/>
      <c r="F77" s="153">
        <v>2166</v>
      </c>
      <c r="G77" s="154"/>
      <c r="H77" s="153">
        <v>2183</v>
      </c>
      <c r="I77" s="154"/>
      <c r="J77" s="153">
        <v>2169</v>
      </c>
      <c r="K77" s="154"/>
      <c r="L77" s="164">
        <f>ROUND((4988/1936.27)*1000,0)</f>
        <v>2576</v>
      </c>
      <c r="M77" s="155"/>
      <c r="N77" s="153">
        <v>2654</v>
      </c>
      <c r="O77" s="155"/>
      <c r="P77" s="153">
        <v>2485</v>
      </c>
      <c r="Q77" s="155"/>
      <c r="R77" s="153">
        <v>973</v>
      </c>
      <c r="S77" s="155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</row>
    <row r="78" spans="1:44" s="3" customFormat="1" ht="12.75">
      <c r="A78" s="71"/>
      <c r="B78" s="59"/>
      <c r="C78" s="58" t="s">
        <v>44</v>
      </c>
      <c r="D78" s="72"/>
      <c r="F78" s="164">
        <v>384</v>
      </c>
      <c r="G78" s="162"/>
      <c r="H78" s="164">
        <v>195</v>
      </c>
      <c r="I78" s="162"/>
      <c r="J78" s="164">
        <v>298</v>
      </c>
      <c r="K78" s="162"/>
      <c r="L78" s="164">
        <f>ROUND((509/1936.27)*1000,0)</f>
        <v>263</v>
      </c>
      <c r="M78" s="162"/>
      <c r="N78" s="164">
        <v>1017</v>
      </c>
      <c r="O78" s="162">
        <f>73/1.93627</f>
        <v>37.70135363353251</v>
      </c>
      <c r="P78" s="164">
        <v>893</v>
      </c>
      <c r="Q78" s="162">
        <v>59</v>
      </c>
      <c r="R78" s="164">
        <v>2054</v>
      </c>
      <c r="S78" s="162">
        <v>55</v>
      </c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</row>
    <row r="79" spans="1:44" s="3" customFormat="1" ht="12.75">
      <c r="A79" s="71"/>
      <c r="B79" s="285" t="s">
        <v>131</v>
      </c>
      <c r="C79" s="285"/>
      <c r="D79" s="286"/>
      <c r="F79" s="205">
        <f aca="true" t="shared" si="16" ref="F79:O79">SUM(F80:F89)</f>
        <v>12841</v>
      </c>
      <c r="G79" s="205">
        <f t="shared" si="16"/>
        <v>2085</v>
      </c>
      <c r="H79" s="205">
        <f t="shared" si="16"/>
        <v>16163</v>
      </c>
      <c r="I79" s="205">
        <f t="shared" si="16"/>
        <v>4093</v>
      </c>
      <c r="J79" s="205">
        <f t="shared" si="16"/>
        <v>15721</v>
      </c>
      <c r="K79" s="205">
        <f t="shared" si="16"/>
        <v>1523</v>
      </c>
      <c r="L79" s="205">
        <f t="shared" si="16"/>
        <v>23261</v>
      </c>
      <c r="M79" s="205">
        <f t="shared" si="16"/>
        <v>7431</v>
      </c>
      <c r="N79" s="205">
        <f t="shared" si="16"/>
        <v>22821</v>
      </c>
      <c r="O79" s="205">
        <f t="shared" si="16"/>
        <v>5828</v>
      </c>
      <c r="P79" s="205">
        <f>SUM(P80:P89)</f>
        <v>26394</v>
      </c>
      <c r="Q79" s="205">
        <f>SUM(Q80:Q89)</f>
        <v>12439</v>
      </c>
      <c r="R79" s="205">
        <f>SUM(R80:R89)</f>
        <v>26968</v>
      </c>
      <c r="S79" s="205">
        <f>SUM(S80:S89)</f>
        <v>11930</v>
      </c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</row>
    <row r="80" spans="1:44" s="3" customFormat="1" ht="12.75">
      <c r="A80" s="71"/>
      <c r="B80" s="59"/>
      <c r="C80" s="58" t="s">
        <v>42</v>
      </c>
      <c r="D80" s="72"/>
      <c r="F80" s="153">
        <v>256</v>
      </c>
      <c r="G80" s="154"/>
      <c r="H80" s="153">
        <v>168</v>
      </c>
      <c r="I80" s="154"/>
      <c r="J80" s="153">
        <v>323</v>
      </c>
      <c r="K80" s="154">
        <v>31</v>
      </c>
      <c r="L80" s="164">
        <f>ROUND((1086/1936.27)*1000,0)</f>
        <v>561</v>
      </c>
      <c r="M80" s="155"/>
      <c r="N80" s="153">
        <v>834</v>
      </c>
      <c r="O80" s="161">
        <f>ROUND((2000/1936.27),0)</f>
        <v>1</v>
      </c>
      <c r="P80" s="153">
        <v>484</v>
      </c>
      <c r="Q80" s="161">
        <v>13</v>
      </c>
      <c r="R80" s="153">
        <v>359</v>
      </c>
      <c r="S80" s="161">
        <v>29</v>
      </c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</row>
    <row r="81" spans="1:44" s="3" customFormat="1" ht="12.75">
      <c r="A81" s="71"/>
      <c r="B81" s="59"/>
      <c r="C81" s="58" t="s">
        <v>45</v>
      </c>
      <c r="D81" s="72"/>
      <c r="F81" s="153">
        <v>1096</v>
      </c>
      <c r="G81" s="154">
        <v>967</v>
      </c>
      <c r="H81" s="153">
        <v>156</v>
      </c>
      <c r="I81" s="154"/>
      <c r="J81" s="153">
        <v>103</v>
      </c>
      <c r="K81" s="154"/>
      <c r="L81" s="164"/>
      <c r="M81" s="155"/>
      <c r="N81" s="153">
        <v>0</v>
      </c>
      <c r="O81" s="155"/>
      <c r="P81" s="153"/>
      <c r="Q81" s="155"/>
      <c r="R81" s="153"/>
      <c r="S81" s="155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</row>
    <row r="82" spans="1:44" s="3" customFormat="1" ht="12.75">
      <c r="A82" s="71"/>
      <c r="B82" s="59"/>
      <c r="C82" s="58" t="s">
        <v>46</v>
      </c>
      <c r="D82" s="72"/>
      <c r="F82" s="153">
        <v>4309</v>
      </c>
      <c r="G82" s="154">
        <v>70</v>
      </c>
      <c r="H82" s="153">
        <v>5489</v>
      </c>
      <c r="I82" s="154">
        <v>788</v>
      </c>
      <c r="J82" s="153">
        <v>6312</v>
      </c>
      <c r="K82" s="154">
        <v>900</v>
      </c>
      <c r="L82" s="164">
        <f>ROUND((12765/1936.27)*1000,0)</f>
        <v>6593</v>
      </c>
      <c r="M82" s="155">
        <f>+ROUND(1834790/1936.27,0)</f>
        <v>948</v>
      </c>
      <c r="N82" s="153">
        <v>6410</v>
      </c>
      <c r="O82" s="161">
        <f>ROUND((1847271/1936.27),0)</f>
        <v>954</v>
      </c>
      <c r="P82" s="153">
        <v>6977</v>
      </c>
      <c r="Q82" s="161">
        <v>1100</v>
      </c>
      <c r="R82" s="153">
        <v>6011</v>
      </c>
      <c r="S82" s="161">
        <v>686</v>
      </c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</row>
    <row r="83" spans="1:44" s="3" customFormat="1" ht="12.75">
      <c r="A83" s="71"/>
      <c r="B83" s="59"/>
      <c r="C83" s="58" t="s">
        <v>190</v>
      </c>
      <c r="D83" s="72"/>
      <c r="F83" s="153"/>
      <c r="G83" s="154"/>
      <c r="H83" s="153"/>
      <c r="I83" s="154"/>
      <c r="J83" s="153"/>
      <c r="K83" s="154"/>
      <c r="L83" s="164"/>
      <c r="M83" s="155"/>
      <c r="N83" s="153"/>
      <c r="O83" s="161"/>
      <c r="P83" s="153"/>
      <c r="Q83" s="161"/>
      <c r="R83" s="153">
        <v>2541</v>
      </c>
      <c r="S83" s="161">
        <v>1134</v>
      </c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</row>
    <row r="84" spans="1:44" s="3" customFormat="1" ht="12.75">
      <c r="A84" s="71"/>
      <c r="B84" s="59"/>
      <c r="C84" s="58" t="s">
        <v>189</v>
      </c>
      <c r="D84" s="72"/>
      <c r="F84" s="153"/>
      <c r="G84" s="154"/>
      <c r="H84" s="153"/>
      <c r="I84" s="154"/>
      <c r="J84" s="153"/>
      <c r="K84" s="154"/>
      <c r="L84" s="164"/>
      <c r="M84" s="155"/>
      <c r="N84" s="153"/>
      <c r="O84" s="161"/>
      <c r="P84" s="153"/>
      <c r="Q84" s="161"/>
      <c r="R84" s="153">
        <v>1198</v>
      </c>
      <c r="S84" s="161">
        <v>366</v>
      </c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</row>
    <row r="85" spans="1:44" s="85" customFormat="1" ht="12.75">
      <c r="A85" s="269"/>
      <c r="B85" s="61"/>
      <c r="C85" s="61" t="s">
        <v>178</v>
      </c>
      <c r="D85" s="84"/>
      <c r="F85" s="232">
        <v>1392</v>
      </c>
      <c r="G85" s="233">
        <v>371</v>
      </c>
      <c r="H85" s="232">
        <v>1421</v>
      </c>
      <c r="I85" s="233">
        <v>422</v>
      </c>
      <c r="J85" s="232">
        <v>1197</v>
      </c>
      <c r="K85" s="233">
        <v>247</v>
      </c>
      <c r="L85" s="238">
        <f>ROUND((2752/1936.27)*1000,0)</f>
        <v>1421</v>
      </c>
      <c r="M85" s="237">
        <f>ROUND(570922/1936.27,0)</f>
        <v>295</v>
      </c>
      <c r="N85" s="232">
        <v>2015</v>
      </c>
      <c r="O85" s="196">
        <f>ROUND((850534/1936.27),0)</f>
        <v>439</v>
      </c>
      <c r="P85" s="232">
        <v>1535</v>
      </c>
      <c r="Q85" s="196">
        <v>688</v>
      </c>
      <c r="R85" s="232"/>
      <c r="S85" s="196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</row>
    <row r="86" spans="1:44" s="3" customFormat="1" ht="12.75">
      <c r="A86" s="71"/>
      <c r="B86" s="59"/>
      <c r="C86" s="58" t="s">
        <v>47</v>
      </c>
      <c r="D86" s="72"/>
      <c r="F86" s="153">
        <f>2012+688-574</f>
        <v>2126</v>
      </c>
      <c r="G86" s="154">
        <f>651+26</f>
        <v>677</v>
      </c>
      <c r="H86" s="153">
        <f>3176+1432-398</f>
        <v>4210</v>
      </c>
      <c r="I86" s="154">
        <f>101+1224+1303-101</f>
        <v>2527</v>
      </c>
      <c r="J86" s="153">
        <v>2576</v>
      </c>
      <c r="K86" s="154">
        <f>177+140+28</f>
        <v>345</v>
      </c>
      <c r="L86" s="164">
        <f>ROUND((6537/1936.27)*1000,0)</f>
        <v>3376</v>
      </c>
      <c r="M86" s="155">
        <f>ROUND(1533955/1936.27,0)</f>
        <v>792</v>
      </c>
      <c r="N86" s="153">
        <v>2520</v>
      </c>
      <c r="O86" s="161">
        <f>ROUND((244356/1936.27),0)</f>
        <v>126</v>
      </c>
      <c r="P86" s="153">
        <v>3846</v>
      </c>
      <c r="Q86" s="161">
        <v>1242</v>
      </c>
      <c r="R86" s="153">
        <v>4521</v>
      </c>
      <c r="S86" s="161">
        <v>1476</v>
      </c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</row>
    <row r="87" spans="1:44" s="3" customFormat="1" ht="12.75">
      <c r="A87" s="71"/>
      <c r="B87" s="59"/>
      <c r="C87" s="58" t="s">
        <v>159</v>
      </c>
      <c r="D87" s="72"/>
      <c r="F87" s="153">
        <v>2582</v>
      </c>
      <c r="G87" s="154"/>
      <c r="H87" s="153">
        <v>2659</v>
      </c>
      <c r="I87" s="154"/>
      <c r="J87" s="153">
        <f>3496-1</f>
        <v>3495</v>
      </c>
      <c r="K87" s="154"/>
      <c r="L87" s="164">
        <f>ROUND((7815/1936.27)*1000,0)</f>
        <v>4036</v>
      </c>
      <c r="M87" s="155"/>
      <c r="N87" s="153">
        <v>4063</v>
      </c>
      <c r="O87" s="155"/>
      <c r="P87" s="153">
        <v>4757</v>
      </c>
      <c r="Q87" s="155">
        <v>2641</v>
      </c>
      <c r="R87" s="153">
        <v>5353</v>
      </c>
      <c r="S87" s="155">
        <v>3212</v>
      </c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</row>
    <row r="88" spans="1:44" s="3" customFormat="1" ht="12.75">
      <c r="A88" s="71"/>
      <c r="B88" s="59"/>
      <c r="C88" s="58" t="s">
        <v>191</v>
      </c>
      <c r="D88" s="72"/>
      <c r="F88" s="153">
        <v>1033</v>
      </c>
      <c r="G88" s="154"/>
      <c r="H88" s="153">
        <v>1492</v>
      </c>
      <c r="I88" s="154">
        <v>356</v>
      </c>
      <c r="J88" s="153">
        <v>1162</v>
      </c>
      <c r="K88" s="154"/>
      <c r="L88" s="164">
        <f>ROUND((2019/1936.27)*1000,0)</f>
        <v>1043</v>
      </c>
      <c r="M88" s="155">
        <f>ROUND(247831/1936.27,0)</f>
        <v>128</v>
      </c>
      <c r="N88" s="153">
        <v>1990</v>
      </c>
      <c r="O88" s="155">
        <f>ROUND((568177/1936.27),0)</f>
        <v>293</v>
      </c>
      <c r="P88" s="153">
        <v>2521</v>
      </c>
      <c r="Q88" s="155">
        <v>544</v>
      </c>
      <c r="R88" s="153">
        <v>2477</v>
      </c>
      <c r="S88" s="155">
        <v>553</v>
      </c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</row>
    <row r="89" spans="1:44" s="3" customFormat="1" ht="12.75">
      <c r="A89" s="71"/>
      <c r="B89" s="59"/>
      <c r="C89" s="59" t="s">
        <v>104</v>
      </c>
      <c r="D89" s="72"/>
      <c r="F89" s="153">
        <v>47</v>
      </c>
      <c r="G89" s="154"/>
      <c r="H89" s="153">
        <v>568</v>
      </c>
      <c r="I89" s="154"/>
      <c r="J89" s="153">
        <v>553</v>
      </c>
      <c r="K89" s="154"/>
      <c r="L89" s="164">
        <f>ROUND((12065/1936.27)*1000,0)</f>
        <v>6231</v>
      </c>
      <c r="M89" s="155">
        <f>ROUND(10200000/1936.27,0)</f>
        <v>5268</v>
      </c>
      <c r="N89" s="153">
        <v>4989</v>
      </c>
      <c r="O89" s="161">
        <f>ROUND((7773708/1936.27),0)</f>
        <v>4015</v>
      </c>
      <c r="P89" s="153">
        <v>6274</v>
      </c>
      <c r="Q89" s="161">
        <v>6211</v>
      </c>
      <c r="R89" s="153">
        <v>4508</v>
      </c>
      <c r="S89" s="161">
        <v>4474</v>
      </c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</row>
    <row r="90" spans="1:44" s="3" customFormat="1" ht="12.75">
      <c r="A90" s="71"/>
      <c r="B90" s="285" t="s">
        <v>132</v>
      </c>
      <c r="C90" s="285"/>
      <c r="D90" s="286"/>
      <c r="F90" s="205">
        <f aca="true" t="shared" si="17" ref="F90:O90">SUM(F91:F95)</f>
        <v>2314</v>
      </c>
      <c r="G90" s="205">
        <f t="shared" si="17"/>
        <v>1661</v>
      </c>
      <c r="H90" s="205">
        <f t="shared" si="17"/>
        <v>2378</v>
      </c>
      <c r="I90" s="205">
        <f t="shared" si="17"/>
        <v>1551</v>
      </c>
      <c r="J90" s="205">
        <f t="shared" si="17"/>
        <v>2265</v>
      </c>
      <c r="K90" s="205">
        <f t="shared" si="17"/>
        <v>730</v>
      </c>
      <c r="L90" s="205">
        <f t="shared" si="17"/>
        <v>2883</v>
      </c>
      <c r="M90" s="205">
        <f t="shared" si="17"/>
        <v>1143</v>
      </c>
      <c r="N90" s="205">
        <f t="shared" si="17"/>
        <v>3765</v>
      </c>
      <c r="O90" s="205">
        <f t="shared" si="17"/>
        <v>1217</v>
      </c>
      <c r="P90" s="205">
        <f>SUM(P91:P95)</f>
        <v>4328</v>
      </c>
      <c r="Q90" s="205">
        <f>SUM(Q91:Q95)</f>
        <v>1363</v>
      </c>
      <c r="R90" s="205">
        <f>SUM(R91:R95)</f>
        <v>4866</v>
      </c>
      <c r="S90" s="205">
        <f>SUM(S91:S95)</f>
        <v>1256</v>
      </c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</row>
    <row r="91" spans="1:44" s="3" customFormat="1" ht="12.75">
      <c r="A91" s="71"/>
      <c r="B91" s="59"/>
      <c r="C91" s="58" t="s">
        <v>42</v>
      </c>
      <c r="D91" s="72"/>
      <c r="F91" s="153">
        <v>139</v>
      </c>
      <c r="G91" s="154">
        <v>37</v>
      </c>
      <c r="H91" s="161">
        <v>227</v>
      </c>
      <c r="I91" s="155">
        <v>85</v>
      </c>
      <c r="J91" s="153">
        <v>221</v>
      </c>
      <c r="K91" s="154">
        <v>38</v>
      </c>
      <c r="L91" s="164">
        <f>ROUND((1367/1936.27)*1000,0)</f>
        <v>706</v>
      </c>
      <c r="M91" s="161">
        <f>ROUND(361500/1936.27,0)</f>
        <v>187</v>
      </c>
      <c r="N91" s="161">
        <v>399</v>
      </c>
      <c r="O91" s="161">
        <f>ROUND((107600/1936.27),0)</f>
        <v>56</v>
      </c>
      <c r="P91" s="161">
        <v>142</v>
      </c>
      <c r="Q91" s="161">
        <v>23</v>
      </c>
      <c r="R91" s="161">
        <v>137</v>
      </c>
      <c r="S91" s="161">
        <v>38</v>
      </c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</row>
    <row r="92" spans="1:44" s="3" customFormat="1" ht="12.75">
      <c r="A92" s="71"/>
      <c r="B92" s="59"/>
      <c r="C92" s="59" t="s">
        <v>133</v>
      </c>
      <c r="D92" s="72"/>
      <c r="F92" s="153">
        <f>540-ROUND(20000/1936.27,0)</f>
        <v>530</v>
      </c>
      <c r="G92" s="154">
        <v>150</v>
      </c>
      <c r="H92" s="153">
        <f>320-ROUND(12000/1936.27,0)</f>
        <v>314</v>
      </c>
      <c r="I92" s="154">
        <v>182</v>
      </c>
      <c r="J92" s="153">
        <f>875-ROUND(17973/1936.27,0)</f>
        <v>866</v>
      </c>
      <c r="K92" s="154">
        <v>117</v>
      </c>
      <c r="L92" s="164">
        <f>ROUND((1634/1936.27)*1000,0)</f>
        <v>844</v>
      </c>
      <c r="M92" s="161">
        <f>ROUND(292090/1936.27,0)</f>
        <v>151</v>
      </c>
      <c r="N92" s="161">
        <v>888</v>
      </c>
      <c r="O92" s="161">
        <f>ROUND((300000/1936.27),0)</f>
        <v>155</v>
      </c>
      <c r="P92" s="161">
        <v>1796</v>
      </c>
      <c r="Q92" s="161">
        <v>604</v>
      </c>
      <c r="R92" s="161">
        <v>2171</v>
      </c>
      <c r="S92" s="161">
        <v>570</v>
      </c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</row>
    <row r="93" spans="1:44" s="3" customFormat="1" ht="12.75">
      <c r="A93" s="71"/>
      <c r="B93" s="59"/>
      <c r="C93" s="58" t="s">
        <v>160</v>
      </c>
      <c r="D93" s="72"/>
      <c r="F93" s="153">
        <v>70</v>
      </c>
      <c r="G93" s="154">
        <v>0</v>
      </c>
      <c r="H93" s="153">
        <f>480-ROUND((580000+128796)/1936.27,0)</f>
        <v>114</v>
      </c>
      <c r="I93" s="154">
        <v>0</v>
      </c>
      <c r="J93" s="153">
        <f>596-ROUND((87000+650000)/1936.27,0)</f>
        <v>215</v>
      </c>
      <c r="K93" s="154">
        <f>59-45</f>
        <v>14</v>
      </c>
      <c r="L93" s="164">
        <f>ROUND((368/1936.27)*1000,0)</f>
        <v>190</v>
      </c>
      <c r="M93" s="161">
        <f>ROUND(23000/1936.27,0)</f>
        <v>12</v>
      </c>
      <c r="N93" s="161">
        <v>203</v>
      </c>
      <c r="O93" s="161"/>
      <c r="P93" s="161">
        <v>127</v>
      </c>
      <c r="Q93" s="161"/>
      <c r="R93" s="161">
        <v>147</v>
      </c>
      <c r="S93" s="16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</row>
    <row r="94" spans="1:44" s="3" customFormat="1" ht="12.75">
      <c r="A94" s="71"/>
      <c r="B94" s="59"/>
      <c r="C94" s="58" t="s">
        <v>161</v>
      </c>
      <c r="D94" s="72"/>
      <c r="F94" s="153">
        <f>+ROUND((307100+65000+20000+6451)/1936.27,0)</f>
        <v>206</v>
      </c>
      <c r="G94" s="154">
        <v>206</v>
      </c>
      <c r="H94" s="153">
        <f>0+ROUND((65000+12000+580000+128796)/1936.27,0)</f>
        <v>406</v>
      </c>
      <c r="I94" s="154">
        <v>67</v>
      </c>
      <c r="J94" s="153">
        <f>+ROUND((18000+87000+650000)/1936.27,0)</f>
        <v>390</v>
      </c>
      <c r="K94" s="154">
        <v>45</v>
      </c>
      <c r="L94" s="164">
        <f>ROUND((2213/1936.27)*1000,0)</f>
        <v>1143</v>
      </c>
      <c r="M94" s="161">
        <f>ROUND(1536207/1936.27,0)</f>
        <v>793</v>
      </c>
      <c r="N94" s="161">
        <v>2275</v>
      </c>
      <c r="O94" s="161">
        <f>ROUND((1948733/1936.27),0)</f>
        <v>1006</v>
      </c>
      <c r="P94" s="161">
        <v>2263</v>
      </c>
      <c r="Q94" s="161">
        <v>736</v>
      </c>
      <c r="R94" s="161">
        <v>2411</v>
      </c>
      <c r="S94" s="161">
        <v>648</v>
      </c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</row>
    <row r="95" spans="1:44" s="3" customFormat="1" ht="12.75">
      <c r="A95" s="100"/>
      <c r="B95" s="101"/>
      <c r="C95" s="178" t="s">
        <v>134</v>
      </c>
      <c r="D95" s="179"/>
      <c r="E95" s="180"/>
      <c r="F95" s="246">
        <f>1561-ROUND((307100+65000)/1936.27,0)</f>
        <v>1369</v>
      </c>
      <c r="G95" s="247">
        <f>1427-159</f>
        <v>1268</v>
      </c>
      <c r="H95" s="246">
        <f>1351-ROUND(65000/1936.27,0)</f>
        <v>1317</v>
      </c>
      <c r="I95" s="247">
        <v>1217</v>
      </c>
      <c r="J95" s="246">
        <f>573</f>
        <v>573</v>
      </c>
      <c r="K95" s="247">
        <v>516</v>
      </c>
      <c r="L95" s="248">
        <v>0</v>
      </c>
      <c r="M95" s="181"/>
      <c r="N95" s="181">
        <v>0</v>
      </c>
      <c r="O95" s="181"/>
      <c r="P95" s="181"/>
      <c r="Q95" s="181"/>
      <c r="R95" s="181"/>
      <c r="S95" s="181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191"/>
      <c r="AR95" s="191"/>
    </row>
    <row r="96" spans="1:44" s="3" customFormat="1" ht="12.75">
      <c r="A96" s="307" t="s">
        <v>135</v>
      </c>
      <c r="B96" s="305"/>
      <c r="C96" s="305"/>
      <c r="D96" s="306"/>
      <c r="E96" s="173"/>
      <c r="F96" s="204">
        <f aca="true" t="shared" si="18" ref="F96:S96">+F97+F98+F99+F114+F120</f>
        <v>13851</v>
      </c>
      <c r="G96" s="204">
        <f t="shared" si="18"/>
        <v>1211</v>
      </c>
      <c r="H96" s="204">
        <f t="shared" si="18"/>
        <v>19341</v>
      </c>
      <c r="I96" s="204">
        <f t="shared" si="18"/>
        <v>1414</v>
      </c>
      <c r="J96" s="204">
        <f t="shared" si="18"/>
        <v>24272</v>
      </c>
      <c r="K96" s="204">
        <f t="shared" si="18"/>
        <v>9948</v>
      </c>
      <c r="L96" s="204">
        <f t="shared" si="18"/>
        <v>21897</v>
      </c>
      <c r="M96" s="204">
        <f t="shared" si="18"/>
        <v>5367</v>
      </c>
      <c r="N96" s="204">
        <f t="shared" si="18"/>
        <v>20290</v>
      </c>
      <c r="O96" s="204">
        <f t="shared" si="18"/>
        <v>4556</v>
      </c>
      <c r="P96" s="204">
        <f t="shared" si="18"/>
        <v>19210</v>
      </c>
      <c r="Q96" s="204">
        <f t="shared" si="18"/>
        <v>3134</v>
      </c>
      <c r="R96" s="204">
        <f t="shared" si="18"/>
        <v>22568</v>
      </c>
      <c r="S96" s="204">
        <f t="shared" si="18"/>
        <v>5022</v>
      </c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</row>
    <row r="97" spans="1:44" s="3" customFormat="1" ht="12.75">
      <c r="A97" s="71"/>
      <c r="B97" s="59"/>
      <c r="C97" s="59" t="s">
        <v>136</v>
      </c>
      <c r="D97" s="72"/>
      <c r="F97" s="161"/>
      <c r="G97" s="155"/>
      <c r="H97" s="161"/>
      <c r="I97" s="155"/>
      <c r="J97" s="154"/>
      <c r="K97" s="154"/>
      <c r="L97" s="162"/>
      <c r="M97" s="155"/>
      <c r="N97" s="154"/>
      <c r="O97" s="155"/>
      <c r="P97" s="153"/>
      <c r="Q97" s="155"/>
      <c r="R97" s="154"/>
      <c r="S97" s="155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</row>
    <row r="98" spans="1:44" s="3" customFormat="1" ht="12.75">
      <c r="A98" s="71"/>
      <c r="B98" s="285" t="s">
        <v>162</v>
      </c>
      <c r="C98" s="295"/>
      <c r="D98" s="296"/>
      <c r="F98" s="208"/>
      <c r="G98" s="250"/>
      <c r="H98" s="208"/>
      <c r="I98" s="250"/>
      <c r="J98" s="208"/>
      <c r="K98" s="250"/>
      <c r="L98" s="251">
        <f>ROUND((40/1936.27)*1000,0)</f>
        <v>21</v>
      </c>
      <c r="M98" s="162"/>
      <c r="N98" s="208">
        <v>231</v>
      </c>
      <c r="O98" s="162"/>
      <c r="P98" s="208">
        <v>71</v>
      </c>
      <c r="Q98" s="162"/>
      <c r="R98" s="208">
        <v>472</v>
      </c>
      <c r="S98" s="224">
        <v>203</v>
      </c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</row>
    <row r="99" spans="1:44" s="3" customFormat="1" ht="12.75">
      <c r="A99" s="71"/>
      <c r="B99" s="285" t="s">
        <v>137</v>
      </c>
      <c r="C99" s="295"/>
      <c r="D99" s="296"/>
      <c r="F99" s="208">
        <f aca="true" t="shared" si="19" ref="F99:O99">SUM(F100:F113)</f>
        <v>7682</v>
      </c>
      <c r="G99" s="208">
        <f t="shared" si="19"/>
        <v>93</v>
      </c>
      <c r="H99" s="208">
        <f t="shared" si="19"/>
        <v>13043</v>
      </c>
      <c r="I99" s="208">
        <f t="shared" si="19"/>
        <v>303</v>
      </c>
      <c r="J99" s="208">
        <f t="shared" si="19"/>
        <v>16143</v>
      </c>
      <c r="K99" s="208">
        <f t="shared" si="19"/>
        <v>7319</v>
      </c>
      <c r="L99" s="208">
        <f t="shared" si="19"/>
        <v>14651</v>
      </c>
      <c r="M99" s="208">
        <f t="shared" si="19"/>
        <v>3888</v>
      </c>
      <c r="N99" s="208">
        <f t="shared" si="19"/>
        <v>11327</v>
      </c>
      <c r="O99" s="208">
        <f t="shared" si="19"/>
        <v>1616</v>
      </c>
      <c r="P99" s="208">
        <f>SUM(P100:P113)</f>
        <v>10135</v>
      </c>
      <c r="Q99" s="208">
        <f>SUM(Q100:Q113)</f>
        <v>542</v>
      </c>
      <c r="R99" s="208">
        <f>SUM(R100:R113)</f>
        <v>12794</v>
      </c>
      <c r="S99" s="208">
        <f>SUM(S100:S113)</f>
        <v>1842</v>
      </c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</row>
    <row r="100" spans="1:44" s="3" customFormat="1" ht="12.75">
      <c r="A100" s="71"/>
      <c r="B100" s="81"/>
      <c r="C100" s="59" t="s">
        <v>12</v>
      </c>
      <c r="D100" s="24"/>
      <c r="F100" s="153">
        <v>193</v>
      </c>
      <c r="G100" s="154">
        <v>27</v>
      </c>
      <c r="H100" s="161">
        <f>ROUND(828000/1936.27,0)</f>
        <v>428</v>
      </c>
      <c r="I100" s="155">
        <v>238</v>
      </c>
      <c r="J100" s="153">
        <v>694</v>
      </c>
      <c r="K100" s="154">
        <v>525</v>
      </c>
      <c r="L100" s="164">
        <f>ROUND((843/1936.27)*1000,0)</f>
        <v>435</v>
      </c>
      <c r="M100" s="155">
        <f>ROUND(329000/1936.27,0)</f>
        <v>170</v>
      </c>
      <c r="N100" s="153">
        <v>1846</v>
      </c>
      <c r="O100" s="161">
        <f>ROUND((3015000/1936.27),0)</f>
        <v>1557</v>
      </c>
      <c r="P100" s="153">
        <v>113</v>
      </c>
      <c r="Q100" s="161"/>
      <c r="R100" s="153">
        <v>191</v>
      </c>
      <c r="S100" s="16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</row>
    <row r="101" spans="1:44" s="3" customFormat="1" ht="12.75">
      <c r="A101" s="71"/>
      <c r="B101" s="81"/>
      <c r="C101" s="59" t="s">
        <v>192</v>
      </c>
      <c r="D101" s="24"/>
      <c r="F101" s="153">
        <v>1042</v>
      </c>
      <c r="G101" s="154"/>
      <c r="H101" s="161">
        <f>ROUND(8731000/1936.27,0)</f>
        <v>4509</v>
      </c>
      <c r="I101" s="154"/>
      <c r="J101" s="153">
        <v>805</v>
      </c>
      <c r="K101" s="154"/>
      <c r="L101" s="164">
        <f>ROUND((674/1936.27)*1000,0)</f>
        <v>348</v>
      </c>
      <c r="M101" s="155"/>
      <c r="N101" s="153">
        <v>1310</v>
      </c>
      <c r="O101" s="161"/>
      <c r="P101" s="153">
        <v>1288</v>
      </c>
      <c r="Q101" s="161">
        <v>87</v>
      </c>
      <c r="R101" s="153">
        <v>2125</v>
      </c>
      <c r="S101" s="161">
        <v>819</v>
      </c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</row>
    <row r="102" spans="1:44" s="3" customFormat="1" ht="12.75">
      <c r="A102" s="71"/>
      <c r="B102" s="81"/>
      <c r="C102" s="59" t="s">
        <v>163</v>
      </c>
      <c r="D102" s="24"/>
      <c r="F102" s="153"/>
      <c r="G102" s="154"/>
      <c r="H102" s="161">
        <f>ROUND(1973000/1936.27,0)</f>
        <v>1019</v>
      </c>
      <c r="I102" s="154"/>
      <c r="J102" s="153">
        <v>7165</v>
      </c>
      <c r="K102" s="154">
        <v>6714</v>
      </c>
      <c r="L102" s="164">
        <f>ROUND((11149/1936.27)*1000,0)</f>
        <v>5758</v>
      </c>
      <c r="M102" s="155">
        <v>3615</v>
      </c>
      <c r="N102" s="153">
        <v>0</v>
      </c>
      <c r="O102" s="161"/>
      <c r="P102" s="153">
        <v>270</v>
      </c>
      <c r="Q102" s="161">
        <v>270</v>
      </c>
      <c r="R102" s="153">
        <v>59</v>
      </c>
      <c r="S102" s="161">
        <v>59</v>
      </c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</row>
    <row r="103" spans="1:44" s="3" customFormat="1" ht="12.75">
      <c r="A103" s="71"/>
      <c r="B103" s="81"/>
      <c r="C103" s="59" t="s">
        <v>77</v>
      </c>
      <c r="D103" s="24"/>
      <c r="F103" s="153">
        <v>2549</v>
      </c>
      <c r="G103" s="154"/>
      <c r="H103" s="161">
        <f>ROUND(5539000/1936.27,0)</f>
        <v>2861</v>
      </c>
      <c r="I103" s="154"/>
      <c r="J103" s="153">
        <v>3001</v>
      </c>
      <c r="K103" s="154"/>
      <c r="L103" s="164">
        <f>ROUND((6431/1936.27)*1000,0)</f>
        <v>3321</v>
      </c>
      <c r="M103" s="155"/>
      <c r="N103" s="153">
        <v>2893</v>
      </c>
      <c r="O103" s="161"/>
      <c r="P103" s="153">
        <v>2680</v>
      </c>
      <c r="Q103" s="161"/>
      <c r="R103" s="153">
        <v>2879</v>
      </c>
      <c r="S103" s="161">
        <v>8</v>
      </c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</row>
    <row r="104" spans="1:44" s="3" customFormat="1" ht="12.75">
      <c r="A104" s="71"/>
      <c r="B104" s="81"/>
      <c r="C104" s="59" t="s">
        <v>32</v>
      </c>
      <c r="D104" s="24"/>
      <c r="F104" s="153">
        <v>479</v>
      </c>
      <c r="G104" s="154">
        <v>3</v>
      </c>
      <c r="H104" s="161">
        <f>ROUND(1266000/1936.27,0)</f>
        <v>654</v>
      </c>
      <c r="I104" s="154">
        <v>6</v>
      </c>
      <c r="J104" s="153">
        <v>728</v>
      </c>
      <c r="K104" s="154">
        <v>3</v>
      </c>
      <c r="L104" s="164">
        <f>ROUND((1670/1936.27)*1000,0)</f>
        <v>862</v>
      </c>
      <c r="M104" s="155">
        <f>+ROUND(4319/1936.27,0)</f>
        <v>2</v>
      </c>
      <c r="N104" s="153">
        <v>757</v>
      </c>
      <c r="O104" s="161">
        <v>2</v>
      </c>
      <c r="P104" s="153">
        <v>895</v>
      </c>
      <c r="Q104" s="161">
        <v>53</v>
      </c>
      <c r="R104" s="153">
        <v>1436</v>
      </c>
      <c r="S104" s="161">
        <v>701</v>
      </c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</row>
    <row r="105" spans="1:44" s="3" customFormat="1" ht="12.75">
      <c r="A105" s="71"/>
      <c r="B105" s="81"/>
      <c r="C105" s="59" t="s">
        <v>164</v>
      </c>
      <c r="D105" s="24"/>
      <c r="F105" s="153">
        <v>363</v>
      </c>
      <c r="G105" s="154"/>
      <c r="H105" s="161">
        <f>ROUND(675000/1936.27,0)</f>
        <v>349</v>
      </c>
      <c r="I105" s="154"/>
      <c r="J105" s="153">
        <v>588</v>
      </c>
      <c r="K105" s="154"/>
      <c r="L105" s="164">
        <f>ROUND((1278/1936.27)*1000,0)</f>
        <v>660</v>
      </c>
      <c r="M105" s="155"/>
      <c r="N105" s="153">
        <v>1082</v>
      </c>
      <c r="O105" s="161"/>
      <c r="P105" s="153">
        <v>1509</v>
      </c>
      <c r="Q105" s="161"/>
      <c r="R105" s="153">
        <v>2501</v>
      </c>
      <c r="S105" s="161">
        <v>70</v>
      </c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</row>
    <row r="106" spans="1:44" s="3" customFormat="1" ht="12.75">
      <c r="A106" s="71"/>
      <c r="B106" s="81"/>
      <c r="C106" s="59" t="s">
        <v>33</v>
      </c>
      <c r="D106" s="24"/>
      <c r="F106" s="153">
        <v>434</v>
      </c>
      <c r="G106" s="154"/>
      <c r="H106" s="161">
        <f>ROUND(968000/1936.27,0)</f>
        <v>500</v>
      </c>
      <c r="I106" s="154"/>
      <c r="J106" s="153">
        <v>410</v>
      </c>
      <c r="K106" s="154"/>
      <c r="L106" s="164">
        <f>ROUND((748/1936.27)*1000,0)</f>
        <v>386</v>
      </c>
      <c r="M106" s="155"/>
      <c r="N106" s="153">
        <v>457</v>
      </c>
      <c r="O106" s="161"/>
      <c r="P106" s="153">
        <v>454</v>
      </c>
      <c r="Q106" s="161">
        <v>19</v>
      </c>
      <c r="R106" s="153">
        <v>451</v>
      </c>
      <c r="S106" s="161">
        <v>19</v>
      </c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</row>
    <row r="107" spans="1:44" s="3" customFormat="1" ht="12.75">
      <c r="A107" s="71"/>
      <c r="B107" s="81"/>
      <c r="C107" s="59" t="s">
        <v>34</v>
      </c>
      <c r="D107" s="24"/>
      <c r="F107" s="153">
        <v>456</v>
      </c>
      <c r="G107" s="154"/>
      <c r="H107" s="161">
        <f>ROUND(1172000/1936.27,0)</f>
        <v>605</v>
      </c>
      <c r="I107" s="154"/>
      <c r="J107" s="153">
        <v>617</v>
      </c>
      <c r="K107" s="154"/>
      <c r="L107" s="164">
        <f>ROUND((1194/1936.27)*1000,0)</f>
        <v>617</v>
      </c>
      <c r="M107" s="155"/>
      <c r="N107" s="153">
        <v>746</v>
      </c>
      <c r="O107" s="161"/>
      <c r="P107" s="153">
        <v>650</v>
      </c>
      <c r="Q107" s="161"/>
      <c r="R107" s="153">
        <v>620</v>
      </c>
      <c r="S107" s="16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</row>
    <row r="108" spans="1:44" s="3" customFormat="1" ht="12.75">
      <c r="A108" s="71"/>
      <c r="B108" s="81"/>
      <c r="C108" s="59" t="s">
        <v>35</v>
      </c>
      <c r="D108" s="24"/>
      <c r="F108" s="153">
        <v>465</v>
      </c>
      <c r="G108" s="154"/>
      <c r="H108" s="161">
        <f>ROUND(951000/1936.27,0)</f>
        <v>491</v>
      </c>
      <c r="I108" s="154"/>
      <c r="J108" s="153">
        <v>491</v>
      </c>
      <c r="K108" s="154"/>
      <c r="L108" s="164">
        <f>ROUND((961/1936.27)*1000,0)</f>
        <v>496</v>
      </c>
      <c r="M108" s="155"/>
      <c r="N108" s="153">
        <v>491</v>
      </c>
      <c r="O108" s="161"/>
      <c r="P108" s="153">
        <v>497</v>
      </c>
      <c r="Q108" s="161"/>
      <c r="R108" s="153">
        <v>647</v>
      </c>
      <c r="S108" s="161">
        <v>50</v>
      </c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</row>
    <row r="109" spans="1:44" s="3" customFormat="1" ht="12.75">
      <c r="A109" s="71"/>
      <c r="B109" s="81"/>
      <c r="C109" s="59" t="s">
        <v>36</v>
      </c>
      <c r="D109" s="24"/>
      <c r="F109" s="153">
        <v>1211</v>
      </c>
      <c r="G109" s="154"/>
      <c r="H109" s="161">
        <f>ROUND(2225000/1936.27,0)</f>
        <v>1149</v>
      </c>
      <c r="I109" s="154"/>
      <c r="J109" s="153">
        <v>1136</v>
      </c>
      <c r="K109" s="154"/>
      <c r="L109" s="164">
        <f>ROUND((2195/1936.27)*1000,0)</f>
        <v>1134</v>
      </c>
      <c r="M109" s="155"/>
      <c r="N109" s="153">
        <v>1134</v>
      </c>
      <c r="O109" s="161"/>
      <c r="P109" s="153">
        <v>1053</v>
      </c>
      <c r="Q109" s="161"/>
      <c r="R109" s="153">
        <v>1144</v>
      </c>
      <c r="S109" s="16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</row>
    <row r="110" spans="1:44" s="3" customFormat="1" ht="12.75">
      <c r="A110" s="71"/>
      <c r="B110" s="81"/>
      <c r="C110" s="59" t="s">
        <v>37</v>
      </c>
      <c r="D110" s="24"/>
      <c r="F110" s="153">
        <v>139</v>
      </c>
      <c r="G110" s="154">
        <v>63</v>
      </c>
      <c r="H110" s="161">
        <f>ROUND(276000/1936.27,0)</f>
        <v>143</v>
      </c>
      <c r="I110" s="154">
        <v>59</v>
      </c>
      <c r="J110" s="153">
        <v>174</v>
      </c>
      <c r="K110" s="154">
        <v>77</v>
      </c>
      <c r="L110" s="164">
        <f>ROUND((412/1936.27)*1000,0)</f>
        <v>213</v>
      </c>
      <c r="M110" s="155">
        <f>ROUND(195300/1936.27,0)</f>
        <v>101</v>
      </c>
      <c r="N110" s="153">
        <v>191</v>
      </c>
      <c r="O110" s="161">
        <f>ROUND((110000/1936.27),0)</f>
        <v>57</v>
      </c>
      <c r="P110" s="153">
        <v>215</v>
      </c>
      <c r="Q110" s="161">
        <v>65</v>
      </c>
      <c r="R110" s="153">
        <v>209</v>
      </c>
      <c r="S110" s="161">
        <v>58</v>
      </c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</row>
    <row r="111" spans="1:44" s="3" customFormat="1" ht="12.75">
      <c r="A111" s="71"/>
      <c r="B111" s="81"/>
      <c r="C111" s="59" t="s">
        <v>38</v>
      </c>
      <c r="D111" s="24"/>
      <c r="F111" s="153">
        <v>134</v>
      </c>
      <c r="G111" s="154"/>
      <c r="H111" s="161">
        <f>ROUND(309000/1936.27,0)</f>
        <v>160</v>
      </c>
      <c r="I111" s="154"/>
      <c r="J111" s="153">
        <v>142</v>
      </c>
      <c r="K111" s="154"/>
      <c r="L111" s="164">
        <f>ROUND((411/1936.27)*1000,0)</f>
        <v>212</v>
      </c>
      <c r="M111" s="155"/>
      <c r="N111" s="153">
        <v>167</v>
      </c>
      <c r="O111" s="161"/>
      <c r="P111" s="153">
        <v>177</v>
      </c>
      <c r="Q111" s="161"/>
      <c r="R111" s="153">
        <v>191</v>
      </c>
      <c r="S111" s="16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</row>
    <row r="112" spans="1:44" s="3" customFormat="1" ht="12.75">
      <c r="A112" s="71"/>
      <c r="B112" s="81"/>
      <c r="C112" s="59" t="s">
        <v>165</v>
      </c>
      <c r="D112" s="24"/>
      <c r="F112" s="153"/>
      <c r="G112" s="154"/>
      <c r="H112" s="161"/>
      <c r="I112" s="154"/>
      <c r="J112" s="153"/>
      <c r="K112" s="154"/>
      <c r="L112" s="164"/>
      <c r="M112" s="155"/>
      <c r="N112" s="153">
        <v>79</v>
      </c>
      <c r="O112" s="161"/>
      <c r="P112" s="153">
        <v>212</v>
      </c>
      <c r="Q112" s="161">
        <v>48</v>
      </c>
      <c r="R112" s="153">
        <v>242</v>
      </c>
      <c r="S112" s="161">
        <v>58</v>
      </c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</row>
    <row r="113" spans="1:44" s="3" customFormat="1" ht="12.75">
      <c r="A113" s="71"/>
      <c r="B113" s="81"/>
      <c r="C113" s="59" t="s">
        <v>166</v>
      </c>
      <c r="D113" s="24"/>
      <c r="F113" s="153">
        <v>217</v>
      </c>
      <c r="G113" s="154"/>
      <c r="H113" s="161">
        <f>ROUND(339000/1936.27,0)</f>
        <v>175</v>
      </c>
      <c r="I113" s="154"/>
      <c r="J113" s="153">
        <v>192</v>
      </c>
      <c r="K113" s="154"/>
      <c r="L113" s="164">
        <f>ROUND((405/1936.27)*1000,0)</f>
        <v>209</v>
      </c>
      <c r="M113" s="161"/>
      <c r="N113" s="155">
        <v>174</v>
      </c>
      <c r="O113" s="155"/>
      <c r="P113" s="161">
        <v>122</v>
      </c>
      <c r="Q113" s="155"/>
      <c r="R113" s="155">
        <v>99</v>
      </c>
      <c r="S113" s="155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</row>
    <row r="114" spans="1:44" s="3" customFormat="1" ht="12.75">
      <c r="A114" s="71"/>
      <c r="B114" s="294" t="s">
        <v>219</v>
      </c>
      <c r="C114" s="295"/>
      <c r="D114" s="296"/>
      <c r="F114" s="208">
        <f aca="true" t="shared" si="20" ref="F114:S114">SUM(F115:F119)</f>
        <v>2048</v>
      </c>
      <c r="G114" s="208">
        <f t="shared" si="20"/>
        <v>1112</v>
      </c>
      <c r="H114" s="208">
        <f t="shared" si="20"/>
        <v>2139</v>
      </c>
      <c r="I114" s="208">
        <f t="shared" si="20"/>
        <v>1098</v>
      </c>
      <c r="J114" s="208">
        <f t="shared" si="20"/>
        <v>3802</v>
      </c>
      <c r="K114" s="208">
        <f t="shared" si="20"/>
        <v>2626</v>
      </c>
      <c r="L114" s="208">
        <f t="shared" si="20"/>
        <v>3137</v>
      </c>
      <c r="M114" s="208">
        <f t="shared" si="20"/>
        <v>1474</v>
      </c>
      <c r="N114" s="208">
        <f t="shared" si="20"/>
        <v>4605</v>
      </c>
      <c r="O114" s="208">
        <f t="shared" si="20"/>
        <v>2927</v>
      </c>
      <c r="P114" s="208">
        <f t="shared" si="20"/>
        <v>4557</v>
      </c>
      <c r="Q114" s="208">
        <f t="shared" si="20"/>
        <v>2491</v>
      </c>
      <c r="R114" s="208">
        <f t="shared" si="20"/>
        <v>5318</v>
      </c>
      <c r="S114" s="208">
        <f t="shared" si="20"/>
        <v>2891</v>
      </c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</row>
    <row r="115" spans="1:44" s="3" customFormat="1" ht="12.75">
      <c r="A115" s="71"/>
      <c r="B115" s="81"/>
      <c r="C115" s="19" t="s">
        <v>12</v>
      </c>
      <c r="D115" s="24"/>
      <c r="F115" s="164">
        <v>0</v>
      </c>
      <c r="G115" s="162"/>
      <c r="H115" s="164">
        <v>206</v>
      </c>
      <c r="I115" s="162"/>
      <c r="J115" s="200">
        <v>427</v>
      </c>
      <c r="K115" s="222">
        <v>15</v>
      </c>
      <c r="L115" s="164">
        <f>ROUND((1066/1936.27)*1000,0)</f>
        <v>551</v>
      </c>
      <c r="M115" s="162">
        <f>ROUND(94145/1936.27,0)</f>
        <v>49</v>
      </c>
      <c r="N115" s="164">
        <v>491</v>
      </c>
      <c r="O115" s="164">
        <f>ROUND((77157/1936.27),0)</f>
        <v>40</v>
      </c>
      <c r="P115" s="164">
        <v>391</v>
      </c>
      <c r="Q115" s="164"/>
      <c r="R115" s="164">
        <v>171</v>
      </c>
      <c r="S115" s="164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</row>
    <row r="116" spans="1:44" s="3" customFormat="1" ht="12.75">
      <c r="A116" s="71"/>
      <c r="B116" s="81"/>
      <c r="C116" s="59" t="s">
        <v>179</v>
      </c>
      <c r="D116" s="24"/>
      <c r="F116" s="161">
        <v>1378</v>
      </c>
      <c r="G116" s="155">
        <v>1064</v>
      </c>
      <c r="H116" s="161">
        <v>1454</v>
      </c>
      <c r="I116" s="155">
        <v>1040</v>
      </c>
      <c r="J116" s="153">
        <v>2878</v>
      </c>
      <c r="K116" s="154">
        <v>2516</v>
      </c>
      <c r="L116" s="164">
        <f>ROUND((3709/1936.27)*1000,0)</f>
        <v>1916</v>
      </c>
      <c r="M116" s="155">
        <f>ROUND(2282348/1936.27,0)</f>
        <v>1179</v>
      </c>
      <c r="N116" s="161">
        <v>2896</v>
      </c>
      <c r="O116" s="161">
        <f>ROUND((5225459/1936.27),0)</f>
        <v>2699</v>
      </c>
      <c r="P116" s="161">
        <v>2431</v>
      </c>
      <c r="Q116" s="161">
        <v>2087</v>
      </c>
      <c r="R116" s="161">
        <v>2731</v>
      </c>
      <c r="S116" s="161">
        <v>2460</v>
      </c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</row>
    <row r="117" spans="1:44" s="3" customFormat="1" ht="12.75">
      <c r="A117" s="71"/>
      <c r="B117" s="81"/>
      <c r="C117" s="59" t="s">
        <v>180</v>
      </c>
      <c r="D117" s="24"/>
      <c r="F117" s="161">
        <v>243</v>
      </c>
      <c r="G117" s="155">
        <v>14</v>
      </c>
      <c r="H117" s="161">
        <v>35</v>
      </c>
      <c r="I117" s="155">
        <v>17</v>
      </c>
      <c r="J117" s="153">
        <v>30</v>
      </c>
      <c r="K117" s="154">
        <v>30</v>
      </c>
      <c r="L117" s="164">
        <f>ROUND((382/1936.27)*1000,0)</f>
        <v>197</v>
      </c>
      <c r="M117" s="155">
        <f>ROUND(381584/1936.27,0)</f>
        <v>197</v>
      </c>
      <c r="N117" s="161">
        <v>15</v>
      </c>
      <c r="O117" s="161">
        <v>15</v>
      </c>
      <c r="P117" s="161">
        <v>260</v>
      </c>
      <c r="Q117" s="161"/>
      <c r="R117" s="161">
        <v>319</v>
      </c>
      <c r="S117" s="16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</row>
    <row r="118" spans="1:44" s="3" customFormat="1" ht="12.75">
      <c r="A118" s="71"/>
      <c r="B118" s="81"/>
      <c r="C118" s="59" t="s">
        <v>107</v>
      </c>
      <c r="D118" s="24"/>
      <c r="F118" s="161"/>
      <c r="G118" s="155"/>
      <c r="H118" s="161"/>
      <c r="I118" s="155"/>
      <c r="J118" s="153"/>
      <c r="K118" s="154"/>
      <c r="L118" s="164"/>
      <c r="M118" s="155"/>
      <c r="N118" s="161">
        <v>758</v>
      </c>
      <c r="O118" s="161">
        <v>155</v>
      </c>
      <c r="P118" s="161">
        <v>1032</v>
      </c>
      <c r="Q118" s="161">
        <v>396</v>
      </c>
      <c r="R118" s="161">
        <v>1635</v>
      </c>
      <c r="S118" s="161">
        <v>423</v>
      </c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</row>
    <row r="119" spans="1:44" s="3" customFormat="1" ht="12.75">
      <c r="A119" s="100"/>
      <c r="B119" s="101"/>
      <c r="C119" s="110" t="s">
        <v>168</v>
      </c>
      <c r="D119" s="102"/>
      <c r="E119" s="123"/>
      <c r="F119" s="203">
        <v>427</v>
      </c>
      <c r="G119" s="240">
        <v>34</v>
      </c>
      <c r="H119" s="203">
        <v>444</v>
      </c>
      <c r="I119" s="240">
        <v>41</v>
      </c>
      <c r="J119" s="203">
        <v>467</v>
      </c>
      <c r="K119" s="240">
        <v>65</v>
      </c>
      <c r="L119" s="197">
        <f>ROUND((916/1936.27)*1000,0)</f>
        <v>473</v>
      </c>
      <c r="M119" s="209">
        <f>ROUND(94889/1936.27,0)</f>
        <v>49</v>
      </c>
      <c r="N119" s="209">
        <v>445</v>
      </c>
      <c r="O119" s="209">
        <f>ROUND((34765/1936.27),0)</f>
        <v>18</v>
      </c>
      <c r="P119" s="209">
        <v>443</v>
      </c>
      <c r="Q119" s="209">
        <v>8</v>
      </c>
      <c r="R119" s="209">
        <v>462</v>
      </c>
      <c r="S119" s="209">
        <v>8</v>
      </c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</row>
    <row r="120" spans="1:44" s="3" customFormat="1" ht="12.75">
      <c r="A120" s="266"/>
      <c r="B120" s="287" t="s">
        <v>138</v>
      </c>
      <c r="C120" s="288"/>
      <c r="D120" s="289"/>
      <c r="F120" s="205">
        <f aca="true" t="shared" si="21" ref="F120:O120">SUM(F121:F128)</f>
        <v>4121</v>
      </c>
      <c r="G120" s="205">
        <f t="shared" si="21"/>
        <v>6</v>
      </c>
      <c r="H120" s="205">
        <f t="shared" si="21"/>
        <v>4159</v>
      </c>
      <c r="I120" s="205">
        <f t="shared" si="21"/>
        <v>13</v>
      </c>
      <c r="J120" s="205">
        <f t="shared" si="21"/>
        <v>4327</v>
      </c>
      <c r="K120" s="205">
        <f t="shared" si="21"/>
        <v>3</v>
      </c>
      <c r="L120" s="205">
        <f t="shared" si="21"/>
        <v>4088</v>
      </c>
      <c r="M120" s="205">
        <f t="shared" si="21"/>
        <v>5</v>
      </c>
      <c r="N120" s="205">
        <f t="shared" si="21"/>
        <v>4127</v>
      </c>
      <c r="O120" s="205">
        <f t="shared" si="21"/>
        <v>13</v>
      </c>
      <c r="P120" s="205">
        <f>SUM(P121:P128)</f>
        <v>4447</v>
      </c>
      <c r="Q120" s="205">
        <f>SUM(Q121:Q128)</f>
        <v>101</v>
      </c>
      <c r="R120" s="205">
        <f>SUM(R121:R128)</f>
        <v>3984</v>
      </c>
      <c r="S120" s="205">
        <f>SUM(S121:S128)</f>
        <v>86</v>
      </c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</row>
    <row r="121" spans="1:44" s="3" customFormat="1" ht="12.75">
      <c r="A121" s="71"/>
      <c r="B121" s="59"/>
      <c r="C121" s="19" t="s">
        <v>12</v>
      </c>
      <c r="D121" s="72"/>
      <c r="F121" s="161"/>
      <c r="G121" s="155"/>
      <c r="H121" s="161"/>
      <c r="I121" s="155"/>
      <c r="J121" s="154"/>
      <c r="K121" s="154"/>
      <c r="L121" s="162"/>
      <c r="M121" s="155"/>
      <c r="N121" s="154"/>
      <c r="O121" s="155"/>
      <c r="P121" s="153">
        <v>98</v>
      </c>
      <c r="Q121" s="155"/>
      <c r="R121" s="154">
        <v>112</v>
      </c>
      <c r="S121" s="155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</row>
    <row r="122" spans="1:44" s="3" customFormat="1" ht="12.75">
      <c r="A122" s="71"/>
      <c r="B122" s="59"/>
      <c r="C122" s="19" t="s">
        <v>193</v>
      </c>
      <c r="D122" s="72"/>
      <c r="F122" s="161"/>
      <c r="G122" s="155"/>
      <c r="H122" s="161"/>
      <c r="I122" s="155"/>
      <c r="J122" s="154"/>
      <c r="K122" s="154"/>
      <c r="L122" s="162"/>
      <c r="M122" s="155"/>
      <c r="N122" s="154"/>
      <c r="O122" s="155"/>
      <c r="P122" s="153">
        <v>694</v>
      </c>
      <c r="Q122" s="155"/>
      <c r="R122" s="154">
        <v>576</v>
      </c>
      <c r="S122" s="155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</row>
    <row r="123" spans="1:44" s="3" customFormat="1" ht="12.75">
      <c r="A123" s="71"/>
      <c r="B123" s="59"/>
      <c r="C123" s="19" t="s">
        <v>194</v>
      </c>
      <c r="D123" s="72"/>
      <c r="F123" s="161"/>
      <c r="G123" s="155"/>
      <c r="H123" s="161"/>
      <c r="I123" s="155"/>
      <c r="J123" s="154"/>
      <c r="K123" s="154"/>
      <c r="L123" s="162"/>
      <c r="M123" s="155"/>
      <c r="N123" s="154"/>
      <c r="O123" s="155"/>
      <c r="P123" s="153">
        <v>484</v>
      </c>
      <c r="Q123" s="155"/>
      <c r="R123" s="154">
        <v>337</v>
      </c>
      <c r="S123" s="155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</row>
    <row r="124" spans="1:44" s="85" customFormat="1" ht="12.75">
      <c r="A124" s="269"/>
      <c r="B124" s="61"/>
      <c r="C124" s="61" t="s">
        <v>169</v>
      </c>
      <c r="D124" s="84"/>
      <c r="F124" s="232">
        <v>939</v>
      </c>
      <c r="G124" s="233"/>
      <c r="H124" s="232">
        <v>945</v>
      </c>
      <c r="I124" s="233"/>
      <c r="J124" s="232">
        <v>924</v>
      </c>
      <c r="K124" s="233"/>
      <c r="L124" s="238">
        <f>ROUND((1728/1936.27)*1000,0)</f>
        <v>892</v>
      </c>
      <c r="M124" s="196"/>
      <c r="N124" s="196">
        <v>988</v>
      </c>
      <c r="O124" s="196"/>
      <c r="P124" s="196"/>
      <c r="Q124" s="196"/>
      <c r="R124" s="196"/>
      <c r="S124" s="196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</row>
    <row r="125" spans="1:44" s="3" customFormat="1" ht="12.75">
      <c r="A125" s="71"/>
      <c r="B125" s="59"/>
      <c r="C125" s="58" t="s">
        <v>39</v>
      </c>
      <c r="D125" s="72"/>
      <c r="F125" s="153">
        <v>3107</v>
      </c>
      <c r="G125" s="154">
        <v>6</v>
      </c>
      <c r="H125" s="153">
        <v>2984</v>
      </c>
      <c r="I125" s="154">
        <v>13</v>
      </c>
      <c r="J125" s="153">
        <v>3107</v>
      </c>
      <c r="K125" s="154">
        <v>3</v>
      </c>
      <c r="L125" s="164">
        <f>ROUND((5811/1936.27)*1000,0)</f>
        <v>3001</v>
      </c>
      <c r="M125" s="161">
        <f>ROUND(10000/1936.27,0)</f>
        <v>5</v>
      </c>
      <c r="N125" s="161">
        <v>2884</v>
      </c>
      <c r="O125" s="161">
        <f>ROUND((25000/1936.27),0)</f>
        <v>13</v>
      </c>
      <c r="P125" s="161">
        <v>2800</v>
      </c>
      <c r="Q125" s="161">
        <v>63</v>
      </c>
      <c r="R125" s="161">
        <v>2611</v>
      </c>
      <c r="S125" s="161">
        <v>68</v>
      </c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</row>
    <row r="126" spans="1:44" s="3" customFormat="1" ht="12.75">
      <c r="A126" s="71"/>
      <c r="B126" s="59"/>
      <c r="C126" s="58" t="s">
        <v>195</v>
      </c>
      <c r="D126" s="72"/>
      <c r="F126" s="153"/>
      <c r="G126" s="154"/>
      <c r="H126" s="153"/>
      <c r="I126" s="154"/>
      <c r="J126" s="153"/>
      <c r="K126" s="154"/>
      <c r="L126" s="164"/>
      <c r="M126" s="161"/>
      <c r="N126" s="161"/>
      <c r="O126" s="161"/>
      <c r="P126" s="161">
        <v>318</v>
      </c>
      <c r="Q126" s="161">
        <v>38</v>
      </c>
      <c r="R126" s="161">
        <v>304</v>
      </c>
      <c r="S126" s="161">
        <v>18</v>
      </c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</row>
    <row r="127" spans="1:44" s="3" customFormat="1" ht="12.75">
      <c r="A127" s="71"/>
      <c r="B127" s="59"/>
      <c r="C127" s="58" t="s">
        <v>196</v>
      </c>
      <c r="D127" s="72"/>
      <c r="F127" s="153"/>
      <c r="G127" s="154"/>
      <c r="H127" s="153"/>
      <c r="I127" s="154"/>
      <c r="J127" s="153"/>
      <c r="K127" s="154"/>
      <c r="L127" s="164"/>
      <c r="M127" s="161"/>
      <c r="N127" s="161"/>
      <c r="O127" s="161"/>
      <c r="P127" s="161">
        <v>53</v>
      </c>
      <c r="Q127" s="161"/>
      <c r="R127" s="161">
        <v>44</v>
      </c>
      <c r="S127" s="16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</row>
    <row r="128" spans="1:44" s="85" customFormat="1" ht="12.75">
      <c r="A128" s="270"/>
      <c r="B128" s="178"/>
      <c r="C128" s="178" t="s">
        <v>71</v>
      </c>
      <c r="D128" s="179"/>
      <c r="E128" s="180"/>
      <c r="F128" s="246">
        <f>78-ROUND(6451/1936.27,0)</f>
        <v>75</v>
      </c>
      <c r="G128" s="247"/>
      <c r="H128" s="246">
        <v>230</v>
      </c>
      <c r="I128" s="247"/>
      <c r="J128" s="246">
        <f>296</f>
        <v>296</v>
      </c>
      <c r="K128" s="247"/>
      <c r="L128" s="248">
        <f>ROUND((378/1936.27)*1000,0)</f>
        <v>195</v>
      </c>
      <c r="M128" s="181"/>
      <c r="N128" s="181">
        <v>255</v>
      </c>
      <c r="O128" s="181"/>
      <c r="P128" s="181"/>
      <c r="Q128" s="181"/>
      <c r="R128" s="181"/>
      <c r="S128" s="181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</row>
    <row r="129" spans="1:44" s="173" customFormat="1" ht="12.75">
      <c r="A129" s="307" t="s">
        <v>139</v>
      </c>
      <c r="B129" s="305"/>
      <c r="C129" s="305"/>
      <c r="D129" s="306"/>
      <c r="F129" s="204">
        <f aca="true" t="shared" si="22" ref="F129:S129">+F130+F131+F138+F149</f>
        <v>18592</v>
      </c>
      <c r="G129" s="204">
        <f t="shared" si="22"/>
        <v>123</v>
      </c>
      <c r="H129" s="204">
        <f t="shared" si="22"/>
        <v>23086</v>
      </c>
      <c r="I129" s="204">
        <f t="shared" si="22"/>
        <v>363</v>
      </c>
      <c r="J129" s="204">
        <f t="shared" si="22"/>
        <v>21015</v>
      </c>
      <c r="K129" s="204">
        <f t="shared" si="22"/>
        <v>612</v>
      </c>
      <c r="L129" s="204">
        <f t="shared" si="22"/>
        <v>23397.5</v>
      </c>
      <c r="M129" s="204">
        <f t="shared" si="22"/>
        <v>2710</v>
      </c>
      <c r="N129" s="204">
        <f t="shared" si="22"/>
        <v>21669</v>
      </c>
      <c r="O129" s="204">
        <f t="shared" si="22"/>
        <v>1944.8823098018356</v>
      </c>
      <c r="P129" s="204">
        <f t="shared" si="22"/>
        <v>24087</v>
      </c>
      <c r="Q129" s="204">
        <f t="shared" si="22"/>
        <v>1502</v>
      </c>
      <c r="R129" s="204">
        <f t="shared" si="22"/>
        <v>24005</v>
      </c>
      <c r="S129" s="204">
        <f t="shared" si="22"/>
        <v>2849</v>
      </c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</row>
    <row r="130" spans="1:44" s="3" customFormat="1" ht="12.75">
      <c r="A130" s="71"/>
      <c r="B130" s="59"/>
      <c r="C130" s="59" t="s">
        <v>140</v>
      </c>
      <c r="D130" s="72"/>
      <c r="F130" s="161"/>
      <c r="G130" s="155"/>
      <c r="H130" s="161"/>
      <c r="I130" s="155"/>
      <c r="J130" s="154"/>
      <c r="K130" s="154"/>
      <c r="L130" s="162"/>
      <c r="M130" s="155"/>
      <c r="N130" s="154"/>
      <c r="O130" s="155"/>
      <c r="P130" s="153"/>
      <c r="Q130" s="155"/>
      <c r="R130" s="154"/>
      <c r="S130" s="155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</row>
    <row r="131" spans="1:46" s="3" customFormat="1" ht="12.75">
      <c r="A131" s="71"/>
      <c r="B131" s="290" t="s">
        <v>170</v>
      </c>
      <c r="C131" s="290"/>
      <c r="D131" s="296"/>
      <c r="F131" s="205">
        <f aca="true" t="shared" si="23" ref="F131:O131">SUM(F132:F137)</f>
        <v>3423</v>
      </c>
      <c r="G131" s="205">
        <f t="shared" si="23"/>
        <v>88</v>
      </c>
      <c r="H131" s="205">
        <f t="shared" si="23"/>
        <v>3523</v>
      </c>
      <c r="I131" s="205">
        <f t="shared" si="23"/>
        <v>296</v>
      </c>
      <c r="J131" s="205">
        <f t="shared" si="23"/>
        <v>3430</v>
      </c>
      <c r="K131" s="205">
        <f t="shared" si="23"/>
        <v>444</v>
      </c>
      <c r="L131" s="205">
        <f t="shared" si="23"/>
        <v>4577</v>
      </c>
      <c r="M131" s="205">
        <f t="shared" si="23"/>
        <v>1964</v>
      </c>
      <c r="N131" s="205">
        <f t="shared" si="23"/>
        <v>2148</v>
      </c>
      <c r="O131" s="205">
        <f t="shared" si="23"/>
        <v>301</v>
      </c>
      <c r="P131" s="205">
        <f>SUM(P132:P137)</f>
        <v>2858</v>
      </c>
      <c r="Q131" s="205">
        <f>SUM(Q132:Q137)</f>
        <v>124</v>
      </c>
      <c r="R131" s="205">
        <f>SUM(R132:R137)</f>
        <v>2727</v>
      </c>
      <c r="S131" s="205">
        <f>SUM(S132:S137)</f>
        <v>615</v>
      </c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3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130"/>
      <c r="AT131" s="130"/>
    </row>
    <row r="132" spans="1:44" s="3" customFormat="1" ht="12.75">
      <c r="A132" s="71"/>
      <c r="B132" s="23"/>
      <c r="C132" s="59" t="s">
        <v>42</v>
      </c>
      <c r="D132" s="72"/>
      <c r="F132" s="153">
        <v>59</v>
      </c>
      <c r="G132" s="154"/>
      <c r="H132" s="153">
        <v>67</v>
      </c>
      <c r="I132" s="154"/>
      <c r="J132" s="153">
        <v>171</v>
      </c>
      <c r="K132" s="154"/>
      <c r="L132" s="164">
        <f>ROUND((140/1936.27)*1000,0)</f>
        <v>72</v>
      </c>
      <c r="M132" s="155"/>
      <c r="N132" s="153">
        <v>103</v>
      </c>
      <c r="O132" s="155"/>
      <c r="P132" s="153">
        <v>120</v>
      </c>
      <c r="Q132" s="155"/>
      <c r="R132" s="153">
        <v>99</v>
      </c>
      <c r="S132" s="155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</row>
    <row r="133" spans="1:44" s="3" customFormat="1" ht="12.75">
      <c r="A133" s="71"/>
      <c r="B133" s="23"/>
      <c r="C133" s="59" t="s">
        <v>197</v>
      </c>
      <c r="D133" s="72"/>
      <c r="F133" s="153">
        <v>907</v>
      </c>
      <c r="G133" s="154">
        <v>88</v>
      </c>
      <c r="H133" s="153">
        <v>1244</v>
      </c>
      <c r="I133" s="154">
        <v>296</v>
      </c>
      <c r="J133" s="153">
        <v>1384</v>
      </c>
      <c r="K133" s="154">
        <v>444</v>
      </c>
      <c r="L133" s="164">
        <f>ROUND((5570/1936.27)*1000,0)</f>
        <v>2877</v>
      </c>
      <c r="M133" s="155">
        <f>ROUND(3701590/1936.27,0)</f>
        <v>1912</v>
      </c>
      <c r="N133" s="153">
        <v>799</v>
      </c>
      <c r="O133" s="161">
        <f>ROUND((583121/1936.27),0)</f>
        <v>301</v>
      </c>
      <c r="P133" s="153">
        <v>1087</v>
      </c>
      <c r="Q133" s="161">
        <v>124</v>
      </c>
      <c r="R133" s="153">
        <v>1414</v>
      </c>
      <c r="S133" s="161">
        <v>479</v>
      </c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</row>
    <row r="134" spans="1:44" s="3" customFormat="1" ht="12.75">
      <c r="A134" s="71"/>
      <c r="B134" s="23"/>
      <c r="C134" s="59" t="s">
        <v>102</v>
      </c>
      <c r="D134" s="72"/>
      <c r="F134" s="153">
        <v>16</v>
      </c>
      <c r="G134" s="154"/>
      <c r="H134" s="153">
        <v>33</v>
      </c>
      <c r="I134" s="154"/>
      <c r="J134" s="153">
        <v>25</v>
      </c>
      <c r="K134" s="154"/>
      <c r="L134" s="164">
        <v>0</v>
      </c>
      <c r="M134" s="155"/>
      <c r="N134" s="153">
        <v>0</v>
      </c>
      <c r="O134" s="155"/>
      <c r="P134" s="153"/>
      <c r="Q134" s="155"/>
      <c r="R134" s="153"/>
      <c r="S134" s="155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</row>
    <row r="135" spans="1:44" s="3" customFormat="1" ht="12.75">
      <c r="A135" s="71"/>
      <c r="B135" s="23"/>
      <c r="C135" s="59" t="s">
        <v>198</v>
      </c>
      <c r="D135" s="72"/>
      <c r="F135" s="153">
        <v>176</v>
      </c>
      <c r="G135" s="154"/>
      <c r="H135" s="153">
        <v>131</v>
      </c>
      <c r="I135" s="154"/>
      <c r="J135" s="153">
        <v>350</v>
      </c>
      <c r="K135" s="154"/>
      <c r="L135" s="164">
        <f>ROUND((2004/1936.27)*1000,0)</f>
        <v>1035</v>
      </c>
      <c r="M135" s="155">
        <f>ROUND(100000/1936.27,0)</f>
        <v>52</v>
      </c>
      <c r="N135" s="153">
        <v>744</v>
      </c>
      <c r="O135" s="155"/>
      <c r="P135" s="153">
        <v>1161</v>
      </c>
      <c r="Q135" s="155"/>
      <c r="R135" s="153">
        <v>780</v>
      </c>
      <c r="S135" s="155">
        <v>136</v>
      </c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</row>
    <row r="136" spans="1:44" s="3" customFormat="1" ht="12.75">
      <c r="A136" s="71"/>
      <c r="B136" s="23"/>
      <c r="C136" s="59" t="s">
        <v>103</v>
      </c>
      <c r="D136" s="72"/>
      <c r="F136" s="153">
        <v>2014</v>
      </c>
      <c r="G136" s="154"/>
      <c r="H136" s="153">
        <v>1813</v>
      </c>
      <c r="I136" s="154"/>
      <c r="J136" s="153">
        <v>1194</v>
      </c>
      <c r="K136" s="154"/>
      <c r="L136" s="164">
        <f>ROUND((413/1936.27)*1000,0)</f>
        <v>213</v>
      </c>
      <c r="M136" s="155"/>
      <c r="N136" s="153">
        <v>171</v>
      </c>
      <c r="O136" s="155"/>
      <c r="P136" s="153">
        <v>155</v>
      </c>
      <c r="Q136" s="155"/>
      <c r="R136" s="153">
        <v>117</v>
      </c>
      <c r="S136" s="155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</row>
    <row r="137" spans="1:44" s="3" customFormat="1" ht="12.75">
      <c r="A137" s="71"/>
      <c r="B137" s="23"/>
      <c r="C137" s="59" t="s">
        <v>48</v>
      </c>
      <c r="D137" s="72"/>
      <c r="F137" s="153">
        <v>251</v>
      </c>
      <c r="G137" s="154"/>
      <c r="H137" s="153">
        <v>235</v>
      </c>
      <c r="I137" s="154"/>
      <c r="J137" s="153">
        <v>306</v>
      </c>
      <c r="K137" s="154"/>
      <c r="L137" s="164">
        <f>ROUND((735/1936.27)*1000,0)</f>
        <v>380</v>
      </c>
      <c r="M137" s="155"/>
      <c r="N137" s="153">
        <v>331</v>
      </c>
      <c r="O137" s="155"/>
      <c r="P137" s="153">
        <v>335</v>
      </c>
      <c r="Q137" s="155"/>
      <c r="R137" s="153">
        <v>317</v>
      </c>
      <c r="S137" s="155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</row>
    <row r="138" spans="1:44" s="3" customFormat="1" ht="12.75">
      <c r="A138" s="71"/>
      <c r="B138" s="295" t="s">
        <v>225</v>
      </c>
      <c r="C138" s="285"/>
      <c r="D138" s="286"/>
      <c r="F138" s="205">
        <f aca="true" t="shared" si="24" ref="F138:S138">SUM(F139:F148)</f>
        <v>1120</v>
      </c>
      <c r="G138" s="205">
        <f t="shared" si="24"/>
        <v>0</v>
      </c>
      <c r="H138" s="205">
        <f t="shared" si="24"/>
        <v>1008</v>
      </c>
      <c r="I138" s="205">
        <f t="shared" si="24"/>
        <v>0</v>
      </c>
      <c r="J138" s="205">
        <f t="shared" si="24"/>
        <v>1435</v>
      </c>
      <c r="K138" s="205">
        <f t="shared" si="24"/>
        <v>0</v>
      </c>
      <c r="L138" s="205">
        <f t="shared" si="24"/>
        <v>2828.5</v>
      </c>
      <c r="M138" s="205">
        <f t="shared" si="24"/>
        <v>580</v>
      </c>
      <c r="N138" s="205">
        <f t="shared" si="24"/>
        <v>1508</v>
      </c>
      <c r="O138" s="205">
        <f t="shared" si="24"/>
        <v>0</v>
      </c>
      <c r="P138" s="205">
        <f t="shared" si="24"/>
        <v>2733</v>
      </c>
      <c r="Q138" s="205">
        <f t="shared" si="24"/>
        <v>137</v>
      </c>
      <c r="R138" s="205">
        <f t="shared" si="24"/>
        <v>2448</v>
      </c>
      <c r="S138" s="205">
        <f t="shared" si="24"/>
        <v>411</v>
      </c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</row>
    <row r="139" spans="1:44" s="3" customFormat="1" ht="12.75">
      <c r="A139" s="71"/>
      <c r="B139" s="23"/>
      <c r="C139" s="19" t="s">
        <v>226</v>
      </c>
      <c r="D139" s="72"/>
      <c r="F139" s="200">
        <v>127</v>
      </c>
      <c r="G139" s="255"/>
      <c r="H139" s="164">
        <v>106</v>
      </c>
      <c r="I139" s="229"/>
      <c r="J139" s="200">
        <v>144</v>
      </c>
      <c r="K139" s="255"/>
      <c r="L139" s="164">
        <f>ROUND((860/1936.27)*1000,0)</f>
        <v>444</v>
      </c>
      <c r="M139" s="164"/>
      <c r="N139" s="164">
        <v>428</v>
      </c>
      <c r="O139" s="161">
        <f>ROUND((72882176/1936.27),0)-37640-1</f>
        <v>0</v>
      </c>
      <c r="P139" s="164">
        <v>207</v>
      </c>
      <c r="Q139" s="161"/>
      <c r="R139" s="164">
        <v>221</v>
      </c>
      <c r="S139" s="16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</row>
    <row r="140" spans="1:44" s="3" customFormat="1" ht="12.75">
      <c r="A140" s="71"/>
      <c r="B140" s="23"/>
      <c r="C140" s="19" t="s">
        <v>202</v>
      </c>
      <c r="D140" s="72"/>
      <c r="F140" s="200"/>
      <c r="G140" s="255"/>
      <c r="H140" s="164"/>
      <c r="I140" s="229"/>
      <c r="J140" s="200"/>
      <c r="K140" s="255"/>
      <c r="L140" s="164"/>
      <c r="M140" s="164"/>
      <c r="N140" s="164"/>
      <c r="O140" s="161"/>
      <c r="P140" s="164">
        <v>63</v>
      </c>
      <c r="Q140" s="161"/>
      <c r="R140" s="164">
        <v>34</v>
      </c>
      <c r="S140" s="16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</row>
    <row r="141" spans="1:44" s="3" customFormat="1" ht="12.75">
      <c r="A141" s="71"/>
      <c r="B141" s="23"/>
      <c r="C141" s="59" t="s">
        <v>199</v>
      </c>
      <c r="D141" s="72"/>
      <c r="F141" s="153">
        <v>141</v>
      </c>
      <c r="G141" s="242"/>
      <c r="H141" s="153">
        <v>39</v>
      </c>
      <c r="I141" s="242"/>
      <c r="J141" s="153">
        <v>15</v>
      </c>
      <c r="K141" s="242"/>
      <c r="L141" s="164">
        <f>ROUND((94/1936.27)*1000,0)</f>
        <v>49</v>
      </c>
      <c r="M141" s="161"/>
      <c r="N141" s="161">
        <v>17</v>
      </c>
      <c r="O141" s="161"/>
      <c r="P141" s="161">
        <v>1</v>
      </c>
      <c r="Q141" s="161"/>
      <c r="R141" s="161">
        <v>12</v>
      </c>
      <c r="S141" s="16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</row>
    <row r="142" spans="1:44" s="3" customFormat="1" ht="12.75">
      <c r="A142" s="71"/>
      <c r="B142" s="23"/>
      <c r="C142" s="59" t="s">
        <v>201</v>
      </c>
      <c r="D142" s="72"/>
      <c r="F142" s="257"/>
      <c r="G142" s="242"/>
      <c r="H142" s="257"/>
      <c r="I142" s="242"/>
      <c r="J142" s="257"/>
      <c r="K142" s="242"/>
      <c r="L142" s="164">
        <f>ROUND((254/1936.27)*1000,0)</f>
        <v>131</v>
      </c>
      <c r="M142" s="161"/>
      <c r="N142" s="161">
        <v>81</v>
      </c>
      <c r="O142" s="161"/>
      <c r="P142" s="161">
        <v>468</v>
      </c>
      <c r="Q142" s="161">
        <v>137</v>
      </c>
      <c r="R142" s="161">
        <v>333</v>
      </c>
      <c r="S142" s="161">
        <v>88</v>
      </c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</row>
    <row r="143" spans="1:44" s="3" customFormat="1" ht="12.75">
      <c r="A143" s="71"/>
      <c r="B143" s="23"/>
      <c r="C143" s="59" t="s">
        <v>203</v>
      </c>
      <c r="D143" s="72"/>
      <c r="F143" s="257"/>
      <c r="G143" s="242"/>
      <c r="H143" s="257"/>
      <c r="I143" s="242"/>
      <c r="J143" s="257"/>
      <c r="K143" s="242"/>
      <c r="L143" s="164"/>
      <c r="M143" s="161"/>
      <c r="N143" s="161"/>
      <c r="O143" s="161"/>
      <c r="P143" s="161">
        <v>27</v>
      </c>
      <c r="Q143" s="161"/>
      <c r="R143" s="161">
        <v>368</v>
      </c>
      <c r="S143" s="161">
        <v>323</v>
      </c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</row>
    <row r="144" spans="1:44" s="3" customFormat="1" ht="12.75">
      <c r="A144" s="71"/>
      <c r="B144" s="23"/>
      <c r="C144" s="59" t="s">
        <v>204</v>
      </c>
      <c r="D144" s="72"/>
      <c r="F144" s="257"/>
      <c r="G144" s="242"/>
      <c r="H144" s="257"/>
      <c r="I144" s="242"/>
      <c r="J144" s="257"/>
      <c r="K144" s="242"/>
      <c r="L144" s="164"/>
      <c r="M144" s="161"/>
      <c r="N144" s="161"/>
      <c r="O144" s="161"/>
      <c r="P144" s="161">
        <v>1820</v>
      </c>
      <c r="Q144" s="161"/>
      <c r="R144" s="161">
        <v>1187</v>
      </c>
      <c r="S144" s="16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</row>
    <row r="145" spans="1:44" s="3" customFormat="1" ht="12.75">
      <c r="A145" s="71"/>
      <c r="B145" s="23"/>
      <c r="C145" s="58" t="s">
        <v>200</v>
      </c>
      <c r="D145" s="72"/>
      <c r="F145" s="257"/>
      <c r="G145" s="258"/>
      <c r="H145" s="257"/>
      <c r="I145" s="258"/>
      <c r="J145" s="257"/>
      <c r="K145" s="258"/>
      <c r="L145" s="164"/>
      <c r="M145" s="161"/>
      <c r="N145" s="161">
        <v>178</v>
      </c>
      <c r="O145" s="161"/>
      <c r="P145" s="161">
        <v>147</v>
      </c>
      <c r="Q145" s="161"/>
      <c r="R145" s="161">
        <v>293</v>
      </c>
      <c r="S145" s="16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</row>
    <row r="146" spans="1:44" s="85" customFormat="1" ht="12.75">
      <c r="A146" s="269"/>
      <c r="B146" s="271"/>
      <c r="C146" s="61" t="s">
        <v>106</v>
      </c>
      <c r="D146" s="84"/>
      <c r="F146" s="232">
        <v>168</v>
      </c>
      <c r="G146" s="256"/>
      <c r="H146" s="232">
        <v>155</v>
      </c>
      <c r="I146" s="256"/>
      <c r="J146" s="232">
        <v>284</v>
      </c>
      <c r="K146" s="256"/>
      <c r="L146" s="238">
        <f>ROUND((507/1936.27)*1000,0)</f>
        <v>262</v>
      </c>
      <c r="M146" s="196"/>
      <c r="N146" s="196">
        <v>48</v>
      </c>
      <c r="O146" s="196"/>
      <c r="P146" s="196"/>
      <c r="Q146" s="196"/>
      <c r="R146" s="196"/>
      <c r="S146" s="196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49"/>
      <c r="AR146" s="249"/>
    </row>
    <row r="147" spans="1:44" s="85" customFormat="1" ht="12.75">
      <c r="A147" s="269"/>
      <c r="B147" s="271"/>
      <c r="C147" s="61" t="s">
        <v>40</v>
      </c>
      <c r="D147" s="84"/>
      <c r="F147" s="232">
        <v>663</v>
      </c>
      <c r="G147" s="256"/>
      <c r="H147" s="232">
        <v>708</v>
      </c>
      <c r="I147" s="256"/>
      <c r="J147" s="232">
        <v>727</v>
      </c>
      <c r="K147" s="256"/>
      <c r="L147" s="238">
        <f>ROUND((3762/1936.27)*1000,0)-0.5</f>
        <v>1942.5</v>
      </c>
      <c r="M147" s="196">
        <f>ROUND(1122500/1936.27,0)</f>
        <v>580</v>
      </c>
      <c r="N147" s="196">
        <v>756</v>
      </c>
      <c r="O147" s="196"/>
      <c r="P147" s="196"/>
      <c r="Q147" s="196"/>
      <c r="R147" s="196"/>
      <c r="S147" s="196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/>
    </row>
    <row r="148" spans="1:44" s="85" customFormat="1" ht="12.75">
      <c r="A148" s="185"/>
      <c r="B148" s="186"/>
      <c r="C148" s="61" t="s">
        <v>96</v>
      </c>
      <c r="D148" s="84"/>
      <c r="F148" s="232">
        <v>21</v>
      </c>
      <c r="G148" s="256"/>
      <c r="H148" s="232">
        <v>0</v>
      </c>
      <c r="I148" s="256"/>
      <c r="J148" s="232">
        <v>265</v>
      </c>
      <c r="K148" s="232"/>
      <c r="L148" s="249"/>
      <c r="M148" s="196"/>
      <c r="N148" s="196"/>
      <c r="O148" s="196"/>
      <c r="P148" s="196"/>
      <c r="Q148" s="196"/>
      <c r="R148" s="196"/>
      <c r="S148" s="196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49"/>
      <c r="AK148" s="249"/>
      <c r="AL148" s="249"/>
      <c r="AM148" s="249"/>
      <c r="AN148" s="249"/>
      <c r="AO148" s="249"/>
      <c r="AP148" s="249"/>
      <c r="AQ148" s="249"/>
      <c r="AR148" s="249"/>
    </row>
    <row r="149" spans="1:44" s="3" customFormat="1" ht="12.75">
      <c r="A149" s="71"/>
      <c r="B149" s="285" t="s">
        <v>142</v>
      </c>
      <c r="C149" s="285"/>
      <c r="D149" s="286"/>
      <c r="F149" s="210">
        <f aca="true" t="shared" si="25" ref="F149:O149">SUM(F150:F159)</f>
        <v>14049</v>
      </c>
      <c r="G149" s="210">
        <f t="shared" si="25"/>
        <v>35</v>
      </c>
      <c r="H149" s="210">
        <f t="shared" si="25"/>
        <v>18555</v>
      </c>
      <c r="I149" s="210">
        <f t="shared" si="25"/>
        <v>67</v>
      </c>
      <c r="J149" s="210">
        <f t="shared" si="25"/>
        <v>16150</v>
      </c>
      <c r="K149" s="210">
        <f t="shared" si="25"/>
        <v>168</v>
      </c>
      <c r="L149" s="210">
        <f t="shared" si="25"/>
        <v>15992</v>
      </c>
      <c r="M149" s="210">
        <f t="shared" si="25"/>
        <v>166</v>
      </c>
      <c r="N149" s="210">
        <f t="shared" si="25"/>
        <v>18013</v>
      </c>
      <c r="O149" s="210">
        <f t="shared" si="25"/>
        <v>1643.8823098018356</v>
      </c>
      <c r="P149" s="210">
        <f>SUM(P150:P159)</f>
        <v>18496</v>
      </c>
      <c r="Q149" s="210">
        <f>SUM(Q150:Q159)</f>
        <v>1241</v>
      </c>
      <c r="R149" s="210">
        <f>SUM(R150:R159)</f>
        <v>18830</v>
      </c>
      <c r="S149" s="210">
        <f>SUM(S150:S159)</f>
        <v>1823</v>
      </c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</row>
    <row r="150" spans="1:44" s="3" customFormat="1" ht="12.75">
      <c r="A150" s="71"/>
      <c r="B150" s="59"/>
      <c r="C150" s="19" t="s">
        <v>22</v>
      </c>
      <c r="D150" s="72"/>
      <c r="F150" s="164"/>
      <c r="G150" s="162"/>
      <c r="H150" s="164"/>
      <c r="I150" s="162"/>
      <c r="J150" s="164"/>
      <c r="K150" s="162"/>
      <c r="L150" s="164">
        <f>ROUND((0/1936.27)*1000,0)</f>
        <v>0</v>
      </c>
      <c r="M150" s="162"/>
      <c r="N150" s="164">
        <v>0</v>
      </c>
      <c r="O150" s="162"/>
      <c r="P150" s="164"/>
      <c r="Q150" s="162"/>
      <c r="R150" s="164">
        <v>197</v>
      </c>
      <c r="S150" s="162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</row>
    <row r="151" spans="1:44" s="85" customFormat="1" ht="12.75">
      <c r="A151" s="269"/>
      <c r="B151" s="61"/>
      <c r="C151" s="272" t="s">
        <v>23</v>
      </c>
      <c r="D151" s="84"/>
      <c r="F151" s="238">
        <v>2996</v>
      </c>
      <c r="G151" s="273"/>
      <c r="H151" s="238">
        <v>3782</v>
      </c>
      <c r="I151" s="273"/>
      <c r="J151" s="238">
        <v>3318</v>
      </c>
      <c r="K151" s="273"/>
      <c r="L151" s="238">
        <f>ROUND((4215/1936.27)*1000,0)</f>
        <v>2177</v>
      </c>
      <c r="M151" s="273"/>
      <c r="N151" s="238">
        <v>3733</v>
      </c>
      <c r="O151" s="273">
        <f>2502/1.93627</f>
        <v>1292.1751615218952</v>
      </c>
      <c r="P151" s="238">
        <v>2649</v>
      </c>
      <c r="Q151" s="273">
        <v>951</v>
      </c>
      <c r="R151" s="238"/>
      <c r="S151" s="273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</row>
    <row r="152" spans="1:44" s="3" customFormat="1" ht="12.75">
      <c r="A152" s="71"/>
      <c r="B152" s="59"/>
      <c r="C152" s="19" t="s">
        <v>205</v>
      </c>
      <c r="D152" s="72"/>
      <c r="F152" s="164"/>
      <c r="G152" s="162"/>
      <c r="H152" s="164"/>
      <c r="I152" s="162"/>
      <c r="J152" s="164"/>
      <c r="K152" s="162"/>
      <c r="L152" s="164"/>
      <c r="M152" s="162"/>
      <c r="N152" s="164"/>
      <c r="O152" s="162"/>
      <c r="P152" s="164"/>
      <c r="Q152" s="162"/>
      <c r="R152" s="164">
        <v>4188</v>
      </c>
      <c r="S152" s="162">
        <v>1559</v>
      </c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</row>
    <row r="153" spans="1:44" s="3" customFormat="1" ht="12.75">
      <c r="A153" s="71"/>
      <c r="B153" s="59"/>
      <c r="C153" s="19" t="s">
        <v>24</v>
      </c>
      <c r="D153" s="72"/>
      <c r="F153" s="164">
        <v>3623</v>
      </c>
      <c r="G153" s="162"/>
      <c r="H153" s="164">
        <v>4642</v>
      </c>
      <c r="I153" s="162"/>
      <c r="J153" s="164">
        <v>4359</v>
      </c>
      <c r="K153" s="162"/>
      <c r="L153" s="164">
        <f>ROUND((7160/1936.27)*1000,0)</f>
        <v>3698</v>
      </c>
      <c r="M153" s="162"/>
      <c r="N153" s="164">
        <v>3969</v>
      </c>
      <c r="O153" s="162"/>
      <c r="P153" s="164">
        <v>4994</v>
      </c>
      <c r="Q153" s="162"/>
      <c r="R153" s="164">
        <v>4210</v>
      </c>
      <c r="S153" s="162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</row>
    <row r="154" spans="1:44" s="3" customFormat="1" ht="12.75">
      <c r="A154" s="71"/>
      <c r="B154" s="59"/>
      <c r="C154" s="19" t="s">
        <v>206</v>
      </c>
      <c r="D154" s="72"/>
      <c r="F154" s="164"/>
      <c r="G154" s="162"/>
      <c r="H154" s="164"/>
      <c r="I154" s="162"/>
      <c r="J154" s="164"/>
      <c r="K154" s="162"/>
      <c r="L154" s="164"/>
      <c r="M154" s="162"/>
      <c r="N154" s="164"/>
      <c r="O154" s="162"/>
      <c r="P154" s="164"/>
      <c r="Q154" s="162"/>
      <c r="R154" s="164">
        <v>1372</v>
      </c>
      <c r="S154" s="162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</row>
    <row r="155" spans="1:44" s="3" customFormat="1" ht="12.75">
      <c r="A155" s="71"/>
      <c r="B155" s="59"/>
      <c r="C155" s="19" t="s">
        <v>207</v>
      </c>
      <c r="D155" s="72"/>
      <c r="F155" s="164"/>
      <c r="G155" s="162"/>
      <c r="H155" s="164"/>
      <c r="I155" s="162"/>
      <c r="J155" s="164"/>
      <c r="K155" s="162"/>
      <c r="L155" s="164"/>
      <c r="M155" s="162"/>
      <c r="N155" s="164"/>
      <c r="O155" s="162"/>
      <c r="P155" s="164"/>
      <c r="Q155" s="162"/>
      <c r="R155" s="164">
        <v>3699</v>
      </c>
      <c r="S155" s="162">
        <v>264</v>
      </c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</row>
    <row r="156" spans="1:44" s="85" customFormat="1" ht="12.75">
      <c r="A156" s="269"/>
      <c r="B156" s="61"/>
      <c r="C156" s="272" t="s">
        <v>25</v>
      </c>
      <c r="D156" s="84"/>
      <c r="F156" s="238">
        <v>4522</v>
      </c>
      <c r="G156" s="273"/>
      <c r="H156" s="238">
        <v>6464</v>
      </c>
      <c r="I156" s="273"/>
      <c r="J156" s="238">
        <v>5020</v>
      </c>
      <c r="K156" s="273"/>
      <c r="L156" s="238">
        <f>ROUND((12841/1936.27)*1000,0)-166</f>
        <v>6466</v>
      </c>
      <c r="M156" s="273"/>
      <c r="N156" s="238">
        <v>4823</v>
      </c>
      <c r="O156" s="238">
        <f>681/1.93627</f>
        <v>351.7071482799403</v>
      </c>
      <c r="P156" s="238">
        <v>4511</v>
      </c>
      <c r="Q156" s="238">
        <v>290</v>
      </c>
      <c r="R156" s="238"/>
      <c r="S156" s="238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</row>
    <row r="157" spans="1:44" s="85" customFormat="1" ht="12.75">
      <c r="A157" s="269"/>
      <c r="B157" s="61"/>
      <c r="C157" s="272" t="s">
        <v>26</v>
      </c>
      <c r="D157" s="84"/>
      <c r="F157" s="238">
        <v>1702</v>
      </c>
      <c r="G157" s="273">
        <v>35</v>
      </c>
      <c r="H157" s="238">
        <v>2046</v>
      </c>
      <c r="I157" s="273">
        <v>67</v>
      </c>
      <c r="J157" s="238">
        <v>1938</v>
      </c>
      <c r="K157" s="273">
        <v>168</v>
      </c>
      <c r="L157" s="238">
        <f>ROUND((3308/1936.27)*1000,0)+166</f>
        <v>1874</v>
      </c>
      <c r="M157" s="273">
        <f>ROUND(320701/1936.27,0)</f>
        <v>166</v>
      </c>
      <c r="N157" s="238">
        <v>190</v>
      </c>
      <c r="O157" s="273"/>
      <c r="P157" s="238">
        <v>154</v>
      </c>
      <c r="Q157" s="273"/>
      <c r="R157" s="238"/>
      <c r="S157" s="273"/>
      <c r="T157" s="249"/>
      <c r="U157" s="249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49"/>
      <c r="AK157" s="249"/>
      <c r="AL157" s="249"/>
      <c r="AM157" s="249"/>
      <c r="AN157" s="249"/>
      <c r="AO157" s="249"/>
      <c r="AP157" s="249"/>
      <c r="AQ157" s="249"/>
      <c r="AR157" s="249"/>
    </row>
    <row r="158" spans="1:44" s="85" customFormat="1" ht="12.75">
      <c r="A158" s="269"/>
      <c r="B158" s="61"/>
      <c r="C158" s="272" t="s">
        <v>27</v>
      </c>
      <c r="D158" s="84"/>
      <c r="F158" s="238">
        <v>1206</v>
      </c>
      <c r="G158" s="273"/>
      <c r="H158" s="238">
        <v>1621</v>
      </c>
      <c r="I158" s="273"/>
      <c r="J158" s="238">
        <v>1515</v>
      </c>
      <c r="K158" s="273"/>
      <c r="L158" s="238">
        <f>ROUND((3440/1936.27)*1000,0)</f>
        <v>1777</v>
      </c>
      <c r="M158" s="273"/>
      <c r="N158" s="238">
        <v>1394</v>
      </c>
      <c r="O158" s="273"/>
      <c r="P158" s="238">
        <v>1277</v>
      </c>
      <c r="Q158" s="273"/>
      <c r="R158" s="238"/>
      <c r="S158" s="273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49"/>
      <c r="AO158" s="249"/>
      <c r="AP158" s="249"/>
      <c r="AQ158" s="249"/>
      <c r="AR158" s="249"/>
    </row>
    <row r="159" spans="1:44" s="3" customFormat="1" ht="12.75">
      <c r="A159" s="100"/>
      <c r="B159" s="101"/>
      <c r="C159" s="101" t="s">
        <v>68</v>
      </c>
      <c r="D159" s="102"/>
      <c r="F159" s="211"/>
      <c r="G159" s="211"/>
      <c r="H159" s="211"/>
      <c r="I159" s="259"/>
      <c r="J159" s="211"/>
      <c r="K159" s="259"/>
      <c r="L159" s="211"/>
      <c r="M159" s="197"/>
      <c r="N159" s="211">
        <v>3904</v>
      </c>
      <c r="O159" s="197"/>
      <c r="P159" s="211">
        <v>4911</v>
      </c>
      <c r="Q159" s="197"/>
      <c r="R159" s="211">
        <v>5164</v>
      </c>
      <c r="S159" s="197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</row>
    <row r="160" spans="1:44" s="173" customFormat="1" ht="12.75">
      <c r="A160" s="307" t="s">
        <v>143</v>
      </c>
      <c r="B160" s="305"/>
      <c r="C160" s="305"/>
      <c r="D160" s="306"/>
      <c r="F160" s="204">
        <f aca="true" t="shared" si="26" ref="F160:S160">+F161+F167+F171</f>
        <v>1829</v>
      </c>
      <c r="G160" s="204">
        <f t="shared" si="26"/>
        <v>0</v>
      </c>
      <c r="H160" s="204">
        <f t="shared" si="26"/>
        <v>1887</v>
      </c>
      <c r="I160" s="204">
        <f t="shared" si="26"/>
        <v>271</v>
      </c>
      <c r="J160" s="204">
        <f t="shared" si="26"/>
        <v>2525</v>
      </c>
      <c r="K160" s="204">
        <f t="shared" si="26"/>
        <v>349</v>
      </c>
      <c r="L160" s="204">
        <f t="shared" si="26"/>
        <v>2335</v>
      </c>
      <c r="M160" s="204">
        <f t="shared" si="26"/>
        <v>431</v>
      </c>
      <c r="N160" s="204">
        <f t="shared" si="26"/>
        <v>2740</v>
      </c>
      <c r="O160" s="204">
        <f t="shared" si="26"/>
        <v>370.5193542222934</v>
      </c>
      <c r="P160" s="204">
        <f t="shared" si="26"/>
        <v>3169</v>
      </c>
      <c r="Q160" s="204">
        <f t="shared" si="26"/>
        <v>436</v>
      </c>
      <c r="R160" s="204">
        <f t="shared" si="26"/>
        <v>3021</v>
      </c>
      <c r="S160" s="204">
        <f t="shared" si="26"/>
        <v>455</v>
      </c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</row>
    <row r="161" spans="1:44" s="3" customFormat="1" ht="12.75">
      <c r="A161" s="71"/>
      <c r="B161" s="285" t="s">
        <v>144</v>
      </c>
      <c r="C161" s="285"/>
      <c r="D161" s="286"/>
      <c r="F161" s="210">
        <f>SUM(F162:F166)</f>
        <v>1141</v>
      </c>
      <c r="G161" s="210">
        <f aca="true" t="shared" si="27" ref="G161:S161">SUM(G162:G166)</f>
        <v>0</v>
      </c>
      <c r="H161" s="210">
        <f t="shared" si="27"/>
        <v>1150</v>
      </c>
      <c r="I161" s="210">
        <f t="shared" si="27"/>
        <v>44</v>
      </c>
      <c r="J161" s="210">
        <f t="shared" si="27"/>
        <v>1451</v>
      </c>
      <c r="K161" s="210">
        <f t="shared" si="27"/>
        <v>49</v>
      </c>
      <c r="L161" s="210">
        <f t="shared" si="27"/>
        <v>1461</v>
      </c>
      <c r="M161" s="210">
        <f t="shared" si="27"/>
        <v>81</v>
      </c>
      <c r="N161" s="210">
        <f t="shared" si="27"/>
        <v>1654</v>
      </c>
      <c r="O161" s="210">
        <f t="shared" si="27"/>
        <v>202.2303965872528</v>
      </c>
      <c r="P161" s="210">
        <f t="shared" si="27"/>
        <v>1220</v>
      </c>
      <c r="Q161" s="210">
        <f t="shared" si="27"/>
        <v>141</v>
      </c>
      <c r="R161" s="210">
        <f t="shared" si="27"/>
        <v>1130</v>
      </c>
      <c r="S161" s="210">
        <f t="shared" si="27"/>
        <v>110</v>
      </c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</row>
    <row r="162" spans="1:44" s="3" customFormat="1" ht="12.75">
      <c r="A162" s="18"/>
      <c r="B162" s="19"/>
      <c r="C162" s="19" t="s">
        <v>12</v>
      </c>
      <c r="D162" s="36"/>
      <c r="E162"/>
      <c r="F162" s="200">
        <v>790</v>
      </c>
      <c r="G162" s="260">
        <v>0</v>
      </c>
      <c r="H162" s="164">
        <v>935</v>
      </c>
      <c r="I162" s="162">
        <v>44</v>
      </c>
      <c r="J162" s="200">
        <v>1152</v>
      </c>
      <c r="K162" s="222">
        <v>25</v>
      </c>
      <c r="L162" s="164">
        <v>604</v>
      </c>
      <c r="M162" s="162">
        <v>0</v>
      </c>
      <c r="N162" s="200">
        <v>559</v>
      </c>
      <c r="O162" s="162">
        <v>0</v>
      </c>
      <c r="P162" s="200">
        <v>254</v>
      </c>
      <c r="Q162" s="162">
        <v>0</v>
      </c>
      <c r="R162" s="200">
        <v>163</v>
      </c>
      <c r="S162" s="162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</row>
    <row r="163" spans="1:44" s="3" customFormat="1" ht="12.75">
      <c r="A163" s="18"/>
      <c r="B163" s="19"/>
      <c r="C163" s="19" t="s">
        <v>208</v>
      </c>
      <c r="D163" s="36"/>
      <c r="E163"/>
      <c r="F163" s="200">
        <v>0</v>
      </c>
      <c r="G163" s="260">
        <v>0</v>
      </c>
      <c r="H163" s="164">
        <v>0</v>
      </c>
      <c r="I163" s="162">
        <v>0</v>
      </c>
      <c r="J163" s="200">
        <v>24</v>
      </c>
      <c r="K163" s="222">
        <v>24</v>
      </c>
      <c r="L163" s="164">
        <v>572</v>
      </c>
      <c r="M163" s="162">
        <v>81</v>
      </c>
      <c r="N163" s="200">
        <v>897</v>
      </c>
      <c r="O163" s="162">
        <v>202.2303965872528</v>
      </c>
      <c r="P163" s="200">
        <v>674</v>
      </c>
      <c r="Q163" s="162">
        <v>21</v>
      </c>
      <c r="R163" s="200">
        <v>607</v>
      </c>
      <c r="S163" s="162">
        <v>20</v>
      </c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</row>
    <row r="164" spans="1:44" s="3" customFormat="1" ht="12.75">
      <c r="A164" s="18"/>
      <c r="B164" s="10"/>
      <c r="C164" s="59" t="s">
        <v>49</v>
      </c>
      <c r="D164" s="36"/>
      <c r="E164"/>
      <c r="F164" s="161">
        <f>178+15</f>
        <v>193</v>
      </c>
      <c r="G164" s="155"/>
      <c r="H164" s="161">
        <v>187</v>
      </c>
      <c r="I164" s="155"/>
      <c r="J164" s="153">
        <v>262</v>
      </c>
      <c r="K164" s="154"/>
      <c r="L164" s="164">
        <f>ROUND((532/1936.27)*1000,0)</f>
        <v>275</v>
      </c>
      <c r="M164" s="155"/>
      <c r="N164" s="161">
        <v>187</v>
      </c>
      <c r="O164" s="155"/>
      <c r="P164" s="161">
        <v>233</v>
      </c>
      <c r="Q164" s="155">
        <v>120</v>
      </c>
      <c r="R164" s="161">
        <v>185</v>
      </c>
      <c r="S164" s="155">
        <v>90</v>
      </c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</row>
    <row r="165" spans="1:44" s="3" customFormat="1" ht="12.75">
      <c r="A165" s="18"/>
      <c r="B165" s="10"/>
      <c r="C165" s="59" t="s">
        <v>50</v>
      </c>
      <c r="D165" s="36"/>
      <c r="E165"/>
      <c r="F165" s="161">
        <v>10</v>
      </c>
      <c r="G165" s="155"/>
      <c r="H165" s="161">
        <v>11</v>
      </c>
      <c r="I165" s="155"/>
      <c r="J165" s="153">
        <v>13</v>
      </c>
      <c r="K165" s="154"/>
      <c r="L165" s="164">
        <f>ROUND((19/1936.27)*1000,0)</f>
        <v>10</v>
      </c>
      <c r="M165" s="155"/>
      <c r="N165" s="161">
        <v>11</v>
      </c>
      <c r="O165" s="155"/>
      <c r="P165" s="161">
        <v>7</v>
      </c>
      <c r="Q165" s="155"/>
      <c r="R165" s="161">
        <v>7</v>
      </c>
      <c r="S165" s="155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</row>
    <row r="166" spans="1:44" s="3" customFormat="1" ht="12.75">
      <c r="A166" s="18"/>
      <c r="B166" s="10"/>
      <c r="C166" s="59" t="s">
        <v>209</v>
      </c>
      <c r="D166" s="36"/>
      <c r="E166"/>
      <c r="F166" s="161">
        <v>148</v>
      </c>
      <c r="G166" s="155">
        <v>0</v>
      </c>
      <c r="H166" s="161">
        <v>17</v>
      </c>
      <c r="I166" s="155">
        <v>0</v>
      </c>
      <c r="J166" s="153">
        <v>0</v>
      </c>
      <c r="K166" s="154">
        <v>0</v>
      </c>
      <c r="L166" s="164">
        <v>0</v>
      </c>
      <c r="M166" s="155">
        <v>0</v>
      </c>
      <c r="N166" s="161">
        <v>0</v>
      </c>
      <c r="O166" s="155">
        <v>0</v>
      </c>
      <c r="P166" s="161">
        <v>52</v>
      </c>
      <c r="Q166" s="155">
        <v>0</v>
      </c>
      <c r="R166" s="161">
        <v>168</v>
      </c>
      <c r="S166" s="155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</row>
    <row r="167" spans="1:44" s="3" customFormat="1" ht="12.75">
      <c r="A167" s="18"/>
      <c r="B167" s="295" t="s">
        <v>145</v>
      </c>
      <c r="C167" s="295"/>
      <c r="D167" s="296"/>
      <c r="E167"/>
      <c r="F167" s="212"/>
      <c r="G167" s="261"/>
      <c r="H167" s="212"/>
      <c r="I167" s="261"/>
      <c r="J167" s="212"/>
      <c r="K167" s="261"/>
      <c r="L167" s="212"/>
      <c r="M167" s="224"/>
      <c r="N167" s="212">
        <v>18</v>
      </c>
      <c r="O167" s="224">
        <v>18</v>
      </c>
      <c r="P167" s="212">
        <f>SUM(P168:P170)</f>
        <v>229</v>
      </c>
      <c r="Q167" s="224">
        <f>SUM(Q168:Q170)</f>
        <v>1</v>
      </c>
      <c r="R167" s="212">
        <f>SUM(R168:R170)</f>
        <v>163</v>
      </c>
      <c r="S167" s="224">
        <f>SUM(S168:S170)</f>
        <v>1</v>
      </c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</row>
    <row r="168" spans="1:44" s="3" customFormat="1" ht="12.75">
      <c r="A168" s="18"/>
      <c r="B168" s="10"/>
      <c r="C168" s="59" t="s">
        <v>12</v>
      </c>
      <c r="D168" s="36"/>
      <c r="E168"/>
      <c r="F168" s="161"/>
      <c r="G168" s="155"/>
      <c r="H168" s="161"/>
      <c r="I168" s="155"/>
      <c r="J168" s="153"/>
      <c r="K168" s="154"/>
      <c r="L168" s="164"/>
      <c r="M168" s="155"/>
      <c r="N168" s="161"/>
      <c r="O168" s="155"/>
      <c r="P168" s="161">
        <v>190</v>
      </c>
      <c r="Q168" s="155"/>
      <c r="R168" s="161">
        <v>80</v>
      </c>
      <c r="S168" s="155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</row>
    <row r="169" spans="1:44" s="3" customFormat="1" ht="12.75">
      <c r="A169" s="18"/>
      <c r="B169" s="10"/>
      <c r="C169" s="59" t="s">
        <v>210</v>
      </c>
      <c r="D169" s="36"/>
      <c r="E169"/>
      <c r="F169" s="161"/>
      <c r="G169" s="155"/>
      <c r="H169" s="161"/>
      <c r="I169" s="155"/>
      <c r="J169" s="153"/>
      <c r="K169" s="154"/>
      <c r="L169" s="164"/>
      <c r="M169" s="155"/>
      <c r="N169" s="161"/>
      <c r="O169" s="155"/>
      <c r="P169" s="161">
        <v>16</v>
      </c>
      <c r="Q169" s="155">
        <v>1</v>
      </c>
      <c r="R169" s="161">
        <v>77</v>
      </c>
      <c r="S169" s="155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</row>
    <row r="170" spans="1:44" s="3" customFormat="1" ht="12.75">
      <c r="A170" s="18"/>
      <c r="B170" s="10"/>
      <c r="C170" s="59" t="s">
        <v>211</v>
      </c>
      <c r="D170" s="36"/>
      <c r="E170"/>
      <c r="F170" s="161"/>
      <c r="G170" s="155"/>
      <c r="H170" s="161"/>
      <c r="I170" s="155"/>
      <c r="J170" s="153"/>
      <c r="K170" s="154"/>
      <c r="L170" s="164"/>
      <c r="M170" s="155"/>
      <c r="N170" s="161"/>
      <c r="O170" s="155"/>
      <c r="P170" s="161">
        <v>23</v>
      </c>
      <c r="Q170" s="155"/>
      <c r="R170" s="161">
        <v>6</v>
      </c>
      <c r="S170" s="155">
        <v>1</v>
      </c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</row>
    <row r="171" spans="1:44" s="3" customFormat="1" ht="12.75">
      <c r="A171" s="18"/>
      <c r="B171" s="295" t="s">
        <v>146</v>
      </c>
      <c r="C171" s="295"/>
      <c r="D171" s="296"/>
      <c r="E171"/>
      <c r="F171" s="212">
        <v>688</v>
      </c>
      <c r="G171" s="261">
        <v>0</v>
      </c>
      <c r="H171" s="212">
        <v>737</v>
      </c>
      <c r="I171" s="261">
        <v>227</v>
      </c>
      <c r="J171" s="212">
        <f>ROUND((2080/1936.27)*1000,0)</f>
        <v>1074</v>
      </c>
      <c r="K171" s="261">
        <f>ROUND(582000/1936.27,0)-1</f>
        <v>300</v>
      </c>
      <c r="L171" s="212">
        <f>ROUND((1692/1936.27)*1000,0)</f>
        <v>874</v>
      </c>
      <c r="M171" s="224">
        <f>+ROUND(678202/1936.27,0)</f>
        <v>350</v>
      </c>
      <c r="N171" s="212">
        <v>1068</v>
      </c>
      <c r="O171" s="224">
        <f>291/1.93627</f>
        <v>150.28895763504056</v>
      </c>
      <c r="P171" s="212">
        <f>SUM(P172:P176)</f>
        <v>1720</v>
      </c>
      <c r="Q171" s="224">
        <f>SUM(Q172:Q176)</f>
        <v>294</v>
      </c>
      <c r="R171" s="212">
        <f>SUM(R172:R176)</f>
        <v>1728</v>
      </c>
      <c r="S171" s="224">
        <f>SUM(S172:S176)</f>
        <v>344</v>
      </c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</row>
    <row r="172" spans="1:44" s="3" customFormat="1" ht="12.75">
      <c r="A172" s="18"/>
      <c r="B172" s="10"/>
      <c r="C172" s="59" t="s">
        <v>12</v>
      </c>
      <c r="D172" s="36"/>
      <c r="E172"/>
      <c r="F172" s="161"/>
      <c r="G172" s="155"/>
      <c r="H172" s="161"/>
      <c r="I172" s="155"/>
      <c r="J172" s="153"/>
      <c r="K172" s="154"/>
      <c r="L172" s="164"/>
      <c r="M172" s="155"/>
      <c r="N172" s="161"/>
      <c r="O172" s="155"/>
      <c r="P172" s="161">
        <v>222</v>
      </c>
      <c r="Q172" s="155"/>
      <c r="R172" s="161">
        <v>45</v>
      </c>
      <c r="S172" s="155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</row>
    <row r="173" spans="1:44" s="3" customFormat="1" ht="12.75">
      <c r="A173" s="18"/>
      <c r="B173" s="10"/>
      <c r="C173" s="59" t="s">
        <v>212</v>
      </c>
      <c r="D173" s="36"/>
      <c r="E173"/>
      <c r="F173" s="161"/>
      <c r="G173" s="155"/>
      <c r="H173" s="161"/>
      <c r="I173" s="155"/>
      <c r="J173" s="153"/>
      <c r="K173" s="154"/>
      <c r="L173" s="164"/>
      <c r="M173" s="155"/>
      <c r="N173" s="161"/>
      <c r="O173" s="155"/>
      <c r="P173" s="161">
        <v>238</v>
      </c>
      <c r="Q173" s="155">
        <v>48</v>
      </c>
      <c r="R173" s="161">
        <v>437</v>
      </c>
      <c r="S173" s="155">
        <v>6</v>
      </c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</row>
    <row r="174" spans="1:44" s="3" customFormat="1" ht="12.75">
      <c r="A174" s="18"/>
      <c r="B174" s="10"/>
      <c r="C174" s="59" t="s">
        <v>213</v>
      </c>
      <c r="D174" s="36"/>
      <c r="E174"/>
      <c r="F174" s="161"/>
      <c r="G174" s="155"/>
      <c r="H174" s="161"/>
      <c r="I174" s="155"/>
      <c r="J174" s="153"/>
      <c r="K174" s="154"/>
      <c r="L174" s="164"/>
      <c r="M174" s="155"/>
      <c r="N174" s="161"/>
      <c r="O174" s="155"/>
      <c r="P174" s="161">
        <v>479</v>
      </c>
      <c r="Q174" s="155"/>
      <c r="R174" s="161">
        <v>393</v>
      </c>
      <c r="S174" s="155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</row>
    <row r="175" spans="1:44" s="3" customFormat="1" ht="12.75">
      <c r="A175" s="18"/>
      <c r="B175" s="10"/>
      <c r="C175" s="59" t="s">
        <v>214</v>
      </c>
      <c r="D175" s="36"/>
      <c r="E175"/>
      <c r="F175" s="161"/>
      <c r="G175" s="155"/>
      <c r="H175" s="161"/>
      <c r="I175" s="155"/>
      <c r="J175" s="153"/>
      <c r="K175" s="154"/>
      <c r="L175" s="164"/>
      <c r="M175" s="155"/>
      <c r="N175" s="161"/>
      <c r="O175" s="155"/>
      <c r="P175" s="161">
        <v>85</v>
      </c>
      <c r="Q175" s="155">
        <v>33</v>
      </c>
      <c r="R175" s="161">
        <v>69</v>
      </c>
      <c r="S175" s="155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</row>
    <row r="176" spans="1:44" s="3" customFormat="1" ht="12.75">
      <c r="A176" s="18"/>
      <c r="B176" s="10"/>
      <c r="C176" s="59" t="s">
        <v>215</v>
      </c>
      <c r="D176" s="36"/>
      <c r="E176"/>
      <c r="F176" s="161"/>
      <c r="G176" s="155"/>
      <c r="H176" s="161"/>
      <c r="I176" s="155"/>
      <c r="J176" s="153"/>
      <c r="K176" s="154"/>
      <c r="L176" s="164"/>
      <c r="M176" s="155"/>
      <c r="N176" s="161"/>
      <c r="O176" s="155"/>
      <c r="P176" s="161">
        <v>696</v>
      </c>
      <c r="Q176" s="155">
        <v>213</v>
      </c>
      <c r="R176" s="161">
        <v>784</v>
      </c>
      <c r="S176" s="155">
        <v>338</v>
      </c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</row>
    <row r="177" spans="1:44" s="3" customFormat="1" ht="12.75">
      <c r="A177" s="291" t="s">
        <v>41</v>
      </c>
      <c r="B177" s="292"/>
      <c r="C177" s="292"/>
      <c r="D177" s="293"/>
      <c r="E177" s="52"/>
      <c r="F177" s="195">
        <f>SUM(F178:F182)</f>
        <v>1757</v>
      </c>
      <c r="G177" s="195">
        <f>SUM(G178:G182)</f>
        <v>0</v>
      </c>
      <c r="H177" s="195">
        <f>SUM(H178:H182)</f>
        <v>2208</v>
      </c>
      <c r="I177" s="195">
        <f>SUM(I178:I182)</f>
        <v>0</v>
      </c>
      <c r="J177" s="195">
        <f>SUM(J178:J182)-1</f>
        <v>2375</v>
      </c>
      <c r="K177" s="195">
        <f aca="true" t="shared" si="28" ref="K177:Q177">SUM(K178:K182)</f>
        <v>0</v>
      </c>
      <c r="L177" s="195">
        <f t="shared" si="28"/>
        <v>3221</v>
      </c>
      <c r="M177" s="195">
        <f t="shared" si="28"/>
        <v>0</v>
      </c>
      <c r="N177" s="195">
        <f t="shared" si="28"/>
        <v>2986</v>
      </c>
      <c r="O177" s="195">
        <f t="shared" si="28"/>
        <v>0</v>
      </c>
      <c r="P177" s="195">
        <f t="shared" si="28"/>
        <v>2914</v>
      </c>
      <c r="Q177" s="195">
        <f t="shared" si="28"/>
        <v>677</v>
      </c>
      <c r="R177" s="195">
        <f>SUM(R178:R182)</f>
        <v>4297</v>
      </c>
      <c r="S177" s="195">
        <f>SUM(S178:S182)</f>
        <v>867</v>
      </c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</row>
    <row r="178" spans="1:44" s="3" customFormat="1" ht="12.75">
      <c r="A178" s="140"/>
      <c r="B178" s="19" t="s">
        <v>42</v>
      </c>
      <c r="C178" s="20"/>
      <c r="D178" s="21"/>
      <c r="E178"/>
      <c r="F178" s="164">
        <v>529</v>
      </c>
      <c r="G178" s="162"/>
      <c r="H178" s="164">
        <v>969</v>
      </c>
      <c r="I178" s="162"/>
      <c r="J178" s="200">
        <v>754</v>
      </c>
      <c r="K178" s="222"/>
      <c r="L178" s="164">
        <f>ROUND((1377/1936.27)*1000,0)</f>
        <v>711</v>
      </c>
      <c r="M178" s="162"/>
      <c r="N178" s="164">
        <v>1413</v>
      </c>
      <c r="O178" s="162"/>
      <c r="P178" s="164">
        <v>1010</v>
      </c>
      <c r="Q178" s="162"/>
      <c r="R178" s="164">
        <v>1281</v>
      </c>
      <c r="S178" s="162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</row>
    <row r="179" spans="1:44" s="3" customFormat="1" ht="12.75">
      <c r="A179" s="29"/>
      <c r="B179" s="19" t="s">
        <v>43</v>
      </c>
      <c r="C179" s="20"/>
      <c r="D179" s="21"/>
      <c r="E179"/>
      <c r="F179" s="164"/>
      <c r="G179" s="162"/>
      <c r="H179" s="164"/>
      <c r="I179" s="162"/>
      <c r="J179" s="200"/>
      <c r="K179" s="222"/>
      <c r="L179" s="164"/>
      <c r="M179" s="162"/>
      <c r="N179" s="164"/>
      <c r="O179" s="162"/>
      <c r="P179" s="164"/>
      <c r="Q179" s="162"/>
      <c r="R179" s="164"/>
      <c r="S179" s="162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</row>
    <row r="180" spans="1:44" s="3" customFormat="1" ht="12.75">
      <c r="A180" s="29"/>
      <c r="B180" s="19" t="s">
        <v>216</v>
      </c>
      <c r="C180" s="20"/>
      <c r="D180" s="21"/>
      <c r="E180"/>
      <c r="F180" s="164"/>
      <c r="G180" s="162"/>
      <c r="H180" s="164"/>
      <c r="I180" s="162"/>
      <c r="J180" s="200"/>
      <c r="K180" s="222"/>
      <c r="L180" s="164"/>
      <c r="M180" s="162"/>
      <c r="N180" s="164"/>
      <c r="O180" s="162"/>
      <c r="P180" s="164">
        <v>142</v>
      </c>
      <c r="Q180" s="162"/>
      <c r="R180" s="164">
        <v>77</v>
      </c>
      <c r="S180" s="162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</row>
    <row r="181" spans="1:44" s="3" customFormat="1" ht="12.75">
      <c r="A181" s="68"/>
      <c r="B181" s="59" t="s">
        <v>217</v>
      </c>
      <c r="C181" s="69"/>
      <c r="D181" s="70"/>
      <c r="F181" s="161"/>
      <c r="G181" s="155"/>
      <c r="H181" s="161">
        <v>723</v>
      </c>
      <c r="I181" s="155"/>
      <c r="J181" s="153">
        <v>1163</v>
      </c>
      <c r="K181" s="154"/>
      <c r="L181" s="164">
        <f>ROUND((3800/1936.27)*1000,0)</f>
        <v>1963</v>
      </c>
      <c r="M181" s="155"/>
      <c r="N181" s="161">
        <v>659</v>
      </c>
      <c r="O181" s="155"/>
      <c r="P181" s="161">
        <v>1085</v>
      </c>
      <c r="Q181" s="155"/>
      <c r="R181" s="161">
        <v>2072</v>
      </c>
      <c r="S181" s="155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</row>
    <row r="182" spans="1:44" s="3" customFormat="1" ht="12.75">
      <c r="A182" s="190"/>
      <c r="B182" s="101" t="s">
        <v>218</v>
      </c>
      <c r="C182" s="93"/>
      <c r="D182" s="94"/>
      <c r="F182" s="209">
        <v>1228</v>
      </c>
      <c r="G182" s="163"/>
      <c r="H182" s="209">
        <v>516</v>
      </c>
      <c r="I182" s="163"/>
      <c r="J182" s="203">
        <v>459</v>
      </c>
      <c r="K182" s="240"/>
      <c r="L182" s="197">
        <f>ROUND((1059/1936.27)*1000,0)</f>
        <v>547</v>
      </c>
      <c r="M182" s="163"/>
      <c r="N182" s="209">
        <v>914</v>
      </c>
      <c r="O182" s="163"/>
      <c r="P182" s="209">
        <v>677</v>
      </c>
      <c r="Q182" s="163">
        <v>677</v>
      </c>
      <c r="R182" s="209">
        <v>867</v>
      </c>
      <c r="S182" s="163">
        <v>867</v>
      </c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</row>
    <row r="183" spans="1:44" s="3" customFormat="1" ht="12.75">
      <c r="A183" s="291" t="s">
        <v>147</v>
      </c>
      <c r="B183" s="48"/>
      <c r="C183" s="48"/>
      <c r="D183" s="49"/>
      <c r="E183" s="52"/>
      <c r="F183" s="195">
        <f aca="true" t="shared" si="29" ref="F183:O183">+F184+F195+F206+F217+F228+F239+F250+F261+F272</f>
        <v>20865</v>
      </c>
      <c r="G183" s="195">
        <f t="shared" si="29"/>
        <v>0</v>
      </c>
      <c r="H183" s="195">
        <f t="shared" si="29"/>
        <v>23377</v>
      </c>
      <c r="I183" s="195">
        <f t="shared" si="29"/>
        <v>0</v>
      </c>
      <c r="J183" s="195">
        <f t="shared" si="29"/>
        <v>25280</v>
      </c>
      <c r="K183" s="195">
        <f t="shared" si="29"/>
        <v>21</v>
      </c>
      <c r="L183" s="195">
        <f t="shared" si="29"/>
        <v>27477.5</v>
      </c>
      <c r="M183" s="195">
        <f t="shared" si="29"/>
        <v>605</v>
      </c>
      <c r="N183" s="195">
        <f t="shared" si="29"/>
        <v>28627</v>
      </c>
      <c r="O183" s="195">
        <f t="shared" si="29"/>
        <v>19.108905266311</v>
      </c>
      <c r="P183" s="195">
        <f>+P184+P195+P206+P217+P228+P239+P250+P261+P272</f>
        <v>30113</v>
      </c>
      <c r="Q183" s="195">
        <f>+Q184+Q195+Q206+Q217+Q228+Q239+Q250+Q261+Q272</f>
        <v>31</v>
      </c>
      <c r="R183" s="195">
        <f>+R184+R195+R206+R217+R228+R239+R250+R261+R272</f>
        <v>31748</v>
      </c>
      <c r="S183" s="195">
        <f>+S184+S195+S206+S217+S228+S239+S250+S261+S272</f>
        <v>19</v>
      </c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</row>
    <row r="184" spans="1:44" s="3" customFormat="1" ht="12.75">
      <c r="A184" s="28"/>
      <c r="B184" s="22" t="s">
        <v>51</v>
      </c>
      <c r="C184" s="19"/>
      <c r="D184" s="26"/>
      <c r="E184"/>
      <c r="F184" s="214">
        <f aca="true" t="shared" si="30" ref="F184:K184">SUM(F185:F194)</f>
        <v>1315</v>
      </c>
      <c r="G184" s="214">
        <f t="shared" si="30"/>
        <v>0</v>
      </c>
      <c r="H184" s="214">
        <f t="shared" si="30"/>
        <v>1477</v>
      </c>
      <c r="I184" s="214">
        <f t="shared" si="30"/>
        <v>0</v>
      </c>
      <c r="J184" s="214">
        <f t="shared" si="30"/>
        <v>1496</v>
      </c>
      <c r="K184" s="214">
        <f t="shared" si="30"/>
        <v>0</v>
      </c>
      <c r="L184" s="214">
        <f>SUM(L185:L194)</f>
        <v>1577</v>
      </c>
      <c r="M184" s="214">
        <f>SUM(M185:M194)</f>
        <v>0</v>
      </c>
      <c r="N184" s="214">
        <f>SUM(N185:N194)+1</f>
        <v>1657</v>
      </c>
      <c r="O184" s="214">
        <f>SUM(O185:O194)</f>
        <v>0</v>
      </c>
      <c r="P184" s="214">
        <f>SUM(P185:P194)</f>
        <v>1762</v>
      </c>
      <c r="Q184" s="214">
        <f>SUM(Q185:Q194)</f>
        <v>0</v>
      </c>
      <c r="R184" s="214">
        <f>SUM(R185:R194)</f>
        <v>1864</v>
      </c>
      <c r="S184" s="214">
        <f>SUM(S185:S194)</f>
        <v>0</v>
      </c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</row>
    <row r="185" spans="1:44" s="3" customFormat="1" ht="12.75">
      <c r="A185" s="28"/>
      <c r="B185" s="19"/>
      <c r="C185" s="19" t="s">
        <v>52</v>
      </c>
      <c r="D185" s="26"/>
      <c r="E185"/>
      <c r="F185" s="215">
        <f>ROUND(96*1000/1936.27,0)</f>
        <v>50</v>
      </c>
      <c r="G185" s="262"/>
      <c r="H185" s="215">
        <f>ROUND(283*1000/1936.27,0)</f>
        <v>146</v>
      </c>
      <c r="I185" s="262"/>
      <c r="J185" s="215">
        <f>ROUND(303*1000/1936.27,0)</f>
        <v>156</v>
      </c>
      <c r="K185" s="262"/>
      <c r="L185" s="215">
        <f>ROUND(474*1000/1936.27,0)</f>
        <v>245</v>
      </c>
      <c r="M185" s="164"/>
      <c r="N185" s="215">
        <f>ROUND((508000/1936.27),0)</f>
        <v>262</v>
      </c>
      <c r="O185" s="162"/>
      <c r="P185" s="215">
        <v>280</v>
      </c>
      <c r="Q185" s="162"/>
      <c r="R185" s="215">
        <v>230</v>
      </c>
      <c r="S185" s="162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</row>
    <row r="186" spans="1:44" s="3" customFormat="1" ht="12.75">
      <c r="A186" s="28"/>
      <c r="B186" s="19"/>
      <c r="C186" s="19" t="s">
        <v>53</v>
      </c>
      <c r="D186" s="26"/>
      <c r="E186"/>
      <c r="F186" s="215">
        <f>ROUND(1842*1000/1936.27,0)</f>
        <v>951</v>
      </c>
      <c r="G186" s="263"/>
      <c r="H186" s="215">
        <f>ROUND(1882*1000/1936.27,0)</f>
        <v>972</v>
      </c>
      <c r="I186" s="263"/>
      <c r="J186" s="215">
        <f>ROUND(1868*1000/1936.27,0)</f>
        <v>965</v>
      </c>
      <c r="K186" s="263"/>
      <c r="L186" s="215">
        <f>ROUND(1825*1000/1936.27,0)</f>
        <v>943</v>
      </c>
      <c r="M186" s="162"/>
      <c r="N186" s="215">
        <f>ROUND((1833000/1936.27),0)</f>
        <v>947</v>
      </c>
      <c r="O186" s="162"/>
      <c r="P186" s="215">
        <v>959</v>
      </c>
      <c r="Q186" s="162"/>
      <c r="R186" s="215">
        <v>1092</v>
      </c>
      <c r="S186" s="162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</row>
    <row r="187" spans="1:44" s="3" customFormat="1" ht="12.75">
      <c r="A187" s="28"/>
      <c r="B187" s="19"/>
      <c r="C187" s="19" t="s">
        <v>54</v>
      </c>
      <c r="D187" s="26"/>
      <c r="E187"/>
      <c r="F187" s="215">
        <f>ROUND(0*1000/1936.27,0)</f>
        <v>0</v>
      </c>
      <c r="G187" s="263"/>
      <c r="H187" s="215">
        <f>ROUND(0*1000/1936.27,0)</f>
        <v>0</v>
      </c>
      <c r="I187" s="263"/>
      <c r="J187" s="215">
        <f>ROUND(0*1000/1936.27,0)</f>
        <v>0</v>
      </c>
      <c r="K187" s="263"/>
      <c r="L187" s="215">
        <v>0</v>
      </c>
      <c r="M187" s="162"/>
      <c r="N187" s="215">
        <v>0</v>
      </c>
      <c r="O187" s="162"/>
      <c r="P187" s="215"/>
      <c r="Q187" s="162"/>
      <c r="R187" s="215"/>
      <c r="S187" s="162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</row>
    <row r="188" spans="1:44" s="3" customFormat="1" ht="12.75">
      <c r="A188" s="28"/>
      <c r="B188" s="19"/>
      <c r="C188" s="19" t="s">
        <v>55</v>
      </c>
      <c r="D188" s="26"/>
      <c r="E188"/>
      <c r="F188" s="215">
        <v>0</v>
      </c>
      <c r="G188" s="263"/>
      <c r="H188" s="215">
        <v>0</v>
      </c>
      <c r="I188" s="263"/>
      <c r="J188" s="215">
        <v>0</v>
      </c>
      <c r="K188" s="263"/>
      <c r="L188" s="215">
        <v>0</v>
      </c>
      <c r="M188" s="162"/>
      <c r="N188" s="215">
        <v>0</v>
      </c>
      <c r="O188" s="162"/>
      <c r="P188" s="215"/>
      <c r="Q188" s="162"/>
      <c r="R188" s="215"/>
      <c r="S188" s="162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</row>
    <row r="189" spans="1:44" s="3" customFormat="1" ht="13.5" customHeight="1">
      <c r="A189" s="28"/>
      <c r="B189" s="19"/>
      <c r="C189" s="19" t="s">
        <v>56</v>
      </c>
      <c r="D189" s="26"/>
      <c r="E189"/>
      <c r="F189" s="215">
        <f>ROUND(25*1000/1936.27,0)</f>
        <v>13</v>
      </c>
      <c r="G189" s="263"/>
      <c r="H189" s="215">
        <f>ROUND(6*1000/1936.27,0)</f>
        <v>3</v>
      </c>
      <c r="I189" s="263"/>
      <c r="J189" s="215">
        <f>ROUND(34*1000/1936.27,0)</f>
        <v>18</v>
      </c>
      <c r="K189" s="263"/>
      <c r="L189" s="215">
        <f>ROUND(28*1000/1936.27,0)</f>
        <v>14</v>
      </c>
      <c r="M189" s="162"/>
      <c r="N189" s="215">
        <f>ROUND((30000/1936.27),0)</f>
        <v>15</v>
      </c>
      <c r="O189" s="162"/>
      <c r="P189" s="215">
        <v>15</v>
      </c>
      <c r="Q189" s="162"/>
      <c r="R189" s="215">
        <v>63</v>
      </c>
      <c r="S189" s="162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</row>
    <row r="190" spans="1:44" s="3" customFormat="1" ht="13.5" customHeight="1">
      <c r="A190" s="28"/>
      <c r="B190" s="19"/>
      <c r="C190" s="19" t="s">
        <v>57</v>
      </c>
      <c r="D190" s="26"/>
      <c r="E190"/>
      <c r="F190" s="215">
        <v>0</v>
      </c>
      <c r="G190" s="263"/>
      <c r="H190" s="215">
        <v>0</v>
      </c>
      <c r="I190" s="263"/>
      <c r="J190" s="215">
        <v>0</v>
      </c>
      <c r="K190" s="263"/>
      <c r="L190" s="215">
        <v>0</v>
      </c>
      <c r="M190" s="162"/>
      <c r="N190" s="215">
        <v>0</v>
      </c>
      <c r="O190" s="162"/>
      <c r="P190" s="215"/>
      <c r="Q190" s="162"/>
      <c r="R190" s="215"/>
      <c r="S190" s="162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</row>
    <row r="191" spans="1:44" s="3" customFormat="1" ht="12.75">
      <c r="A191" s="28"/>
      <c r="B191" s="19"/>
      <c r="C191" s="19" t="s">
        <v>58</v>
      </c>
      <c r="D191" s="26"/>
      <c r="E191"/>
      <c r="F191" s="215">
        <f>ROUND((514-25)*1000/1936.27,0)</f>
        <v>253</v>
      </c>
      <c r="G191" s="263"/>
      <c r="H191" s="215">
        <f>ROUND((552-6)*1000/1936.27,0)</f>
        <v>282</v>
      </c>
      <c r="I191" s="263"/>
      <c r="J191" s="215">
        <f>ROUND((595-34)*1000/1936.27,0)</f>
        <v>290</v>
      </c>
      <c r="K191" s="263"/>
      <c r="L191" s="215">
        <f>ROUND((603-28)*1000/1936.27,0)</f>
        <v>297</v>
      </c>
      <c r="M191" s="162"/>
      <c r="N191" s="215">
        <f>ROUND((664000/1936.27),0)</f>
        <v>343</v>
      </c>
      <c r="O191" s="162"/>
      <c r="P191" s="215">
        <v>269</v>
      </c>
      <c r="Q191" s="162"/>
      <c r="R191" s="215">
        <f>326-63</f>
        <v>263</v>
      </c>
      <c r="S191" s="162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</row>
    <row r="192" spans="1:44" s="3" customFormat="1" ht="12.75">
      <c r="A192" s="28"/>
      <c r="B192" s="19"/>
      <c r="C192" s="19" t="s">
        <v>39</v>
      </c>
      <c r="D192" s="26"/>
      <c r="E192"/>
      <c r="F192" s="215">
        <f>ROUND(7*1000/1936.27,0)</f>
        <v>4</v>
      </c>
      <c r="G192" s="263"/>
      <c r="H192" s="215">
        <f>ROUND(7*1000/1936.27,0)</f>
        <v>4</v>
      </c>
      <c r="I192" s="263"/>
      <c r="J192" s="215">
        <f>ROUND(35*1000/1936.27,0)</f>
        <v>18</v>
      </c>
      <c r="K192" s="263"/>
      <c r="L192" s="215">
        <f>ROUND(14*1000/1936.27,0)</f>
        <v>7</v>
      </c>
      <c r="M192" s="162"/>
      <c r="N192" s="215">
        <f>ROUND((13000/1936.27),0)</f>
        <v>7</v>
      </c>
      <c r="O192" s="162"/>
      <c r="P192" s="215">
        <v>137</v>
      </c>
      <c r="Q192" s="162"/>
      <c r="R192" s="215">
        <v>129</v>
      </c>
      <c r="S192" s="162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</row>
    <row r="193" spans="1:44" s="3" customFormat="1" ht="12.75">
      <c r="A193" s="28"/>
      <c r="B193" s="19"/>
      <c r="C193" s="19" t="s">
        <v>72</v>
      </c>
      <c r="D193" s="26"/>
      <c r="E193"/>
      <c r="F193" s="215">
        <f>ROUND(86*1000/1936.27,0)</f>
        <v>44</v>
      </c>
      <c r="G193" s="263"/>
      <c r="H193" s="215">
        <f>ROUND(135*1000/1936.27,0)</f>
        <v>70</v>
      </c>
      <c r="I193" s="263"/>
      <c r="J193" s="215">
        <f>ROUND(95*1000/1936.27,0)</f>
        <v>49</v>
      </c>
      <c r="K193" s="263"/>
      <c r="L193" s="215">
        <f>ROUND((152-14)*1000/1936.27,0)</f>
        <v>71</v>
      </c>
      <c r="M193" s="162"/>
      <c r="N193" s="215">
        <f>ROUND((159000/1936.27),0)</f>
        <v>82</v>
      </c>
      <c r="O193" s="162"/>
      <c r="P193" s="215">
        <f>50+34+18</f>
        <v>102</v>
      </c>
      <c r="Q193" s="162"/>
      <c r="R193" s="215">
        <f>216-129</f>
        <v>87</v>
      </c>
      <c r="S193" s="162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</row>
    <row r="194" spans="1:44" s="3" customFormat="1" ht="12.75">
      <c r="A194" s="141"/>
      <c r="B194" s="34"/>
      <c r="C194" s="34" t="s">
        <v>59</v>
      </c>
      <c r="D194" s="142"/>
      <c r="E194"/>
      <c r="F194" s="211">
        <v>0</v>
      </c>
      <c r="G194" s="264"/>
      <c r="H194" s="211">
        <v>0</v>
      </c>
      <c r="I194" s="264"/>
      <c r="J194" s="211">
        <v>0</v>
      </c>
      <c r="K194" s="264"/>
      <c r="L194" s="215">
        <v>0</v>
      </c>
      <c r="M194" s="219"/>
      <c r="N194" s="211">
        <v>0</v>
      </c>
      <c r="O194" s="219"/>
      <c r="P194" s="211"/>
      <c r="Q194" s="219"/>
      <c r="R194" s="211"/>
      <c r="S194" s="219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</row>
    <row r="195" spans="1:19" ht="12.75">
      <c r="A195" s="143"/>
      <c r="B195" s="144" t="s">
        <v>60</v>
      </c>
      <c r="C195" s="145"/>
      <c r="D195" s="146"/>
      <c r="E195" s="46"/>
      <c r="F195" s="216">
        <f aca="true" t="shared" si="31" ref="F195:K195">SUM(F196:F205)</f>
        <v>3348</v>
      </c>
      <c r="G195" s="216">
        <f t="shared" si="31"/>
        <v>0</v>
      </c>
      <c r="H195" s="216">
        <f t="shared" si="31"/>
        <v>3704</v>
      </c>
      <c r="I195" s="216">
        <f t="shared" si="31"/>
        <v>0</v>
      </c>
      <c r="J195" s="216">
        <f t="shared" si="31"/>
        <v>4133</v>
      </c>
      <c r="K195" s="216">
        <f t="shared" si="31"/>
        <v>0</v>
      </c>
      <c r="L195" s="216">
        <f aca="true" t="shared" si="32" ref="L195:Q195">SUM(L196:L205)</f>
        <v>4448</v>
      </c>
      <c r="M195" s="216">
        <f t="shared" si="32"/>
        <v>53</v>
      </c>
      <c r="N195" s="216">
        <f t="shared" si="32"/>
        <v>4778</v>
      </c>
      <c r="O195" s="216">
        <f t="shared" si="32"/>
        <v>3.6151982936264053</v>
      </c>
      <c r="P195" s="216">
        <f t="shared" si="32"/>
        <v>5164</v>
      </c>
      <c r="Q195" s="216">
        <f t="shared" si="32"/>
        <v>0</v>
      </c>
      <c r="R195" s="216">
        <f>SUM(R196:R205)</f>
        <v>5400</v>
      </c>
      <c r="S195" s="216">
        <f>SUM(S196:S205)</f>
        <v>4</v>
      </c>
    </row>
    <row r="196" spans="1:19" ht="12.75">
      <c r="A196" s="28"/>
      <c r="B196" s="19"/>
      <c r="C196" s="19" t="s">
        <v>52</v>
      </c>
      <c r="D196" s="26"/>
      <c r="F196" s="215">
        <f>ROUND(187*1000/1936.27,0)</f>
        <v>97</v>
      </c>
      <c r="G196" s="262"/>
      <c r="H196" s="215">
        <f>ROUND(346*1000/1936.27,0)-1</f>
        <v>178</v>
      </c>
      <c r="I196" s="262"/>
      <c r="J196" s="215">
        <f>ROUND(451*1000/1936.27,0)</f>
        <v>233</v>
      </c>
      <c r="K196" s="262"/>
      <c r="L196" s="215">
        <f>ROUND(376*1000/1936.27,0)</f>
        <v>194</v>
      </c>
      <c r="M196" s="162"/>
      <c r="N196" s="215">
        <f>ROUND((518000/1936.27),0)</f>
        <v>268</v>
      </c>
      <c r="O196" s="162">
        <f>7/1.93627</f>
        <v>3.6151982936264053</v>
      </c>
      <c r="P196" s="215">
        <v>205</v>
      </c>
      <c r="Q196" s="162"/>
      <c r="R196" s="215">
        <v>157</v>
      </c>
      <c r="S196" s="162"/>
    </row>
    <row r="197" spans="1:19" ht="12.75">
      <c r="A197" s="28"/>
      <c r="B197" s="19"/>
      <c r="C197" s="19" t="s">
        <v>53</v>
      </c>
      <c r="D197" s="26"/>
      <c r="F197" s="215">
        <f>ROUND(4841*1000/1936.27,0)</f>
        <v>2500</v>
      </c>
      <c r="G197" s="263"/>
      <c r="H197" s="215">
        <f>ROUND(5272*1000/1936.27,0)</f>
        <v>2723</v>
      </c>
      <c r="I197" s="263"/>
      <c r="J197" s="215">
        <f>ROUND(5493*1000/1936.27,0)</f>
        <v>2837</v>
      </c>
      <c r="K197" s="263"/>
      <c r="L197" s="215">
        <f>ROUND(6247*1000/1936.27,0)</f>
        <v>3226</v>
      </c>
      <c r="M197" s="162">
        <f>ROUND(103000/1936.27,0)</f>
        <v>53</v>
      </c>
      <c r="N197" s="215">
        <f>ROUND((6390000/1936.27),0)</f>
        <v>3300</v>
      </c>
      <c r="O197" s="162"/>
      <c r="P197" s="215">
        <v>3244</v>
      </c>
      <c r="Q197" s="162"/>
      <c r="R197" s="215">
        <v>3392</v>
      </c>
      <c r="S197" s="162"/>
    </row>
    <row r="198" spans="1:19" ht="12.75">
      <c r="A198" s="28"/>
      <c r="B198" s="19"/>
      <c r="C198" s="19" t="s">
        <v>54</v>
      </c>
      <c r="D198" s="26"/>
      <c r="F198" s="215">
        <f>ROUND(0*1000/1936.27,0)</f>
        <v>0</v>
      </c>
      <c r="G198" s="263"/>
      <c r="H198" s="215">
        <f>ROUND(0*1000/1936.27,0)</f>
        <v>0</v>
      </c>
      <c r="I198" s="263"/>
      <c r="J198" s="215">
        <f>ROUND(0*1000/1936.27,0)</f>
        <v>0</v>
      </c>
      <c r="K198" s="263"/>
      <c r="L198" s="215">
        <v>0</v>
      </c>
      <c r="M198" s="162"/>
      <c r="N198" s="215">
        <v>0</v>
      </c>
      <c r="O198" s="162"/>
      <c r="P198" s="215">
        <v>22</v>
      </c>
      <c r="Q198" s="162"/>
      <c r="R198" s="215"/>
      <c r="S198" s="162"/>
    </row>
    <row r="199" spans="1:19" ht="12.75">
      <c r="A199" s="28"/>
      <c r="B199" s="19"/>
      <c r="C199" s="19" t="s">
        <v>55</v>
      </c>
      <c r="D199" s="26"/>
      <c r="F199" s="215">
        <v>0</v>
      </c>
      <c r="G199" s="263"/>
      <c r="H199" s="215">
        <v>0</v>
      </c>
      <c r="I199" s="263"/>
      <c r="J199" s="215">
        <v>0</v>
      </c>
      <c r="K199" s="263"/>
      <c r="L199" s="215">
        <v>0</v>
      </c>
      <c r="M199" s="162"/>
      <c r="N199" s="215">
        <v>0</v>
      </c>
      <c r="O199" s="162"/>
      <c r="P199" s="215"/>
      <c r="Q199" s="162"/>
      <c r="R199" s="215"/>
      <c r="S199" s="162"/>
    </row>
    <row r="200" spans="1:19" ht="12.75">
      <c r="A200" s="28"/>
      <c r="B200" s="19"/>
      <c r="C200" s="19" t="s">
        <v>56</v>
      </c>
      <c r="D200" s="26"/>
      <c r="F200" s="215">
        <f>ROUND(89*1000/1936.27,0)</f>
        <v>46</v>
      </c>
      <c r="G200" s="263"/>
      <c r="H200" s="215">
        <f>ROUND(22*1000/1936.27,0)</f>
        <v>11</v>
      </c>
      <c r="I200" s="263"/>
      <c r="J200" s="215">
        <f>ROUND(118*1000/1936.27,0)</f>
        <v>61</v>
      </c>
      <c r="K200" s="263"/>
      <c r="L200" s="215">
        <f>ROUND(98*1000/1936.27,0)</f>
        <v>51</v>
      </c>
      <c r="M200" s="162"/>
      <c r="N200" s="215">
        <f>ROUND((98000/1936.27),0)</f>
        <v>51</v>
      </c>
      <c r="O200" s="162"/>
      <c r="P200" s="215">
        <v>97</v>
      </c>
      <c r="Q200" s="162"/>
      <c r="R200" s="215">
        <v>66</v>
      </c>
      <c r="S200" s="162"/>
    </row>
    <row r="201" spans="1:19" ht="12.75">
      <c r="A201" s="28"/>
      <c r="B201" s="19"/>
      <c r="C201" s="19" t="s">
        <v>57</v>
      </c>
      <c r="D201" s="26"/>
      <c r="F201" s="215">
        <v>0</v>
      </c>
      <c r="G201" s="263"/>
      <c r="H201" s="215">
        <v>0</v>
      </c>
      <c r="I201" s="263"/>
      <c r="J201" s="215">
        <v>0</v>
      </c>
      <c r="K201" s="263"/>
      <c r="L201" s="215">
        <v>0</v>
      </c>
      <c r="M201" s="162"/>
      <c r="N201" s="215">
        <v>0</v>
      </c>
      <c r="O201" s="162"/>
      <c r="P201" s="215"/>
      <c r="Q201" s="162"/>
      <c r="R201" s="215"/>
      <c r="S201" s="162"/>
    </row>
    <row r="202" spans="1:19" ht="12.75">
      <c r="A202" s="28"/>
      <c r="B202" s="19"/>
      <c r="C202" s="19" t="s">
        <v>58</v>
      </c>
      <c r="D202" s="26"/>
      <c r="F202" s="215">
        <f>ROUND((1379-89)*1000/1936.27,0)</f>
        <v>666</v>
      </c>
      <c r="G202" s="263"/>
      <c r="H202" s="215">
        <f>ROUND((1437-22)*1000/1936.27,0)</f>
        <v>731</v>
      </c>
      <c r="I202" s="263"/>
      <c r="J202" s="215">
        <f>ROUND((1773-118)*1000/1936.27,0)</f>
        <v>855</v>
      </c>
      <c r="K202" s="263"/>
      <c r="L202" s="215">
        <f>ROUND((1644-98)*1000/1936.27,0)</f>
        <v>798</v>
      </c>
      <c r="M202" s="162"/>
      <c r="N202" s="215">
        <f>ROUND(((1934000-98000)/1936.27),0)</f>
        <v>948</v>
      </c>
      <c r="O202" s="162"/>
      <c r="P202" s="215">
        <v>1085</v>
      </c>
      <c r="Q202" s="162"/>
      <c r="R202" s="215">
        <f>1219-66</f>
        <v>1153</v>
      </c>
      <c r="S202" s="162"/>
    </row>
    <row r="203" spans="1:19" ht="12.75">
      <c r="A203" s="28"/>
      <c r="B203" s="19"/>
      <c r="C203" s="19" t="s">
        <v>39</v>
      </c>
      <c r="D203" s="26"/>
      <c r="F203" s="215">
        <f>ROUND(15*1000/1936.27,0)</f>
        <v>8</v>
      </c>
      <c r="G203" s="263"/>
      <c r="H203" s="215">
        <f>ROUND(15*1000/1936.27,0)</f>
        <v>8</v>
      </c>
      <c r="I203" s="263"/>
      <c r="J203" s="215">
        <f>ROUND(196*1000/1936.27,0)</f>
        <v>101</v>
      </c>
      <c r="K203" s="263"/>
      <c r="L203" s="215">
        <f>ROUND(205*1000/1936.27,0)</f>
        <v>106</v>
      </c>
      <c r="M203" s="162"/>
      <c r="N203" s="215">
        <f>ROUND((235000/1936.27),0)</f>
        <v>121</v>
      </c>
      <c r="O203" s="162"/>
      <c r="P203" s="215">
        <v>444</v>
      </c>
      <c r="Q203" s="162"/>
      <c r="R203" s="215">
        <v>546</v>
      </c>
      <c r="S203" s="162"/>
    </row>
    <row r="204" spans="1:19" ht="12.75">
      <c r="A204" s="28"/>
      <c r="B204" s="19"/>
      <c r="C204" s="19" t="s">
        <v>72</v>
      </c>
      <c r="D204" s="26"/>
      <c r="F204" s="215">
        <f>ROUND(60*1000/1936.27,0)</f>
        <v>31</v>
      </c>
      <c r="G204" s="263"/>
      <c r="H204" s="215">
        <f>ROUND(102*1000/1936.27,0)</f>
        <v>53</v>
      </c>
      <c r="I204" s="263"/>
      <c r="J204" s="215">
        <f>ROUND((286-196)*1000/1936.27,0)</f>
        <v>46</v>
      </c>
      <c r="K204" s="263"/>
      <c r="L204" s="215">
        <f>ROUND((347-205)*1000/1936.27,0)</f>
        <v>73</v>
      </c>
      <c r="M204" s="162"/>
      <c r="N204" s="215">
        <f>ROUND((174000/1936.27),0)</f>
        <v>90</v>
      </c>
      <c r="O204" s="162"/>
      <c r="P204" s="215">
        <f>2+65</f>
        <v>67</v>
      </c>
      <c r="Q204" s="162"/>
      <c r="R204" s="215">
        <f>632-546</f>
        <v>86</v>
      </c>
      <c r="S204" s="162">
        <v>4</v>
      </c>
    </row>
    <row r="205" spans="1:19" ht="12.75">
      <c r="A205" s="141"/>
      <c r="B205" s="34"/>
      <c r="C205" s="34" t="s">
        <v>59</v>
      </c>
      <c r="D205" s="142"/>
      <c r="F205" s="211">
        <v>0</v>
      </c>
      <c r="G205" s="264"/>
      <c r="H205" s="211">
        <v>0</v>
      </c>
      <c r="I205" s="264"/>
      <c r="J205" s="211">
        <v>0</v>
      </c>
      <c r="K205" s="264"/>
      <c r="L205" s="215">
        <v>0</v>
      </c>
      <c r="M205" s="219"/>
      <c r="N205" s="211">
        <v>0</v>
      </c>
      <c r="O205" s="219"/>
      <c r="P205" s="211"/>
      <c r="Q205" s="219"/>
      <c r="R205" s="211"/>
      <c r="S205" s="219"/>
    </row>
    <row r="206" spans="1:19" ht="12.75">
      <c r="A206" s="143"/>
      <c r="B206" s="144" t="s">
        <v>61</v>
      </c>
      <c r="C206" s="145"/>
      <c r="D206" s="146"/>
      <c r="F206" s="216">
        <f aca="true" t="shared" si="33" ref="F206:K206">SUM(F207:F216)</f>
        <v>2080</v>
      </c>
      <c r="G206" s="216">
        <f t="shared" si="33"/>
        <v>0</v>
      </c>
      <c r="H206" s="216">
        <f t="shared" si="33"/>
        <v>2417</v>
      </c>
      <c r="I206" s="216">
        <f t="shared" si="33"/>
        <v>0</v>
      </c>
      <c r="J206" s="216">
        <f t="shared" si="33"/>
        <v>2523</v>
      </c>
      <c r="K206" s="216">
        <f t="shared" si="33"/>
        <v>0</v>
      </c>
      <c r="L206" s="216">
        <f aca="true" t="shared" si="34" ref="L206:Q206">SUM(L207:L216)</f>
        <v>2656</v>
      </c>
      <c r="M206" s="216">
        <f t="shared" si="34"/>
        <v>0</v>
      </c>
      <c r="N206" s="216">
        <f t="shared" si="34"/>
        <v>2762</v>
      </c>
      <c r="O206" s="216">
        <f t="shared" si="34"/>
        <v>0</v>
      </c>
      <c r="P206" s="216">
        <f t="shared" si="34"/>
        <v>2844</v>
      </c>
      <c r="Q206" s="216">
        <f t="shared" si="34"/>
        <v>0</v>
      </c>
      <c r="R206" s="216">
        <f>SUM(R207:R216)</f>
        <v>2847</v>
      </c>
      <c r="S206" s="216">
        <f>SUM(S207:S216)</f>
        <v>0</v>
      </c>
    </row>
    <row r="207" spans="1:19" ht="12.75">
      <c r="A207" s="28"/>
      <c r="B207" s="19"/>
      <c r="C207" s="19" t="s">
        <v>52</v>
      </c>
      <c r="D207" s="26"/>
      <c r="F207" s="215">
        <f>ROUND(85*1000/1936.27,0)</f>
        <v>44</v>
      </c>
      <c r="G207" s="262"/>
      <c r="H207" s="215">
        <f>ROUND(206*1000/1936.27,0)+1</f>
        <v>107</v>
      </c>
      <c r="I207" s="262"/>
      <c r="J207" s="215">
        <f>ROUND(297*1000/1936.27,0)</f>
        <v>153</v>
      </c>
      <c r="K207" s="262"/>
      <c r="L207" s="215">
        <f>ROUND(472*1000/1936.27,0)</f>
        <v>244</v>
      </c>
      <c r="M207" s="162"/>
      <c r="N207" s="215">
        <f>ROUND((472000/1936.27),0)</f>
        <v>244</v>
      </c>
      <c r="O207" s="162"/>
      <c r="P207" s="215">
        <v>170</v>
      </c>
      <c r="Q207" s="162"/>
      <c r="R207" s="215">
        <v>179</v>
      </c>
      <c r="S207" s="162"/>
    </row>
    <row r="208" spans="1:19" ht="12.75">
      <c r="A208" s="28"/>
      <c r="B208" s="19"/>
      <c r="C208" s="19" t="s">
        <v>53</v>
      </c>
      <c r="D208" s="26"/>
      <c r="F208" s="215">
        <f>ROUND(3412*1000/1936.27,0)</f>
        <v>1762</v>
      </c>
      <c r="G208" s="263"/>
      <c r="H208" s="215">
        <f>ROUND(3733*1000/1936.27,0)</f>
        <v>1928</v>
      </c>
      <c r="I208" s="263"/>
      <c r="J208" s="215">
        <f>ROUND(3732*1000/1936.27,0)</f>
        <v>1927</v>
      </c>
      <c r="K208" s="263"/>
      <c r="L208" s="215">
        <f>ROUND(3781*1000/1936.27,0)+1</f>
        <v>1954</v>
      </c>
      <c r="M208" s="162"/>
      <c r="N208" s="215">
        <f>ROUND((3882000/1936.27),0)</f>
        <v>2005</v>
      </c>
      <c r="O208" s="162"/>
      <c r="P208" s="215">
        <v>2041</v>
      </c>
      <c r="Q208" s="162"/>
      <c r="R208" s="215">
        <v>1975</v>
      </c>
      <c r="S208" s="162"/>
    </row>
    <row r="209" spans="1:19" ht="12.75">
      <c r="A209" s="28"/>
      <c r="B209" s="19"/>
      <c r="C209" s="19" t="s">
        <v>54</v>
      </c>
      <c r="D209" s="26"/>
      <c r="F209" s="215">
        <f>ROUND(0*1000/1936.27,0)</f>
        <v>0</v>
      </c>
      <c r="G209" s="263"/>
      <c r="H209" s="215">
        <f>ROUND(0*1000/1936.27,0)</f>
        <v>0</v>
      </c>
      <c r="I209" s="263"/>
      <c r="J209" s="215">
        <f>ROUND(0*1000/1936.27,0)</f>
        <v>0</v>
      </c>
      <c r="K209" s="263"/>
      <c r="L209" s="215">
        <v>0</v>
      </c>
      <c r="M209" s="162"/>
      <c r="N209" s="215">
        <v>0</v>
      </c>
      <c r="O209" s="162"/>
      <c r="P209" s="215">
        <v>26</v>
      </c>
      <c r="Q209" s="162"/>
      <c r="R209" s="215"/>
      <c r="S209" s="162"/>
    </row>
    <row r="210" spans="1:19" ht="12.75">
      <c r="A210" s="28"/>
      <c r="B210" s="19"/>
      <c r="C210" s="19" t="s">
        <v>55</v>
      </c>
      <c r="D210" s="26"/>
      <c r="F210" s="215">
        <v>0</v>
      </c>
      <c r="G210" s="263"/>
      <c r="H210" s="215">
        <v>0</v>
      </c>
      <c r="I210" s="263"/>
      <c r="J210" s="215">
        <v>0</v>
      </c>
      <c r="K210" s="263"/>
      <c r="L210" s="215">
        <v>0</v>
      </c>
      <c r="M210" s="162"/>
      <c r="N210" s="215">
        <v>0</v>
      </c>
      <c r="O210" s="162"/>
      <c r="P210" s="215"/>
      <c r="Q210" s="162"/>
      <c r="R210" s="215"/>
      <c r="S210" s="162"/>
    </row>
    <row r="211" spans="1:19" ht="12.75">
      <c r="A211" s="28"/>
      <c r="B211" s="19"/>
      <c r="C211" s="19" t="s">
        <v>56</v>
      </c>
      <c r="D211" s="26"/>
      <c r="F211" s="215">
        <f>ROUND(85*1000/1936.27,0)</f>
        <v>44</v>
      </c>
      <c r="G211" s="263"/>
      <c r="H211" s="215">
        <f>ROUND(19*1000/1936.27,0)</f>
        <v>10</v>
      </c>
      <c r="I211" s="263"/>
      <c r="J211" s="215">
        <f>ROUND(100*1000/1936.27,0)</f>
        <v>52</v>
      </c>
      <c r="K211" s="263"/>
      <c r="L211" s="215">
        <f>ROUND(82*1000/1936.27,0)</f>
        <v>42</v>
      </c>
      <c r="M211" s="162"/>
      <c r="N211" s="215">
        <f>ROUND((98000/1936.27),0)</f>
        <v>51</v>
      </c>
      <c r="O211" s="162"/>
      <c r="P211" s="215">
        <v>50</v>
      </c>
      <c r="Q211" s="162"/>
      <c r="R211" s="215">
        <v>60</v>
      </c>
      <c r="S211" s="162"/>
    </row>
    <row r="212" spans="1:19" ht="12.75">
      <c r="A212" s="28"/>
      <c r="B212" s="19"/>
      <c r="C212" s="19" t="s">
        <v>57</v>
      </c>
      <c r="D212" s="26"/>
      <c r="F212" s="215">
        <v>0</v>
      </c>
      <c r="G212" s="263"/>
      <c r="H212" s="215">
        <v>0</v>
      </c>
      <c r="I212" s="263"/>
      <c r="J212" s="215">
        <v>0</v>
      </c>
      <c r="K212" s="263"/>
      <c r="L212" s="215">
        <v>0</v>
      </c>
      <c r="M212" s="162"/>
      <c r="N212" s="215">
        <v>0</v>
      </c>
      <c r="O212" s="162"/>
      <c r="P212" s="215"/>
      <c r="Q212" s="162"/>
      <c r="R212" s="215"/>
      <c r="S212" s="162"/>
    </row>
    <row r="213" spans="1:19" ht="12.75">
      <c r="A213" s="28"/>
      <c r="B213" s="19"/>
      <c r="C213" s="19" t="s">
        <v>58</v>
      </c>
      <c r="D213" s="26"/>
      <c r="F213" s="215">
        <f>ROUND((455-85)*1000/1936.27,0)</f>
        <v>191</v>
      </c>
      <c r="G213" s="263"/>
      <c r="H213" s="215">
        <f>ROUND((504-19)*1000/1936.27,0)</f>
        <v>250</v>
      </c>
      <c r="I213" s="263"/>
      <c r="J213" s="215">
        <f>ROUND((521)*1000/1936.27,0)</f>
        <v>269</v>
      </c>
      <c r="K213" s="263"/>
      <c r="L213" s="215">
        <f>ROUND((605-82)*1000/1936.27,0)</f>
        <v>270</v>
      </c>
      <c r="M213" s="162"/>
      <c r="N213" s="215">
        <f>ROUND(((752000-98000)/1936.27),0)</f>
        <v>338</v>
      </c>
      <c r="O213" s="162"/>
      <c r="P213" s="215">
        <v>387</v>
      </c>
      <c r="Q213" s="162"/>
      <c r="R213" s="215">
        <f>503-60</f>
        <v>443</v>
      </c>
      <c r="S213" s="162"/>
    </row>
    <row r="214" spans="1:19" ht="12.75">
      <c r="A214" s="28"/>
      <c r="B214" s="19"/>
      <c r="C214" s="19" t="s">
        <v>39</v>
      </c>
      <c r="D214" s="26"/>
      <c r="F214" s="215">
        <f>ROUND(3*1000/1936.27,0)</f>
        <v>2</v>
      </c>
      <c r="G214" s="263"/>
      <c r="H214" s="215">
        <f>ROUND(173*1000/1936.27,0)</f>
        <v>89</v>
      </c>
      <c r="I214" s="263"/>
      <c r="J214" s="215">
        <f>ROUND(191*1000/1936.27,0)</f>
        <v>99</v>
      </c>
      <c r="K214" s="263"/>
      <c r="L214" s="215">
        <f>ROUND(175*1000/1936.27,0)</f>
        <v>90</v>
      </c>
      <c r="M214" s="162"/>
      <c r="N214" s="215">
        <f>ROUND((120000/1936.27),0)</f>
        <v>62</v>
      </c>
      <c r="O214" s="162"/>
      <c r="P214" s="215">
        <v>94</v>
      </c>
      <c r="Q214" s="162"/>
      <c r="R214" s="215">
        <v>82</v>
      </c>
      <c r="S214" s="162"/>
    </row>
    <row r="215" spans="1:19" ht="12.75">
      <c r="A215" s="28"/>
      <c r="B215" s="19"/>
      <c r="C215" s="19" t="s">
        <v>72</v>
      </c>
      <c r="D215" s="26"/>
      <c r="F215" s="215">
        <f>ROUND(71*1000/1936.27,0)</f>
        <v>37</v>
      </c>
      <c r="G215" s="263"/>
      <c r="H215" s="215">
        <f>ROUND(64*1000/1936.27,0)</f>
        <v>33</v>
      </c>
      <c r="I215" s="263"/>
      <c r="J215" s="215">
        <f>ROUND((235-191)*1000/1936.27,0)</f>
        <v>23</v>
      </c>
      <c r="K215" s="263"/>
      <c r="L215" s="215">
        <f>ROUND((284-175)*1000/1936.27,0)</f>
        <v>56</v>
      </c>
      <c r="M215" s="162"/>
      <c r="N215" s="215">
        <f>ROUND((121000/1936.27),0)</f>
        <v>62</v>
      </c>
      <c r="O215" s="162"/>
      <c r="P215" s="215">
        <f>53+15+8</f>
        <v>76</v>
      </c>
      <c r="Q215" s="162"/>
      <c r="R215" s="215">
        <f>190-82</f>
        <v>108</v>
      </c>
      <c r="S215" s="162"/>
    </row>
    <row r="216" spans="1:19" ht="12.75">
      <c r="A216" s="141"/>
      <c r="B216" s="34"/>
      <c r="C216" s="34" t="s">
        <v>59</v>
      </c>
      <c r="D216" s="142"/>
      <c r="F216" s="211">
        <v>0</v>
      </c>
      <c r="G216" s="264"/>
      <c r="H216" s="211">
        <v>0</v>
      </c>
      <c r="I216" s="264"/>
      <c r="J216" s="211">
        <v>0</v>
      </c>
      <c r="K216" s="264"/>
      <c r="L216" s="211">
        <v>0</v>
      </c>
      <c r="M216" s="219"/>
      <c r="N216" s="211">
        <v>0</v>
      </c>
      <c r="O216" s="219"/>
      <c r="P216" s="211"/>
      <c r="Q216" s="219"/>
      <c r="R216" s="211"/>
      <c r="S216" s="219"/>
    </row>
    <row r="217" spans="1:19" ht="12.75">
      <c r="A217" s="143"/>
      <c r="B217" s="144" t="s">
        <v>62</v>
      </c>
      <c r="C217" s="145"/>
      <c r="D217" s="146"/>
      <c r="F217" s="216">
        <f aca="true" t="shared" si="35" ref="F217:K217">SUM(F218:F227)</f>
        <v>1334</v>
      </c>
      <c r="G217" s="216">
        <f t="shared" si="35"/>
        <v>0</v>
      </c>
      <c r="H217" s="216">
        <f t="shared" si="35"/>
        <v>1937</v>
      </c>
      <c r="I217" s="216">
        <f t="shared" si="35"/>
        <v>0</v>
      </c>
      <c r="J217" s="216">
        <f t="shared" si="35"/>
        <v>2061</v>
      </c>
      <c r="K217" s="216">
        <f t="shared" si="35"/>
        <v>0</v>
      </c>
      <c r="L217" s="216">
        <f>SUM(L218:L227)</f>
        <v>2190</v>
      </c>
      <c r="M217" s="216">
        <f>SUM(M218:M227)</f>
        <v>15</v>
      </c>
      <c r="N217" s="216">
        <f>SUM(N218:N227)-1</f>
        <v>2364</v>
      </c>
      <c r="O217" s="216">
        <f>SUM(O218:O227)</f>
        <v>0</v>
      </c>
      <c r="P217" s="216">
        <f>SUM(P218:P227)</f>
        <v>2568</v>
      </c>
      <c r="Q217" s="216">
        <f>SUM(Q218:Q227)</f>
        <v>26</v>
      </c>
      <c r="R217" s="216">
        <f>SUM(R218:R227)</f>
        <v>2831</v>
      </c>
      <c r="S217" s="216">
        <f>SUM(S218:S227)</f>
        <v>10</v>
      </c>
    </row>
    <row r="218" spans="1:19" ht="12.75">
      <c r="A218" s="28"/>
      <c r="B218" s="19"/>
      <c r="C218" s="19" t="s">
        <v>52</v>
      </c>
      <c r="D218" s="26"/>
      <c r="F218" s="215">
        <f>ROUND(109*1000/1936.27,0)</f>
        <v>56</v>
      </c>
      <c r="G218" s="215"/>
      <c r="H218" s="215">
        <f>ROUND(240*1000/1936.27,0)-1</f>
        <v>123</v>
      </c>
      <c r="I218" s="215"/>
      <c r="J218" s="215">
        <f>ROUND(155*1000/1936.27,0)</f>
        <v>80</v>
      </c>
      <c r="K218" s="215"/>
      <c r="L218" s="215">
        <f>ROUND(206*1000/1936.27,0)-2</f>
        <v>104</v>
      </c>
      <c r="M218" s="215"/>
      <c r="N218" s="215">
        <f>ROUND((197000/1936.27),0)</f>
        <v>102</v>
      </c>
      <c r="O218" s="215"/>
      <c r="P218" s="215">
        <v>159</v>
      </c>
      <c r="Q218" s="215"/>
      <c r="R218" s="215">
        <v>114</v>
      </c>
      <c r="S218" s="215"/>
    </row>
    <row r="219" spans="1:19" ht="12.75">
      <c r="A219" s="28"/>
      <c r="B219" s="19"/>
      <c r="C219" s="19" t="s">
        <v>53</v>
      </c>
      <c r="D219" s="26"/>
      <c r="F219" s="215">
        <f>ROUND(1903*1000/1936.27,0)</f>
        <v>983</v>
      </c>
      <c r="G219" s="263"/>
      <c r="H219" s="215">
        <f>ROUND(2313*1000/1936.27,0)</f>
        <v>1195</v>
      </c>
      <c r="I219" s="263"/>
      <c r="J219" s="215">
        <f>ROUND(2530*1000/1936.27,0)</f>
        <v>1307</v>
      </c>
      <c r="K219" s="263"/>
      <c r="L219" s="215">
        <f>ROUND(2741*1000/1936.27,0)+1</f>
        <v>1417</v>
      </c>
      <c r="M219" s="162">
        <f>ROUND(30000/1936.27,0)</f>
        <v>15</v>
      </c>
      <c r="N219" s="215">
        <f>ROUND((2955000/1936.27),0)</f>
        <v>1526</v>
      </c>
      <c r="O219" s="162"/>
      <c r="P219" s="215">
        <v>1542</v>
      </c>
      <c r="Q219" s="162">
        <v>26</v>
      </c>
      <c r="R219" s="215">
        <v>1718</v>
      </c>
      <c r="S219" s="162">
        <v>10</v>
      </c>
    </row>
    <row r="220" spans="1:19" ht="12.75">
      <c r="A220" s="28"/>
      <c r="B220" s="19"/>
      <c r="C220" s="19" t="s">
        <v>54</v>
      </c>
      <c r="D220" s="26"/>
      <c r="F220" s="215">
        <f>ROUND(0*1000/1936.27,0)</f>
        <v>0</v>
      </c>
      <c r="G220" s="263"/>
      <c r="H220" s="215">
        <f>ROUND(0*1000/1936.27,0)</f>
        <v>0</v>
      </c>
      <c r="I220" s="263"/>
      <c r="J220" s="215">
        <f>ROUND(0*1000/1936.27,0)</f>
        <v>0</v>
      </c>
      <c r="K220" s="263"/>
      <c r="L220" s="215">
        <v>0</v>
      </c>
      <c r="M220" s="162"/>
      <c r="N220" s="215">
        <v>0</v>
      </c>
      <c r="O220" s="162"/>
      <c r="P220" s="215">
        <v>26</v>
      </c>
      <c r="Q220" s="162"/>
      <c r="R220" s="215"/>
      <c r="S220" s="162"/>
    </row>
    <row r="221" spans="1:19" ht="12.75">
      <c r="A221" s="28"/>
      <c r="B221" s="19"/>
      <c r="C221" s="19" t="s">
        <v>55</v>
      </c>
      <c r="D221" s="26"/>
      <c r="F221" s="215">
        <v>0</v>
      </c>
      <c r="G221" s="263"/>
      <c r="H221" s="215">
        <v>0</v>
      </c>
      <c r="I221" s="263"/>
      <c r="J221" s="215">
        <v>0</v>
      </c>
      <c r="K221" s="263"/>
      <c r="L221" s="215">
        <v>0</v>
      </c>
      <c r="M221" s="162"/>
      <c r="N221" s="215">
        <v>0</v>
      </c>
      <c r="O221" s="162"/>
      <c r="P221" s="215"/>
      <c r="Q221" s="162"/>
      <c r="R221" s="215"/>
      <c r="S221" s="162"/>
    </row>
    <row r="222" spans="1:19" ht="12.75">
      <c r="A222" s="28"/>
      <c r="B222" s="19"/>
      <c r="C222" s="19" t="s">
        <v>56</v>
      </c>
      <c r="D222" s="26"/>
      <c r="F222" s="215">
        <f>ROUND(37*1000/1936.27,0)</f>
        <v>19</v>
      </c>
      <c r="G222" s="263"/>
      <c r="H222" s="215">
        <f>ROUND(12*1000/1936.27,0)</f>
        <v>6</v>
      </c>
      <c r="I222" s="263"/>
      <c r="J222" s="215">
        <f>ROUND(68*1000/1936.27,0)</f>
        <v>35</v>
      </c>
      <c r="K222" s="263"/>
      <c r="L222" s="215">
        <f>ROUND(56*1000/1936.27,0)</f>
        <v>29</v>
      </c>
      <c r="M222" s="162"/>
      <c r="N222" s="215">
        <f>ROUND((56000/1936.27),0)</f>
        <v>29</v>
      </c>
      <c r="O222" s="162"/>
      <c r="P222" s="215">
        <v>29</v>
      </c>
      <c r="Q222" s="162"/>
      <c r="R222" s="215">
        <v>35</v>
      </c>
      <c r="S222" s="162"/>
    </row>
    <row r="223" spans="1:19" ht="12.75">
      <c r="A223" s="28"/>
      <c r="B223" s="19"/>
      <c r="C223" s="19" t="s">
        <v>57</v>
      </c>
      <c r="D223" s="26"/>
      <c r="F223" s="215">
        <v>0</v>
      </c>
      <c r="G223" s="263"/>
      <c r="H223" s="215">
        <v>0</v>
      </c>
      <c r="I223" s="263"/>
      <c r="J223" s="215">
        <v>0</v>
      </c>
      <c r="K223" s="263"/>
      <c r="L223" s="215">
        <v>0</v>
      </c>
      <c r="M223" s="162"/>
      <c r="N223" s="215">
        <v>0</v>
      </c>
      <c r="O223" s="162"/>
      <c r="P223" s="215"/>
      <c r="Q223" s="162"/>
      <c r="R223" s="215"/>
      <c r="S223" s="162"/>
    </row>
    <row r="224" spans="1:19" ht="12.75">
      <c r="A224" s="28"/>
      <c r="B224" s="19"/>
      <c r="C224" s="19" t="s">
        <v>58</v>
      </c>
      <c r="D224" s="26"/>
      <c r="F224" s="215">
        <f>ROUND((510-37)*1000/1936.27,0)</f>
        <v>244</v>
      </c>
      <c r="G224" s="263"/>
      <c r="H224" s="215">
        <f>ROUND((686-12)*1000/1936.27,0)</f>
        <v>348</v>
      </c>
      <c r="I224" s="263"/>
      <c r="J224" s="215">
        <f>ROUND((697-68)*1000/1936.27,0)</f>
        <v>325</v>
      </c>
      <c r="K224" s="263"/>
      <c r="L224" s="215">
        <f>ROUND((693-56)*1000/1936.27,0)</f>
        <v>329</v>
      </c>
      <c r="M224" s="162"/>
      <c r="N224" s="215">
        <f>ROUND((760000/1936.27),0)</f>
        <v>393</v>
      </c>
      <c r="O224" s="162"/>
      <c r="P224" s="215">
        <v>441</v>
      </c>
      <c r="Q224" s="162"/>
      <c r="R224" s="215">
        <f>476-35</f>
        <v>441</v>
      </c>
      <c r="S224" s="162"/>
    </row>
    <row r="225" spans="1:19" ht="12.75">
      <c r="A225" s="28"/>
      <c r="B225" s="19"/>
      <c r="C225" s="19" t="s">
        <v>39</v>
      </c>
      <c r="D225" s="26"/>
      <c r="F225" s="215">
        <f>ROUND(1*1000/1936.27,0)</f>
        <v>1</v>
      </c>
      <c r="G225" s="263"/>
      <c r="H225" s="215">
        <f>ROUND(439*1000/1936.27,0)</f>
        <v>227</v>
      </c>
      <c r="I225" s="263"/>
      <c r="J225" s="215">
        <f>ROUND(560*1000/1936.27,0)</f>
        <v>289</v>
      </c>
      <c r="K225" s="263"/>
      <c r="L225" s="215">
        <f>ROUND(527*1000/1936.27,0)</f>
        <v>272</v>
      </c>
      <c r="M225" s="162"/>
      <c r="N225" s="215">
        <f>ROUND((497000/1936.27),0)</f>
        <v>257</v>
      </c>
      <c r="O225" s="162"/>
      <c r="P225" s="215">
        <v>328</v>
      </c>
      <c r="Q225" s="162"/>
      <c r="R225" s="215">
        <v>417</v>
      </c>
      <c r="S225" s="162"/>
    </row>
    <row r="226" spans="1:19" ht="12.75">
      <c r="A226" s="28"/>
      <c r="B226" s="19"/>
      <c r="C226" s="19" t="s">
        <v>72</v>
      </c>
      <c r="D226" s="26"/>
      <c r="F226" s="215">
        <f>ROUND(60*1000/1936.27,0)</f>
        <v>31</v>
      </c>
      <c r="G226" s="263"/>
      <c r="H226" s="215">
        <f>ROUND((512-439)*1000/1936.27,0)</f>
        <v>38</v>
      </c>
      <c r="I226" s="263"/>
      <c r="J226" s="215">
        <f>ROUND(48*1000/1936.27,0)</f>
        <v>25</v>
      </c>
      <c r="K226" s="263"/>
      <c r="L226" s="215">
        <f>ROUND((603-527)*1000/1936.27,0)</f>
        <v>39</v>
      </c>
      <c r="M226" s="162"/>
      <c r="N226" s="215">
        <f>ROUND((112000/1936.27),0)</f>
        <v>58</v>
      </c>
      <c r="O226" s="162"/>
      <c r="P226" s="215">
        <f>32+4+7</f>
        <v>43</v>
      </c>
      <c r="Q226" s="162"/>
      <c r="R226" s="215">
        <f>523-417</f>
        <v>106</v>
      </c>
      <c r="S226" s="162"/>
    </row>
    <row r="227" spans="1:19" ht="12.75">
      <c r="A227" s="141"/>
      <c r="B227" s="34"/>
      <c r="C227" s="34" t="s">
        <v>59</v>
      </c>
      <c r="D227" s="142"/>
      <c r="F227" s="211">
        <v>0</v>
      </c>
      <c r="G227" s="264"/>
      <c r="H227" s="211">
        <v>0</v>
      </c>
      <c r="I227" s="264"/>
      <c r="J227" s="211">
        <v>0</v>
      </c>
      <c r="K227" s="264"/>
      <c r="L227" s="211">
        <v>0</v>
      </c>
      <c r="M227" s="219"/>
      <c r="N227" s="211">
        <v>0</v>
      </c>
      <c r="O227" s="219"/>
      <c r="P227" s="211"/>
      <c r="Q227" s="219"/>
      <c r="R227" s="211"/>
      <c r="S227" s="219"/>
    </row>
    <row r="228" spans="1:19" ht="12.75">
      <c r="A228" s="143"/>
      <c r="B228" s="144" t="s">
        <v>63</v>
      </c>
      <c r="C228" s="145"/>
      <c r="D228" s="146"/>
      <c r="F228" s="216">
        <f aca="true" t="shared" si="36" ref="F228:K228">SUM(F229:F238)</f>
        <v>1722</v>
      </c>
      <c r="G228" s="216">
        <f t="shared" si="36"/>
        <v>0</v>
      </c>
      <c r="H228" s="216">
        <f t="shared" si="36"/>
        <v>1924</v>
      </c>
      <c r="I228" s="216">
        <f t="shared" si="36"/>
        <v>0</v>
      </c>
      <c r="J228" s="216">
        <f t="shared" si="36"/>
        <v>2164</v>
      </c>
      <c r="K228" s="216">
        <f t="shared" si="36"/>
        <v>21</v>
      </c>
      <c r="L228" s="216">
        <f aca="true" t="shared" si="37" ref="L228:Q228">SUM(L229:L238)</f>
        <v>2768</v>
      </c>
      <c r="M228" s="216">
        <f t="shared" si="37"/>
        <v>480</v>
      </c>
      <c r="N228" s="216">
        <f t="shared" si="37"/>
        <v>2609</v>
      </c>
      <c r="O228" s="216">
        <f t="shared" si="37"/>
        <v>0</v>
      </c>
      <c r="P228" s="216">
        <f t="shared" si="37"/>
        <v>2694</v>
      </c>
      <c r="Q228" s="216">
        <f t="shared" si="37"/>
        <v>0</v>
      </c>
      <c r="R228" s="216">
        <f>SUM(R229:R238)</f>
        <v>2999</v>
      </c>
      <c r="S228" s="216">
        <f>SUM(S229:S238)</f>
        <v>5</v>
      </c>
    </row>
    <row r="229" spans="1:19" ht="12.75">
      <c r="A229" s="28"/>
      <c r="B229" s="19"/>
      <c r="C229" s="19" t="s">
        <v>52</v>
      </c>
      <c r="D229" s="26"/>
      <c r="F229" s="215">
        <f>ROUND(103*1000/1936.27,0)-1</f>
        <v>52</v>
      </c>
      <c r="G229" s="215"/>
      <c r="H229" s="215">
        <f>ROUND(189*1000/1936.27,0)+1</f>
        <v>99</v>
      </c>
      <c r="I229" s="215"/>
      <c r="J229" s="215">
        <f>ROUND(221*1000/1936.27,0)+1</f>
        <v>115</v>
      </c>
      <c r="K229" s="215">
        <v>21</v>
      </c>
      <c r="L229" s="215">
        <f>ROUND(289*1000/1936.27,0)</f>
        <v>149</v>
      </c>
      <c r="M229" s="215"/>
      <c r="N229" s="215">
        <f>ROUND((281000/1936.27),0)</f>
        <v>145</v>
      </c>
      <c r="O229" s="215"/>
      <c r="P229" s="215">
        <v>89</v>
      </c>
      <c r="Q229" s="215"/>
      <c r="R229" s="215">
        <v>71</v>
      </c>
      <c r="S229" s="215"/>
    </row>
    <row r="230" spans="1:19" ht="12.75">
      <c r="A230" s="28"/>
      <c r="B230" s="19"/>
      <c r="C230" s="19" t="s">
        <v>53</v>
      </c>
      <c r="D230" s="26"/>
      <c r="F230" s="215">
        <f>ROUND(2529*1000/1936.27,0)</f>
        <v>1306</v>
      </c>
      <c r="G230" s="263"/>
      <c r="H230" s="215">
        <f>ROUND(2727*1000/1936.27,0)</f>
        <v>1408</v>
      </c>
      <c r="I230" s="263"/>
      <c r="J230" s="215">
        <f>ROUND(3031*1000/1936.27,0)</f>
        <v>1565</v>
      </c>
      <c r="K230" s="263"/>
      <c r="L230" s="215">
        <f>ROUND(3239*1000/1936.27,0)</f>
        <v>1673</v>
      </c>
      <c r="M230" s="162">
        <f>ROUND(87000/1936.27,0)</f>
        <v>45</v>
      </c>
      <c r="N230" s="215">
        <f>ROUND((3597000/1936.27),0)</f>
        <v>1858</v>
      </c>
      <c r="O230" s="162"/>
      <c r="P230" s="215">
        <v>1753</v>
      </c>
      <c r="Q230" s="162"/>
      <c r="R230" s="215">
        <v>2071</v>
      </c>
      <c r="S230" s="162"/>
    </row>
    <row r="231" spans="1:19" ht="12.75">
      <c r="A231" s="28"/>
      <c r="B231" s="19"/>
      <c r="C231" s="19" t="s">
        <v>54</v>
      </c>
      <c r="D231" s="26"/>
      <c r="F231" s="215">
        <f>ROUND(0*1000/1936.27,0)</f>
        <v>0</v>
      </c>
      <c r="G231" s="263"/>
      <c r="H231" s="215">
        <f>ROUND(0*1000/1936.27,0)</f>
        <v>0</v>
      </c>
      <c r="I231" s="263"/>
      <c r="J231" s="215">
        <f>ROUND(0*1000/1936.27,0)</f>
        <v>0</v>
      </c>
      <c r="K231" s="263"/>
      <c r="L231" s="215">
        <v>0</v>
      </c>
      <c r="M231" s="162"/>
      <c r="N231" s="215">
        <v>0</v>
      </c>
      <c r="O231" s="162"/>
      <c r="P231" s="215">
        <v>12</v>
      </c>
      <c r="Q231" s="162"/>
      <c r="R231" s="215"/>
      <c r="S231" s="162"/>
    </row>
    <row r="232" spans="1:19" ht="12.75">
      <c r="A232" s="28"/>
      <c r="B232" s="19"/>
      <c r="C232" s="19" t="s">
        <v>55</v>
      </c>
      <c r="D232" s="26"/>
      <c r="F232" s="215">
        <v>0</v>
      </c>
      <c r="G232" s="263"/>
      <c r="H232" s="215">
        <v>0</v>
      </c>
      <c r="I232" s="263"/>
      <c r="J232" s="215">
        <v>0</v>
      </c>
      <c r="K232" s="263"/>
      <c r="L232" s="215">
        <v>0</v>
      </c>
      <c r="M232" s="162"/>
      <c r="N232" s="215">
        <v>0</v>
      </c>
      <c r="O232" s="162"/>
      <c r="P232" s="215"/>
      <c r="Q232" s="162"/>
      <c r="R232" s="215"/>
      <c r="S232" s="162"/>
    </row>
    <row r="233" spans="1:19" ht="12.75">
      <c r="A233" s="28"/>
      <c r="B233" s="19"/>
      <c r="C233" s="19" t="s">
        <v>56</v>
      </c>
      <c r="D233" s="26"/>
      <c r="F233" s="215">
        <f>ROUND(0*1000/1936.27,0)</f>
        <v>0</v>
      </c>
      <c r="G233" s="263"/>
      <c r="H233" s="215">
        <f>ROUND(0*1000/1936.27,0)</f>
        <v>0</v>
      </c>
      <c r="I233" s="263"/>
      <c r="J233" s="215">
        <v>0</v>
      </c>
      <c r="K233" s="263"/>
      <c r="L233" s="215">
        <f>ROUND(0*1000/1936.27,0)</f>
        <v>0</v>
      </c>
      <c r="M233" s="162"/>
      <c r="N233" s="215">
        <v>0</v>
      </c>
      <c r="O233" s="162"/>
      <c r="P233" s="215"/>
      <c r="Q233" s="162"/>
      <c r="R233" s="215"/>
      <c r="S233" s="162"/>
    </row>
    <row r="234" spans="1:19" ht="12.75">
      <c r="A234" s="28"/>
      <c r="B234" s="19"/>
      <c r="C234" s="19" t="s">
        <v>57</v>
      </c>
      <c r="D234" s="26"/>
      <c r="F234" s="215">
        <v>0</v>
      </c>
      <c r="G234" s="263"/>
      <c r="H234" s="215">
        <v>0</v>
      </c>
      <c r="I234" s="263"/>
      <c r="J234" s="215">
        <v>0</v>
      </c>
      <c r="K234" s="263"/>
      <c r="L234" s="215">
        <v>0</v>
      </c>
      <c r="M234" s="162"/>
      <c r="N234" s="215">
        <v>0</v>
      </c>
      <c r="O234" s="162"/>
      <c r="P234" s="215"/>
      <c r="Q234" s="162"/>
      <c r="R234" s="215"/>
      <c r="S234" s="162"/>
    </row>
    <row r="235" spans="1:19" ht="14.25" customHeight="1">
      <c r="A235" s="28"/>
      <c r="B235" s="19"/>
      <c r="C235" s="19" t="s">
        <v>58</v>
      </c>
      <c r="D235" s="26"/>
      <c r="F235" s="215">
        <f>ROUND(669*1000/1936.27,0)</f>
        <v>346</v>
      </c>
      <c r="G235" s="263"/>
      <c r="H235" s="215">
        <f>ROUND(756*1000/1936.27,0)</f>
        <v>390</v>
      </c>
      <c r="I235" s="263"/>
      <c r="J235" s="215">
        <f>ROUND(885*1000/1936.27,0)</f>
        <v>457</v>
      </c>
      <c r="K235" s="263"/>
      <c r="L235" s="215">
        <f>ROUND(926*1000/1936.27,0)</f>
        <v>478</v>
      </c>
      <c r="M235" s="162"/>
      <c r="N235" s="215">
        <f>ROUND((1139000/1936.27),0)</f>
        <v>588</v>
      </c>
      <c r="O235" s="162"/>
      <c r="P235" s="215">
        <v>646</v>
      </c>
      <c r="Q235" s="162"/>
      <c r="R235" s="215">
        <v>661</v>
      </c>
      <c r="S235" s="162"/>
    </row>
    <row r="236" spans="1:19" ht="12.75">
      <c r="A236" s="28"/>
      <c r="B236" s="19"/>
      <c r="C236" s="19" t="s">
        <v>39</v>
      </c>
      <c r="D236" s="26"/>
      <c r="F236" s="215">
        <f>ROUND(8*1000/1936.27,0)</f>
        <v>4</v>
      </c>
      <c r="G236" s="263"/>
      <c r="H236" s="215">
        <f>ROUND(6*1000/1936.27,0)</f>
        <v>3</v>
      </c>
      <c r="I236" s="263"/>
      <c r="J236" s="215">
        <f>ROUND(8*1000/1936.27,0)</f>
        <v>4</v>
      </c>
      <c r="K236" s="263"/>
      <c r="L236" s="215">
        <f>ROUND(8*1000/1936.27,0)</f>
        <v>4</v>
      </c>
      <c r="M236" s="162"/>
      <c r="N236" s="215">
        <v>0</v>
      </c>
      <c r="O236" s="162"/>
      <c r="P236" s="215">
        <v>76</v>
      </c>
      <c r="Q236" s="162"/>
      <c r="R236" s="215">
        <v>71</v>
      </c>
      <c r="S236" s="162"/>
    </row>
    <row r="237" spans="1:19" ht="12.75">
      <c r="A237" s="28"/>
      <c r="B237" s="19"/>
      <c r="C237" s="19" t="s">
        <v>72</v>
      </c>
      <c r="D237" s="26"/>
      <c r="F237" s="215">
        <f>ROUND(27*1000/1936.27,0)</f>
        <v>14</v>
      </c>
      <c r="G237" s="263"/>
      <c r="H237" s="215">
        <f>ROUND(46*1000/1936.27,0)</f>
        <v>24</v>
      </c>
      <c r="I237" s="263"/>
      <c r="J237" s="215">
        <f>ROUND(45*1000/1936.27,0)</f>
        <v>23</v>
      </c>
      <c r="K237" s="263"/>
      <c r="L237" s="215">
        <f>ROUND((906-8)*1000/1936.27,0)</f>
        <v>464</v>
      </c>
      <c r="M237" s="162">
        <f>ROUND(842506/1936.27,0)</f>
        <v>435</v>
      </c>
      <c r="N237" s="215">
        <f>ROUND((34000/1936.27),0)</f>
        <v>18</v>
      </c>
      <c r="O237" s="162"/>
      <c r="P237" s="215">
        <f>47+63+8</f>
        <v>118</v>
      </c>
      <c r="Q237" s="162"/>
      <c r="R237" s="215">
        <f>196-71</f>
        <v>125</v>
      </c>
      <c r="S237" s="162">
        <v>5</v>
      </c>
    </row>
    <row r="238" spans="1:19" ht="12.75">
      <c r="A238" s="141"/>
      <c r="B238" s="34"/>
      <c r="C238" s="34" t="s">
        <v>59</v>
      </c>
      <c r="D238" s="142"/>
      <c r="F238" s="211">
        <v>0</v>
      </c>
      <c r="G238" s="264"/>
      <c r="H238" s="211">
        <v>0</v>
      </c>
      <c r="I238" s="264"/>
      <c r="J238" s="211">
        <v>0</v>
      </c>
      <c r="K238" s="264"/>
      <c r="L238" s="211">
        <v>0</v>
      </c>
      <c r="M238" s="219"/>
      <c r="N238" s="211">
        <v>0</v>
      </c>
      <c r="O238" s="219"/>
      <c r="P238" s="211"/>
      <c r="Q238" s="219"/>
      <c r="R238" s="211"/>
      <c r="S238" s="219"/>
    </row>
    <row r="239" spans="1:19" ht="12.75">
      <c r="A239" s="143"/>
      <c r="B239" s="144" t="s">
        <v>64</v>
      </c>
      <c r="C239" s="145"/>
      <c r="D239" s="146"/>
      <c r="F239" s="216">
        <f aca="true" t="shared" si="38" ref="F239:K239">SUM(F240:F249)</f>
        <v>2670</v>
      </c>
      <c r="G239" s="216">
        <f t="shared" si="38"/>
        <v>0</v>
      </c>
      <c r="H239" s="216">
        <f t="shared" si="38"/>
        <v>2819</v>
      </c>
      <c r="I239" s="216">
        <f t="shared" si="38"/>
        <v>0</v>
      </c>
      <c r="J239" s="216">
        <f t="shared" si="38"/>
        <v>3149</v>
      </c>
      <c r="K239" s="216">
        <f t="shared" si="38"/>
        <v>0</v>
      </c>
      <c r="L239" s="216">
        <f aca="true" t="shared" si="39" ref="L239:Q239">SUM(L240:L249)</f>
        <v>3287</v>
      </c>
      <c r="M239" s="216">
        <f t="shared" si="39"/>
        <v>0</v>
      </c>
      <c r="N239" s="216">
        <f t="shared" si="39"/>
        <v>3312</v>
      </c>
      <c r="O239" s="216">
        <f t="shared" si="39"/>
        <v>0</v>
      </c>
      <c r="P239" s="216">
        <f t="shared" si="39"/>
        <v>3424</v>
      </c>
      <c r="Q239" s="216">
        <f t="shared" si="39"/>
        <v>0</v>
      </c>
      <c r="R239" s="216">
        <f>SUM(R240:R249)</f>
        <v>3530</v>
      </c>
      <c r="S239" s="216">
        <f>SUM(S240:S249)</f>
        <v>0</v>
      </c>
    </row>
    <row r="240" spans="1:19" ht="12.75">
      <c r="A240" s="28"/>
      <c r="B240" s="19"/>
      <c r="C240" s="19" t="s">
        <v>52</v>
      </c>
      <c r="D240" s="26"/>
      <c r="F240" s="215">
        <f>ROUND(152*1000/1936.27,0)-2</f>
        <v>77</v>
      </c>
      <c r="G240" s="215"/>
      <c r="H240" s="215">
        <f>ROUND(355*1000/1936.27,0)</f>
        <v>183</v>
      </c>
      <c r="I240" s="215"/>
      <c r="J240" s="215">
        <f>ROUND(348*1000/1936.27,0)</f>
        <v>180</v>
      </c>
      <c r="K240" s="215"/>
      <c r="L240" s="215">
        <f>ROUND(407*1000/1936.27,0)+2</f>
        <v>212</v>
      </c>
      <c r="M240" s="215"/>
      <c r="N240" s="215">
        <f>ROUND((502000/1936.27),0)</f>
        <v>259</v>
      </c>
      <c r="O240" s="215"/>
      <c r="P240" s="215">
        <v>206</v>
      </c>
      <c r="Q240" s="215"/>
      <c r="R240" s="215">
        <v>159</v>
      </c>
      <c r="S240" s="215"/>
    </row>
    <row r="241" spans="1:19" ht="12.75">
      <c r="A241" s="28"/>
      <c r="B241" s="19"/>
      <c r="C241" s="19" t="s">
        <v>53</v>
      </c>
      <c r="D241" s="26"/>
      <c r="F241" s="215">
        <f>ROUND(3947*1000/1936.27,0)</f>
        <v>2038</v>
      </c>
      <c r="G241" s="263"/>
      <c r="H241" s="215">
        <f>ROUND(4193*1000/1936.27,0)</f>
        <v>2166</v>
      </c>
      <c r="I241" s="263"/>
      <c r="J241" s="215">
        <f>ROUND(4384*1000/1936.27,0)</f>
        <v>2264</v>
      </c>
      <c r="K241" s="263"/>
      <c r="L241" s="215">
        <f>ROUND(4506*1000/1936.27,0)+1</f>
        <v>2328</v>
      </c>
      <c r="M241" s="162"/>
      <c r="N241" s="215">
        <f>ROUND((4314000/1936.27),0)</f>
        <v>2228</v>
      </c>
      <c r="O241" s="162"/>
      <c r="P241" s="215">
        <v>2309</v>
      </c>
      <c r="Q241" s="162"/>
      <c r="R241" s="215">
        <v>2418</v>
      </c>
      <c r="S241" s="162"/>
    </row>
    <row r="242" spans="1:19" ht="12.75">
      <c r="A242" s="28"/>
      <c r="B242" s="19"/>
      <c r="C242" s="19" t="s">
        <v>54</v>
      </c>
      <c r="D242" s="26"/>
      <c r="F242" s="215">
        <f>ROUND(0*1000/1936.27,0)</f>
        <v>0</v>
      </c>
      <c r="G242" s="263"/>
      <c r="H242" s="215">
        <f>ROUND(0*1000/1936.27,0)</f>
        <v>0</v>
      </c>
      <c r="I242" s="263"/>
      <c r="J242" s="215">
        <f>ROUND(0*1000/1936.27,0)</f>
        <v>0</v>
      </c>
      <c r="K242" s="263"/>
      <c r="L242" s="215">
        <v>0</v>
      </c>
      <c r="M242" s="162"/>
      <c r="N242" s="215">
        <v>0</v>
      </c>
      <c r="O242" s="162"/>
      <c r="P242" s="215">
        <v>33</v>
      </c>
      <c r="Q242" s="162"/>
      <c r="R242" s="215"/>
      <c r="S242" s="162"/>
    </row>
    <row r="243" spans="1:19" ht="12.75">
      <c r="A243" s="28"/>
      <c r="B243" s="19"/>
      <c r="C243" s="19" t="s">
        <v>55</v>
      </c>
      <c r="D243" s="26"/>
      <c r="F243" s="215">
        <v>0</v>
      </c>
      <c r="G243" s="263"/>
      <c r="H243" s="215">
        <v>0</v>
      </c>
      <c r="I243" s="263"/>
      <c r="J243" s="215">
        <v>0</v>
      </c>
      <c r="K243" s="263"/>
      <c r="L243" s="215">
        <v>0</v>
      </c>
      <c r="M243" s="162"/>
      <c r="N243" s="215">
        <v>0</v>
      </c>
      <c r="O243" s="162"/>
      <c r="P243" s="215"/>
      <c r="Q243" s="162"/>
      <c r="R243" s="215"/>
      <c r="S243" s="162"/>
    </row>
    <row r="244" spans="1:19" ht="12.75">
      <c r="A244" s="28"/>
      <c r="B244" s="19"/>
      <c r="C244" s="19" t="s">
        <v>56</v>
      </c>
      <c r="D244" s="26"/>
      <c r="F244" s="215">
        <f>ROUND(139*1000/1936.27,0)</f>
        <v>72</v>
      </c>
      <c r="G244" s="263"/>
      <c r="H244" s="215">
        <f>ROUND(0*1000/1936.27,0)</f>
        <v>0</v>
      </c>
      <c r="I244" s="263"/>
      <c r="J244" s="215">
        <f>ROUND(351*1000/1936.27,0)</f>
        <v>181</v>
      </c>
      <c r="K244" s="263"/>
      <c r="L244" s="215">
        <f>ROUND(262*1000/1936.27,0)</f>
        <v>135</v>
      </c>
      <c r="M244" s="162"/>
      <c r="N244" s="215">
        <f>ROUND((262000/1936.27),0)</f>
        <v>135</v>
      </c>
      <c r="O244" s="162"/>
      <c r="P244" s="215">
        <v>135</v>
      </c>
      <c r="Q244" s="162"/>
      <c r="R244" s="215">
        <v>168</v>
      </c>
      <c r="S244" s="162"/>
    </row>
    <row r="245" spans="1:19" ht="12.75">
      <c r="A245" s="28"/>
      <c r="B245" s="19"/>
      <c r="C245" s="19" t="s">
        <v>57</v>
      </c>
      <c r="D245" s="26"/>
      <c r="F245" s="215">
        <v>0</v>
      </c>
      <c r="G245" s="263"/>
      <c r="H245" s="215">
        <v>0</v>
      </c>
      <c r="I245" s="263"/>
      <c r="J245" s="215">
        <v>0</v>
      </c>
      <c r="K245" s="263"/>
      <c r="L245" s="215">
        <v>0</v>
      </c>
      <c r="M245" s="162"/>
      <c r="N245" s="215">
        <v>0</v>
      </c>
      <c r="O245" s="162"/>
      <c r="P245" s="215"/>
      <c r="Q245" s="162"/>
      <c r="R245" s="215"/>
      <c r="S245" s="162"/>
    </row>
    <row r="246" spans="1:19" ht="12.75">
      <c r="A246" s="28"/>
      <c r="B246" s="19"/>
      <c r="C246" s="19" t="s">
        <v>58</v>
      </c>
      <c r="D246" s="26"/>
      <c r="F246" s="215">
        <f>ROUND((1062-139)*1000/1936.27,0)</f>
        <v>477</v>
      </c>
      <c r="G246" s="263"/>
      <c r="H246" s="215">
        <f>ROUND(876*1000/1936.27,0)</f>
        <v>452</v>
      </c>
      <c r="I246" s="263"/>
      <c r="J246" s="215">
        <f>ROUND((1331-351)*1000/1936.27,0)</f>
        <v>506</v>
      </c>
      <c r="K246" s="263"/>
      <c r="L246" s="215">
        <f>ROUND((1405-262)*1000/1936.27,0)</f>
        <v>590</v>
      </c>
      <c r="M246" s="162"/>
      <c r="N246" s="215">
        <f>ROUND((1295000/1936.27),0)</f>
        <v>669</v>
      </c>
      <c r="O246" s="162"/>
      <c r="P246" s="215">
        <v>670</v>
      </c>
      <c r="Q246" s="162"/>
      <c r="R246" s="215">
        <f>874-168</f>
        <v>706</v>
      </c>
      <c r="S246" s="162"/>
    </row>
    <row r="247" spans="1:19" ht="12.75">
      <c r="A247" s="28"/>
      <c r="B247" s="19"/>
      <c r="C247" s="19" t="s">
        <v>39</v>
      </c>
      <c r="D247" s="26"/>
      <c r="F247" s="215">
        <f>ROUND(5*1000/1936.27,0)</f>
        <v>3</v>
      </c>
      <c r="G247" s="263"/>
      <c r="H247" s="215">
        <f>ROUND(25*1000/1936.27,0)</f>
        <v>13</v>
      </c>
      <c r="I247" s="263"/>
      <c r="J247" s="215">
        <f>ROUND(29*1000/1936.27,0)</f>
        <v>15</v>
      </c>
      <c r="K247" s="263"/>
      <c r="L247" s="215">
        <f>ROUND(24*1000/1936.27,0)</f>
        <v>12</v>
      </c>
      <c r="M247" s="162"/>
      <c r="N247" s="215">
        <f>ROUND((29000/1936.27),0)</f>
        <v>15</v>
      </c>
      <c r="O247" s="162"/>
      <c r="P247" s="215">
        <v>65</v>
      </c>
      <c r="Q247" s="162"/>
      <c r="R247" s="215">
        <v>65</v>
      </c>
      <c r="S247" s="162"/>
    </row>
    <row r="248" spans="1:19" ht="12.75">
      <c r="A248" s="28"/>
      <c r="B248" s="19"/>
      <c r="C248" s="19" t="s">
        <v>72</v>
      </c>
      <c r="D248" s="26"/>
      <c r="F248" s="215">
        <f>ROUND(5*1000/1936.27,0)</f>
        <v>3</v>
      </c>
      <c r="G248" s="263"/>
      <c r="H248" s="215">
        <f>ROUND(9*1000/1936.27,0)</f>
        <v>5</v>
      </c>
      <c r="I248" s="263"/>
      <c r="J248" s="215">
        <f>ROUND(6*1000/1936.27,0)</f>
        <v>3</v>
      </c>
      <c r="K248" s="263"/>
      <c r="L248" s="215">
        <f>ROUND(20*1000/1936.27,0)</f>
        <v>10</v>
      </c>
      <c r="M248" s="162"/>
      <c r="N248" s="215">
        <f>ROUND((11000/1936.27),0)</f>
        <v>6</v>
      </c>
      <c r="O248" s="162"/>
      <c r="P248" s="215">
        <v>6</v>
      </c>
      <c r="Q248" s="162"/>
      <c r="R248" s="215">
        <f>79-65</f>
        <v>14</v>
      </c>
      <c r="S248" s="162"/>
    </row>
    <row r="249" spans="1:19" ht="12.75">
      <c r="A249" s="141"/>
      <c r="B249" s="34"/>
      <c r="C249" s="34" t="s">
        <v>59</v>
      </c>
      <c r="D249" s="142"/>
      <c r="F249" s="211">
        <v>0</v>
      </c>
      <c r="G249" s="264"/>
      <c r="H249" s="211">
        <v>0</v>
      </c>
      <c r="I249" s="264"/>
      <c r="J249" s="211">
        <v>0</v>
      </c>
      <c r="K249" s="264"/>
      <c r="L249" s="211">
        <v>0</v>
      </c>
      <c r="M249" s="219"/>
      <c r="N249" s="211">
        <v>0</v>
      </c>
      <c r="O249" s="219"/>
      <c r="P249" s="211"/>
      <c r="Q249" s="219"/>
      <c r="R249" s="211"/>
      <c r="S249" s="219"/>
    </row>
    <row r="250" spans="1:19" ht="12.75">
      <c r="A250" s="143"/>
      <c r="B250" s="144" t="s">
        <v>65</v>
      </c>
      <c r="C250" s="145"/>
      <c r="D250" s="146"/>
      <c r="F250" s="214">
        <f aca="true" t="shared" si="40" ref="F250:K250">SUM(F251:F260)</f>
        <v>2606</v>
      </c>
      <c r="G250" s="214">
        <f t="shared" si="40"/>
        <v>0</v>
      </c>
      <c r="H250" s="216">
        <f t="shared" si="40"/>
        <v>2725</v>
      </c>
      <c r="I250" s="216">
        <f t="shared" si="40"/>
        <v>0</v>
      </c>
      <c r="J250" s="216">
        <f t="shared" si="40"/>
        <v>2991</v>
      </c>
      <c r="K250" s="216">
        <f t="shared" si="40"/>
        <v>0</v>
      </c>
      <c r="L250" s="216">
        <f aca="true" t="shared" si="41" ref="L250:Q250">SUM(L251:L260)</f>
        <v>3212</v>
      </c>
      <c r="M250" s="216">
        <f t="shared" si="41"/>
        <v>42</v>
      </c>
      <c r="N250" s="216">
        <f t="shared" si="41"/>
        <v>3484</v>
      </c>
      <c r="O250" s="216">
        <f t="shared" si="41"/>
        <v>0</v>
      </c>
      <c r="P250" s="216">
        <f t="shared" si="41"/>
        <v>3564</v>
      </c>
      <c r="Q250" s="216">
        <f t="shared" si="41"/>
        <v>0</v>
      </c>
      <c r="R250" s="216">
        <f>SUM(R251:R260)</f>
        <v>3958</v>
      </c>
      <c r="S250" s="216">
        <f>SUM(S251:S260)</f>
        <v>0</v>
      </c>
    </row>
    <row r="251" spans="1:19" ht="12.75">
      <c r="A251" s="28"/>
      <c r="B251" s="19"/>
      <c r="C251" s="19" t="s">
        <v>52</v>
      </c>
      <c r="D251" s="32"/>
      <c r="F251" s="215">
        <f>ROUND(127*1000/1936.27,0)-1</f>
        <v>65</v>
      </c>
      <c r="G251" s="215"/>
      <c r="H251" s="215">
        <f>ROUND(325*1000/1936.27,0)</f>
        <v>168</v>
      </c>
      <c r="I251" s="215"/>
      <c r="J251" s="215">
        <f>ROUND(550*1000/1936.27,0)</f>
        <v>284</v>
      </c>
      <c r="K251" s="215"/>
      <c r="L251" s="215">
        <f>ROUND(305*1000/1936.27,0)</f>
        <v>158</v>
      </c>
      <c r="M251" s="215"/>
      <c r="N251" s="215">
        <f>ROUND((307000/1936.27),0)</f>
        <v>159</v>
      </c>
      <c r="O251" s="215"/>
      <c r="P251" s="215">
        <v>192</v>
      </c>
      <c r="Q251" s="215"/>
      <c r="R251" s="215">
        <v>197</v>
      </c>
      <c r="S251" s="215"/>
    </row>
    <row r="252" spans="1:19" ht="12.75">
      <c r="A252" s="28"/>
      <c r="B252" s="19"/>
      <c r="C252" s="19" t="s">
        <v>53</v>
      </c>
      <c r="D252" s="26"/>
      <c r="F252" s="215">
        <f>ROUND(4073*1000/1936.27,0)</f>
        <v>2104</v>
      </c>
      <c r="G252" s="263"/>
      <c r="H252" s="215">
        <f>ROUND(3976*1000/1936.27,0)</f>
        <v>2053</v>
      </c>
      <c r="I252" s="263"/>
      <c r="J252" s="215">
        <f>ROUND(4057*1000/1936.27,0)</f>
        <v>2095</v>
      </c>
      <c r="K252" s="263"/>
      <c r="L252" s="215">
        <f>ROUND(4748*1000/1936.27,0)+1</f>
        <v>2453</v>
      </c>
      <c r="M252" s="162">
        <f>ROUND(81600/1936.27,0)</f>
        <v>42</v>
      </c>
      <c r="N252" s="215">
        <f>ROUND((4982000/1936.27),0)</f>
        <v>2573</v>
      </c>
      <c r="O252" s="162"/>
      <c r="P252" s="215">
        <v>2528</v>
      </c>
      <c r="Q252" s="162"/>
      <c r="R252" s="215">
        <v>2798</v>
      </c>
      <c r="S252" s="162"/>
    </row>
    <row r="253" spans="1:19" ht="12.75">
      <c r="A253" s="28"/>
      <c r="B253" s="19"/>
      <c r="C253" s="19" t="s">
        <v>54</v>
      </c>
      <c r="D253" s="26"/>
      <c r="F253" s="215">
        <f>ROUND(0*1000/1936.27,0)</f>
        <v>0</v>
      </c>
      <c r="G253" s="263"/>
      <c r="H253" s="215">
        <f>ROUND(0*1000/1936.27,0)</f>
        <v>0</v>
      </c>
      <c r="I253" s="263"/>
      <c r="J253" s="215">
        <f>ROUND(0*1000/1936.27,0)</f>
        <v>0</v>
      </c>
      <c r="K253" s="263"/>
      <c r="L253" s="215">
        <v>0</v>
      </c>
      <c r="M253" s="162"/>
      <c r="N253" s="215">
        <v>0</v>
      </c>
      <c r="O253" s="162"/>
      <c r="P253" s="215">
        <v>59</v>
      </c>
      <c r="Q253" s="162"/>
      <c r="R253" s="215"/>
      <c r="S253" s="162"/>
    </row>
    <row r="254" spans="1:19" ht="12.75">
      <c r="A254" s="28"/>
      <c r="B254" s="19"/>
      <c r="C254" s="19" t="s">
        <v>55</v>
      </c>
      <c r="D254" s="26"/>
      <c r="F254" s="215">
        <v>0</v>
      </c>
      <c r="G254" s="263"/>
      <c r="H254" s="215">
        <v>0</v>
      </c>
      <c r="I254" s="263"/>
      <c r="J254" s="215">
        <v>0</v>
      </c>
      <c r="K254" s="263"/>
      <c r="L254" s="215">
        <v>0</v>
      </c>
      <c r="M254" s="162"/>
      <c r="N254" s="215">
        <v>0</v>
      </c>
      <c r="O254" s="162"/>
      <c r="P254" s="215"/>
      <c r="Q254" s="162"/>
      <c r="R254" s="215"/>
      <c r="S254" s="162"/>
    </row>
    <row r="255" spans="1:19" ht="12.75">
      <c r="A255" s="28"/>
      <c r="B255" s="19"/>
      <c r="C255" s="19" t="s">
        <v>56</v>
      </c>
      <c r="D255" s="26"/>
      <c r="F255" s="215">
        <f>ROUND(89*1000/1936.27,0)</f>
        <v>46</v>
      </c>
      <c r="G255" s="263"/>
      <c r="H255" s="215">
        <f>ROUND(25*1000/1936.27,0)</f>
        <v>13</v>
      </c>
      <c r="I255" s="263"/>
      <c r="J255" s="215">
        <f>ROUND(136*1000/1936.27,0)</f>
        <v>70</v>
      </c>
      <c r="K255" s="263"/>
      <c r="L255" s="215">
        <f>ROUND(113*1000/1936.27,0)</f>
        <v>58</v>
      </c>
      <c r="M255" s="162"/>
      <c r="N255" s="215">
        <f>ROUND((98000/1936.27),0)</f>
        <v>51</v>
      </c>
      <c r="O255" s="162"/>
      <c r="P255" s="215">
        <v>108</v>
      </c>
      <c r="Q255" s="162"/>
      <c r="R255" s="215">
        <v>71</v>
      </c>
      <c r="S255" s="162"/>
    </row>
    <row r="256" spans="1:19" ht="12.75">
      <c r="A256" s="28"/>
      <c r="B256" s="19"/>
      <c r="C256" s="19" t="s">
        <v>57</v>
      </c>
      <c r="D256" s="26"/>
      <c r="F256" s="215">
        <v>0</v>
      </c>
      <c r="G256" s="263"/>
      <c r="H256" s="215">
        <v>0</v>
      </c>
      <c r="I256" s="263"/>
      <c r="J256" s="215">
        <v>0</v>
      </c>
      <c r="K256" s="263"/>
      <c r="L256" s="215">
        <v>0</v>
      </c>
      <c r="M256" s="162"/>
      <c r="N256" s="215">
        <v>0</v>
      </c>
      <c r="O256" s="162"/>
      <c r="P256" s="215"/>
      <c r="Q256" s="162"/>
      <c r="R256" s="215"/>
      <c r="S256" s="162"/>
    </row>
    <row r="257" spans="1:19" ht="12.75">
      <c r="A257" s="28"/>
      <c r="B257" s="19"/>
      <c r="C257" s="19" t="s">
        <v>58</v>
      </c>
      <c r="D257" s="26"/>
      <c r="F257" s="215">
        <f>ROUND((825-89)*1000/1936.27,0)</f>
        <v>380</v>
      </c>
      <c r="G257" s="263"/>
      <c r="H257" s="215">
        <f>ROUND((815-25)*1000/1936.27,0)</f>
        <v>408</v>
      </c>
      <c r="I257" s="263"/>
      <c r="J257" s="215">
        <f>ROUND((989-136)*1000/1936.27,0)</f>
        <v>441</v>
      </c>
      <c r="K257" s="263"/>
      <c r="L257" s="215">
        <f>ROUND((975-113)*1000/1936.27,0)</f>
        <v>445</v>
      </c>
      <c r="M257" s="162"/>
      <c r="N257" s="215">
        <f>ROUND((1143000/1936.27),0)</f>
        <v>590</v>
      </c>
      <c r="O257" s="162"/>
      <c r="P257" s="215">
        <v>583</v>
      </c>
      <c r="Q257" s="162"/>
      <c r="R257" s="215">
        <f>848-71</f>
        <v>777</v>
      </c>
      <c r="S257" s="162"/>
    </row>
    <row r="258" spans="1:19" ht="12.75">
      <c r="A258" s="28"/>
      <c r="B258" s="19"/>
      <c r="C258" s="19" t="s">
        <v>39</v>
      </c>
      <c r="D258" s="26"/>
      <c r="F258" s="215">
        <f>ROUND(4*1000/1936.27,0)</f>
        <v>2</v>
      </c>
      <c r="G258" s="263"/>
      <c r="H258" s="215">
        <f>ROUND(142*1000/1936.27,0)</f>
        <v>73</v>
      </c>
      <c r="I258" s="263"/>
      <c r="J258" s="215">
        <f>ROUND(178*1000/1936.27,0)</f>
        <v>92</v>
      </c>
      <c r="K258" s="263"/>
      <c r="L258" s="215">
        <f>ROUND(120*1000/1936.27,0)</f>
        <v>62</v>
      </c>
      <c r="M258" s="162"/>
      <c r="N258" s="215">
        <f>ROUND((146000/1936.27),0)</f>
        <v>75</v>
      </c>
      <c r="O258" s="162"/>
      <c r="P258" s="215">
        <v>79</v>
      </c>
      <c r="Q258" s="162"/>
      <c r="R258" s="215">
        <v>79</v>
      </c>
      <c r="S258" s="162"/>
    </row>
    <row r="259" spans="1:19" ht="12.75">
      <c r="A259" s="28"/>
      <c r="B259" s="19"/>
      <c r="C259" s="19" t="s">
        <v>72</v>
      </c>
      <c r="D259" s="26"/>
      <c r="F259" s="215">
        <f>ROUND(18*1000/1936.27,0)</f>
        <v>9</v>
      </c>
      <c r="G259" s="263"/>
      <c r="H259" s="215">
        <f>ROUND(19*1000/1936.27,0)</f>
        <v>10</v>
      </c>
      <c r="I259" s="263"/>
      <c r="J259" s="215">
        <f>ROUND(18*1000/1936.27,0)</f>
        <v>9</v>
      </c>
      <c r="K259" s="263"/>
      <c r="L259" s="215">
        <f>ROUND((190-120)*1000/1936.27,0)</f>
        <v>36</v>
      </c>
      <c r="M259" s="162"/>
      <c r="N259" s="215">
        <f>ROUND((70000/1936.27),0)</f>
        <v>36</v>
      </c>
      <c r="O259" s="162"/>
      <c r="P259" s="215">
        <f>5+8+2</f>
        <v>15</v>
      </c>
      <c r="Q259" s="162"/>
      <c r="R259" s="215">
        <f>115-79</f>
        <v>36</v>
      </c>
      <c r="S259" s="162"/>
    </row>
    <row r="260" spans="1:19" ht="12.75">
      <c r="A260" s="141"/>
      <c r="B260" s="34"/>
      <c r="C260" s="34" t="s">
        <v>59</v>
      </c>
      <c r="D260" s="142"/>
      <c r="E260" s="42"/>
      <c r="F260" s="211">
        <v>0</v>
      </c>
      <c r="G260" s="264"/>
      <c r="H260" s="211">
        <v>0</v>
      </c>
      <c r="I260" s="264"/>
      <c r="J260" s="211">
        <v>0</v>
      </c>
      <c r="K260" s="264"/>
      <c r="L260" s="215">
        <v>0</v>
      </c>
      <c r="M260" s="219"/>
      <c r="N260" s="211">
        <v>0</v>
      </c>
      <c r="O260" s="219"/>
      <c r="P260" s="211"/>
      <c r="Q260" s="219"/>
      <c r="R260" s="211"/>
      <c r="S260" s="219"/>
    </row>
    <row r="261" spans="1:19" ht="12.75">
      <c r="A261" s="143"/>
      <c r="B261" s="144" t="s">
        <v>66</v>
      </c>
      <c r="C261" s="145"/>
      <c r="D261" s="146"/>
      <c r="E261" s="156"/>
      <c r="F261" s="216">
        <f aca="true" t="shared" si="42" ref="F261:K261">SUM(F262:F271)</f>
        <v>2757</v>
      </c>
      <c r="G261" s="216">
        <f t="shared" si="42"/>
        <v>0</v>
      </c>
      <c r="H261" s="216">
        <f t="shared" si="42"/>
        <v>3059</v>
      </c>
      <c r="I261" s="216">
        <f t="shared" si="42"/>
        <v>0</v>
      </c>
      <c r="J261" s="216">
        <f t="shared" si="42"/>
        <v>3122</v>
      </c>
      <c r="K261" s="216">
        <f t="shared" si="42"/>
        <v>0</v>
      </c>
      <c r="L261" s="216">
        <f>SUM(L262:L271)</f>
        <v>3371.5</v>
      </c>
      <c r="M261" s="216">
        <f>SUM(M262:M271)</f>
        <v>0</v>
      </c>
      <c r="N261" s="216">
        <f>SUM(N262:N271)-1</f>
        <v>3499</v>
      </c>
      <c r="O261" s="216">
        <f>SUM(O262:O271)</f>
        <v>0</v>
      </c>
      <c r="P261" s="216">
        <f>SUM(P262:P271)</f>
        <v>3534</v>
      </c>
      <c r="Q261" s="216">
        <f>SUM(Q262:Q271)</f>
        <v>0</v>
      </c>
      <c r="R261" s="216">
        <f>SUM(R262:R271)</f>
        <v>3814</v>
      </c>
      <c r="S261" s="216">
        <f>SUM(S262:S271)</f>
        <v>0</v>
      </c>
    </row>
    <row r="262" spans="1:19" ht="12.75">
      <c r="A262" s="28"/>
      <c r="B262" s="19"/>
      <c r="C262" s="19" t="s">
        <v>52</v>
      </c>
      <c r="D262" s="26"/>
      <c r="F262" s="215">
        <f>ROUND(147*1000/1936.27,0)</f>
        <v>76</v>
      </c>
      <c r="G262" s="215"/>
      <c r="H262" s="215">
        <f>ROUND(312*1000/1936.27,0)+1</f>
        <v>162</v>
      </c>
      <c r="I262" s="215"/>
      <c r="J262" s="215">
        <f>ROUND(347*1000/1936.27,0)</f>
        <v>179</v>
      </c>
      <c r="K262" s="215"/>
      <c r="L262" s="215">
        <f>ROUND(397*1000/1936.27,0)</f>
        <v>205</v>
      </c>
      <c r="M262" s="215"/>
      <c r="N262" s="215">
        <f>ROUND((448000/1936.27),0)</f>
        <v>231</v>
      </c>
      <c r="O262" s="215"/>
      <c r="P262" s="215">
        <v>197</v>
      </c>
      <c r="Q262" s="215"/>
      <c r="R262" s="215">
        <v>211</v>
      </c>
      <c r="S262" s="215"/>
    </row>
    <row r="263" spans="1:19" ht="12.75">
      <c r="A263" s="28"/>
      <c r="B263" s="19"/>
      <c r="C263" s="19" t="s">
        <v>53</v>
      </c>
      <c r="D263" s="26"/>
      <c r="F263" s="215">
        <f>ROUND(3852*1000/1936.27,0)</f>
        <v>1989</v>
      </c>
      <c r="G263" s="263"/>
      <c r="H263" s="215">
        <f>ROUND(4189*1000/1936.27,0)</f>
        <v>2163</v>
      </c>
      <c r="I263" s="263"/>
      <c r="J263" s="215">
        <f>ROUND(4364*1000/1936.27,0)</f>
        <v>2254</v>
      </c>
      <c r="K263" s="263"/>
      <c r="L263" s="215">
        <f>ROUND(4632*1000/1936.27,0)+0.5</f>
        <v>2392.5</v>
      </c>
      <c r="M263" s="162"/>
      <c r="N263" s="215">
        <f>ROUND((4482000/1936.27),0)</f>
        <v>2315</v>
      </c>
      <c r="O263" s="162"/>
      <c r="P263" s="215">
        <v>2265</v>
      </c>
      <c r="Q263" s="162"/>
      <c r="R263" s="215">
        <v>2500</v>
      </c>
      <c r="S263" s="162"/>
    </row>
    <row r="264" spans="1:19" ht="12.75">
      <c r="A264" s="28"/>
      <c r="B264" s="19"/>
      <c r="C264" s="19" t="s">
        <v>54</v>
      </c>
      <c r="D264" s="26"/>
      <c r="F264" s="215">
        <f>ROUND(0*1000/1936.27,0)</f>
        <v>0</v>
      </c>
      <c r="G264" s="263"/>
      <c r="H264" s="215">
        <f>ROUND(0*1000/1936.27,0)</f>
        <v>0</v>
      </c>
      <c r="I264" s="263"/>
      <c r="J264" s="215">
        <f>ROUND(0*1000/1936.27,0)</f>
        <v>0</v>
      </c>
      <c r="K264" s="263"/>
      <c r="L264" s="215">
        <v>0</v>
      </c>
      <c r="M264" s="162"/>
      <c r="N264" s="215">
        <v>0</v>
      </c>
      <c r="O264" s="162"/>
      <c r="P264" s="215">
        <v>32</v>
      </c>
      <c r="Q264" s="162"/>
      <c r="R264" s="215"/>
      <c r="S264" s="162"/>
    </row>
    <row r="265" spans="1:19" ht="12.75">
      <c r="A265" s="28"/>
      <c r="B265" s="19"/>
      <c r="C265" s="19" t="s">
        <v>55</v>
      </c>
      <c r="D265" s="26"/>
      <c r="F265" s="215">
        <v>0</v>
      </c>
      <c r="G265" s="263"/>
      <c r="H265" s="215">
        <v>0</v>
      </c>
      <c r="I265" s="263"/>
      <c r="J265" s="215">
        <v>0</v>
      </c>
      <c r="K265" s="263"/>
      <c r="L265" s="215">
        <v>0</v>
      </c>
      <c r="M265" s="162"/>
      <c r="N265" s="215">
        <v>0</v>
      </c>
      <c r="O265" s="162"/>
      <c r="P265" s="215"/>
      <c r="Q265" s="162"/>
      <c r="R265" s="215"/>
      <c r="S265" s="162"/>
    </row>
    <row r="266" spans="1:19" ht="12.75">
      <c r="A266" s="28"/>
      <c r="B266" s="19"/>
      <c r="C266" s="19" t="s">
        <v>56</v>
      </c>
      <c r="D266" s="26"/>
      <c r="F266" s="215">
        <f>ROUND(13*1000/1936.27,0)</f>
        <v>7</v>
      </c>
      <c r="G266" s="263"/>
      <c r="H266" s="215">
        <f>ROUND(0*1000/1936.27,0)</f>
        <v>0</v>
      </c>
      <c r="I266" s="263"/>
      <c r="J266" s="215">
        <v>0</v>
      </c>
      <c r="K266" s="263"/>
      <c r="L266" s="215">
        <v>0</v>
      </c>
      <c r="M266" s="162"/>
      <c r="N266" s="215">
        <f>ROUND((56000/1936.27),0)</f>
        <v>29</v>
      </c>
      <c r="O266" s="162"/>
      <c r="P266" s="215">
        <v>29</v>
      </c>
      <c r="Q266" s="162"/>
      <c r="R266" s="215">
        <v>35</v>
      </c>
      <c r="S266" s="162"/>
    </row>
    <row r="267" spans="1:19" ht="12.75">
      <c r="A267" s="28"/>
      <c r="B267" s="19"/>
      <c r="C267" s="19" t="s">
        <v>57</v>
      </c>
      <c r="D267" s="26"/>
      <c r="F267" s="215">
        <v>0</v>
      </c>
      <c r="G267" s="263"/>
      <c r="H267" s="215">
        <v>0</v>
      </c>
      <c r="I267" s="263"/>
      <c r="J267" s="215">
        <v>0</v>
      </c>
      <c r="K267" s="263"/>
      <c r="L267" s="215">
        <v>0</v>
      </c>
      <c r="M267" s="162"/>
      <c r="N267" s="215">
        <v>0</v>
      </c>
      <c r="O267" s="162"/>
      <c r="P267" s="215"/>
      <c r="Q267" s="162"/>
      <c r="R267" s="215"/>
      <c r="S267" s="162"/>
    </row>
    <row r="268" spans="1:19" ht="12.75">
      <c r="A268" s="28"/>
      <c r="B268" s="19"/>
      <c r="C268" s="19" t="s">
        <v>58</v>
      </c>
      <c r="D268" s="26"/>
      <c r="F268" s="215">
        <f>ROUND((1200)*1000/1936.27,0)</f>
        <v>620</v>
      </c>
      <c r="G268" s="263"/>
      <c r="H268" s="215">
        <f>ROUND(1272*1000/1936.27,0)</f>
        <v>657</v>
      </c>
      <c r="I268" s="263"/>
      <c r="J268" s="215">
        <f>ROUND(1271*1000/1936.27,0)</f>
        <v>656</v>
      </c>
      <c r="K268" s="263"/>
      <c r="L268" s="215">
        <f>ROUND(1301*1000/1936.27,0)</f>
        <v>672</v>
      </c>
      <c r="M268" s="162"/>
      <c r="N268" s="215">
        <f>ROUND((1587000/1936.27),0)</f>
        <v>820</v>
      </c>
      <c r="O268" s="162"/>
      <c r="P268" s="215">
        <v>849</v>
      </c>
      <c r="Q268" s="162"/>
      <c r="R268" s="215">
        <f>972-35</f>
        <v>937</v>
      </c>
      <c r="S268" s="162"/>
    </row>
    <row r="269" spans="1:19" ht="12.75">
      <c r="A269" s="28"/>
      <c r="B269" s="19"/>
      <c r="C269" s="19" t="s">
        <v>39</v>
      </c>
      <c r="D269" s="26"/>
      <c r="F269" s="215">
        <f>ROUND(0*1000/1936.27,0)</f>
        <v>0</v>
      </c>
      <c r="G269" s="263"/>
      <c r="H269" s="215">
        <f>ROUND(0*1000/1936.27,0)</f>
        <v>0</v>
      </c>
      <c r="I269" s="263"/>
      <c r="J269" s="215">
        <f>ROUND(0*1000/1936.27,0)</f>
        <v>0</v>
      </c>
      <c r="K269" s="263"/>
      <c r="L269" s="215">
        <f>ROUND(12*1000/1936.27,0)</f>
        <v>6</v>
      </c>
      <c r="M269" s="162"/>
      <c r="N269" s="215">
        <f>ROUND((7000/1936.27),0)</f>
        <v>4</v>
      </c>
      <c r="O269" s="162"/>
      <c r="P269" s="215">
        <v>8</v>
      </c>
      <c r="Q269" s="162"/>
      <c r="R269" s="215"/>
      <c r="S269" s="162"/>
    </row>
    <row r="270" spans="1:19" ht="12.75">
      <c r="A270" s="28"/>
      <c r="B270" s="19"/>
      <c r="C270" s="19" t="s">
        <v>72</v>
      </c>
      <c r="D270" s="26"/>
      <c r="F270" s="215">
        <f>ROUND(126*1000/1936.27,0)</f>
        <v>65</v>
      </c>
      <c r="G270" s="263"/>
      <c r="H270" s="215">
        <f>ROUND(150*1000/1936.27,0)</f>
        <v>77</v>
      </c>
      <c r="I270" s="263"/>
      <c r="J270" s="215">
        <f>ROUND(64*1000/1936.27,0)</f>
        <v>33</v>
      </c>
      <c r="K270" s="263"/>
      <c r="L270" s="215">
        <f>ROUND((198-12)*1000/1936.27,0)</f>
        <v>96</v>
      </c>
      <c r="M270" s="162"/>
      <c r="N270" s="215">
        <f>ROUND((195000/1936.27),0)</f>
        <v>101</v>
      </c>
      <c r="O270" s="162"/>
      <c r="P270" s="215">
        <f>146+4+4</f>
        <v>154</v>
      </c>
      <c r="Q270" s="162"/>
      <c r="R270" s="215">
        <v>131</v>
      </c>
      <c r="S270" s="162"/>
    </row>
    <row r="271" spans="1:19" ht="12.75">
      <c r="A271" s="141"/>
      <c r="B271" s="34"/>
      <c r="C271" s="34" t="s">
        <v>59</v>
      </c>
      <c r="D271" s="142"/>
      <c r="F271" s="211">
        <v>0</v>
      </c>
      <c r="G271" s="264"/>
      <c r="H271" s="211">
        <v>0</v>
      </c>
      <c r="I271" s="264"/>
      <c r="J271" s="211">
        <v>0</v>
      </c>
      <c r="K271" s="264"/>
      <c r="L271" s="211">
        <v>0</v>
      </c>
      <c r="M271" s="219"/>
      <c r="N271" s="211">
        <v>0</v>
      </c>
      <c r="O271" s="219"/>
      <c r="P271" s="211"/>
      <c r="Q271" s="219"/>
      <c r="R271" s="211"/>
      <c r="S271" s="219"/>
    </row>
    <row r="272" spans="1:19" ht="12.75">
      <c r="A272" s="143"/>
      <c r="B272" s="144" t="s">
        <v>67</v>
      </c>
      <c r="C272" s="145"/>
      <c r="D272" s="146"/>
      <c r="F272" s="216">
        <f aca="true" t="shared" si="43" ref="F272:K272">SUM(F273:F282)</f>
        <v>3033</v>
      </c>
      <c r="G272" s="216">
        <f t="shared" si="43"/>
        <v>0</v>
      </c>
      <c r="H272" s="216">
        <f t="shared" si="43"/>
        <v>3315</v>
      </c>
      <c r="I272" s="216">
        <f t="shared" si="43"/>
        <v>0</v>
      </c>
      <c r="J272" s="216">
        <f t="shared" si="43"/>
        <v>3641</v>
      </c>
      <c r="K272" s="216">
        <f t="shared" si="43"/>
        <v>0</v>
      </c>
      <c r="L272" s="216">
        <f aca="true" t="shared" si="44" ref="L272:Q272">SUM(L273:L282)</f>
        <v>3968</v>
      </c>
      <c r="M272" s="216">
        <f t="shared" si="44"/>
        <v>15</v>
      </c>
      <c r="N272" s="216">
        <f t="shared" si="44"/>
        <v>4162</v>
      </c>
      <c r="O272" s="216">
        <f t="shared" si="44"/>
        <v>15.493706972684596</v>
      </c>
      <c r="P272" s="216">
        <f t="shared" si="44"/>
        <v>4559</v>
      </c>
      <c r="Q272" s="216">
        <f t="shared" si="44"/>
        <v>5</v>
      </c>
      <c r="R272" s="216">
        <f>SUM(R273:R282)</f>
        <v>4505</v>
      </c>
      <c r="S272" s="216">
        <f>SUM(S273:S282)</f>
        <v>0</v>
      </c>
    </row>
    <row r="273" spans="1:19" ht="12.75">
      <c r="A273" s="28"/>
      <c r="B273" s="33"/>
      <c r="C273" s="19" t="s">
        <v>52</v>
      </c>
      <c r="D273" s="26"/>
      <c r="F273" s="215">
        <f>ROUND(306*1000/1936.27,0)-1</f>
        <v>157</v>
      </c>
      <c r="G273" s="215"/>
      <c r="H273" s="215">
        <f>ROUND(673*1000/1936.27,0)</f>
        <v>348</v>
      </c>
      <c r="I273" s="215"/>
      <c r="J273" s="215">
        <f>ROUND(714*1000/1936.27,0)+1</f>
        <v>370</v>
      </c>
      <c r="K273" s="215"/>
      <c r="L273" s="215">
        <f>ROUND(674*1000/1936.27,0)+1</f>
        <v>349</v>
      </c>
      <c r="M273" s="215"/>
      <c r="N273" s="215">
        <f>ROUND((598000/1936.27),0)</f>
        <v>309</v>
      </c>
      <c r="O273" s="215"/>
      <c r="P273" s="215">
        <v>288</v>
      </c>
      <c r="Q273" s="215"/>
      <c r="R273" s="215">
        <v>199</v>
      </c>
      <c r="S273" s="215"/>
    </row>
    <row r="274" spans="1:19" ht="12.75">
      <c r="A274" s="28"/>
      <c r="B274" s="33"/>
      <c r="C274" s="19" t="s">
        <v>53</v>
      </c>
      <c r="D274" s="26"/>
      <c r="F274" s="215">
        <f>ROUND(4292*1000/1936.27,0)</f>
        <v>2217</v>
      </c>
      <c r="G274" s="164"/>
      <c r="H274" s="215">
        <f>ROUND(4398*1000/1936.27,0)</f>
        <v>2271</v>
      </c>
      <c r="I274" s="164"/>
      <c r="J274" s="215">
        <f>ROUND(4726*1000/1936.27,0)</f>
        <v>2441</v>
      </c>
      <c r="K274" s="164"/>
      <c r="L274" s="215">
        <f>ROUND(5196*1000/1936.27,0)</f>
        <v>2684</v>
      </c>
      <c r="M274" s="164"/>
      <c r="N274" s="215">
        <f>ROUND((5430000/1936.27),0)</f>
        <v>2804</v>
      </c>
      <c r="O274" s="164">
        <f>30/1.93627</f>
        <v>15.493706972684596</v>
      </c>
      <c r="P274" s="215">
        <v>2883</v>
      </c>
      <c r="Q274" s="164"/>
      <c r="R274" s="215">
        <v>2919</v>
      </c>
      <c r="S274" s="164"/>
    </row>
    <row r="275" spans="1:19" ht="12.75">
      <c r="A275" s="28"/>
      <c r="B275" s="33"/>
      <c r="C275" s="19" t="s">
        <v>54</v>
      </c>
      <c r="D275" s="26"/>
      <c r="F275" s="215">
        <f>ROUND(0*1000/1936.27,0)</f>
        <v>0</v>
      </c>
      <c r="G275" s="164"/>
      <c r="H275" s="215">
        <f>ROUND(0*1000/1936.27,0)</f>
        <v>0</v>
      </c>
      <c r="I275" s="164"/>
      <c r="J275" s="215">
        <f>ROUND(0*1000/1936.27,0)</f>
        <v>0</v>
      </c>
      <c r="K275" s="164"/>
      <c r="L275" s="215">
        <v>0</v>
      </c>
      <c r="M275" s="164"/>
      <c r="N275" s="215">
        <v>0</v>
      </c>
      <c r="O275" s="164"/>
      <c r="P275" s="215">
        <v>58</v>
      </c>
      <c r="Q275" s="164"/>
      <c r="R275" s="215"/>
      <c r="S275" s="164"/>
    </row>
    <row r="276" spans="1:19" ht="12.75">
      <c r="A276" s="28"/>
      <c r="B276" s="33"/>
      <c r="C276" s="19" t="s">
        <v>55</v>
      </c>
      <c r="D276" s="26"/>
      <c r="F276" s="215">
        <v>0</v>
      </c>
      <c r="G276" s="164"/>
      <c r="H276" s="215">
        <v>0</v>
      </c>
      <c r="I276" s="164"/>
      <c r="J276" s="215">
        <v>0</v>
      </c>
      <c r="K276" s="164"/>
      <c r="L276" s="215">
        <v>0</v>
      </c>
      <c r="M276" s="164"/>
      <c r="N276" s="215">
        <v>0</v>
      </c>
      <c r="O276" s="164"/>
      <c r="P276" s="215"/>
      <c r="Q276" s="164"/>
      <c r="R276" s="215"/>
      <c r="S276" s="164"/>
    </row>
    <row r="277" spans="1:19" ht="12.75">
      <c r="A277" s="28"/>
      <c r="B277" s="33"/>
      <c r="C277" s="19" t="s">
        <v>56</v>
      </c>
      <c r="D277" s="26"/>
      <c r="F277" s="215">
        <f>ROUND(127*1000/1936.27,0)</f>
        <v>66</v>
      </c>
      <c r="G277" s="164"/>
      <c r="H277" s="215">
        <f>ROUND(34*1000/1936.27,0)</f>
        <v>18</v>
      </c>
      <c r="I277" s="164"/>
      <c r="J277" s="215">
        <f>ROUND(134*1000/1936.27,0)</f>
        <v>69</v>
      </c>
      <c r="K277" s="164"/>
      <c r="L277" s="215">
        <f>ROUND(110*1000/1936.27,0)</f>
        <v>57</v>
      </c>
      <c r="M277" s="164"/>
      <c r="N277" s="215">
        <f>ROUND((139000/1936.27),0)</f>
        <v>72</v>
      </c>
      <c r="O277" s="164"/>
      <c r="P277" s="215">
        <v>72</v>
      </c>
      <c r="Q277" s="164"/>
      <c r="R277" s="215">
        <v>85</v>
      </c>
      <c r="S277" s="164"/>
    </row>
    <row r="278" spans="1:19" ht="12.75">
      <c r="A278" s="28"/>
      <c r="B278" s="33"/>
      <c r="C278" s="19" t="s">
        <v>57</v>
      </c>
      <c r="D278" s="26"/>
      <c r="F278" s="215">
        <v>0</v>
      </c>
      <c r="G278" s="164"/>
      <c r="H278" s="215">
        <v>0</v>
      </c>
      <c r="I278" s="164"/>
      <c r="J278" s="215">
        <v>0</v>
      </c>
      <c r="K278" s="164"/>
      <c r="L278" s="215">
        <v>0</v>
      </c>
      <c r="M278" s="164"/>
      <c r="N278" s="215">
        <v>0</v>
      </c>
      <c r="O278" s="164"/>
      <c r="P278" s="215"/>
      <c r="Q278" s="164"/>
      <c r="R278" s="215"/>
      <c r="S278" s="164"/>
    </row>
    <row r="279" spans="1:19" ht="12.75">
      <c r="A279" s="28"/>
      <c r="B279" s="33"/>
      <c r="C279" s="19" t="s">
        <v>58</v>
      </c>
      <c r="D279" s="26"/>
      <c r="F279" s="215">
        <f>ROUND((1038-127)*1000/1936.27,0)</f>
        <v>470</v>
      </c>
      <c r="G279" s="164"/>
      <c r="H279" s="215">
        <f>ROUND((1049-34)*1000/1936.27,0)</f>
        <v>524</v>
      </c>
      <c r="I279" s="164"/>
      <c r="J279" s="215">
        <f>ROUND((1251-134)*1000/1936.27,0)</f>
        <v>577</v>
      </c>
      <c r="K279" s="164"/>
      <c r="L279" s="215">
        <f>ROUND((1487-110)*1000/1936.27,0)</f>
        <v>711</v>
      </c>
      <c r="M279" s="164"/>
      <c r="N279" s="215">
        <f>ROUND((1589000/1936.27),0)</f>
        <v>821</v>
      </c>
      <c r="O279" s="164"/>
      <c r="P279" s="215">
        <v>924</v>
      </c>
      <c r="Q279" s="164"/>
      <c r="R279" s="215">
        <f>1017-85</f>
        <v>932</v>
      </c>
      <c r="S279" s="164"/>
    </row>
    <row r="280" spans="1:19" ht="12.75">
      <c r="A280" s="28"/>
      <c r="B280" s="33"/>
      <c r="C280" s="19" t="s">
        <v>39</v>
      </c>
      <c r="D280" s="26"/>
      <c r="F280" s="215">
        <f>ROUND(32*1000/1936.27,0)</f>
        <v>17</v>
      </c>
      <c r="G280" s="164"/>
      <c r="H280" s="215">
        <f>ROUND(78*1000/1936.27,0)</f>
        <v>40</v>
      </c>
      <c r="I280" s="164"/>
      <c r="J280" s="215">
        <f>ROUND(177*1000/1936.27,0)</f>
        <v>91</v>
      </c>
      <c r="K280" s="164"/>
      <c r="L280" s="215">
        <f>ROUND(119*1000/1936.27,0)</f>
        <v>61</v>
      </c>
      <c r="M280" s="164"/>
      <c r="N280" s="215">
        <f>ROUND((110000/1936.27),0)</f>
        <v>57</v>
      </c>
      <c r="O280" s="164"/>
      <c r="P280" s="215">
        <v>174</v>
      </c>
      <c r="Q280" s="164"/>
      <c r="R280" s="215">
        <v>185</v>
      </c>
      <c r="S280" s="164"/>
    </row>
    <row r="281" spans="1:19" ht="12.75">
      <c r="A281" s="28"/>
      <c r="B281" s="33"/>
      <c r="C281" s="19" t="s">
        <v>72</v>
      </c>
      <c r="D281" s="26"/>
      <c r="F281" s="215">
        <f>ROUND(206*1000/1936.27,0)</f>
        <v>106</v>
      </c>
      <c r="G281" s="164"/>
      <c r="H281" s="215">
        <f>ROUND((197+24)*1000/1936.27,0)</f>
        <v>114</v>
      </c>
      <c r="I281" s="164"/>
      <c r="J281" s="215">
        <f>ROUND((358-177)*1000/1936.27,0)</f>
        <v>93</v>
      </c>
      <c r="K281" s="164"/>
      <c r="L281" s="215">
        <f>ROUND((324-119)*1000/1936.27,0)</f>
        <v>106</v>
      </c>
      <c r="M281" s="164">
        <f>ROUND(30000/1936.27,0)</f>
        <v>15</v>
      </c>
      <c r="N281" s="215">
        <f>ROUND((192000/1936.27),0)</f>
        <v>99</v>
      </c>
      <c r="O281" s="164"/>
      <c r="P281" s="215">
        <f>106+31+23</f>
        <v>160</v>
      </c>
      <c r="Q281" s="164">
        <v>5</v>
      </c>
      <c r="R281" s="215">
        <f>370-185</f>
        <v>185</v>
      </c>
      <c r="S281" s="164"/>
    </row>
    <row r="282" spans="1:19" ht="12.75">
      <c r="A282" s="141"/>
      <c r="B282" s="148"/>
      <c r="C282" s="34" t="s">
        <v>59</v>
      </c>
      <c r="D282" s="142"/>
      <c r="F282" s="211">
        <v>0</v>
      </c>
      <c r="G282" s="197"/>
      <c r="H282" s="211">
        <v>0</v>
      </c>
      <c r="I282" s="197"/>
      <c r="J282" s="211">
        <v>0</v>
      </c>
      <c r="K282" s="197"/>
      <c r="L282" s="211">
        <v>0</v>
      </c>
      <c r="M282" s="197"/>
      <c r="N282" s="211">
        <v>0</v>
      </c>
      <c r="O282" s="197"/>
      <c r="P282" s="211"/>
      <c r="Q282" s="197"/>
      <c r="R282" s="211"/>
      <c r="S282" s="197"/>
    </row>
    <row r="283" spans="1:19" ht="15.75">
      <c r="A283" s="308" t="s">
        <v>73</v>
      </c>
      <c r="B283" s="309"/>
      <c r="C283" s="309"/>
      <c r="D283" s="310"/>
      <c r="E283" s="134"/>
      <c r="F283" s="217">
        <f aca="true" t="shared" si="45" ref="F283:S283">+F183+F177+F160+F129+F96+F73+F59+F54+F50+F43+F38+F35+F27+F26+F25+F24+F23+F14+F9</f>
        <v>93007</v>
      </c>
      <c r="G283" s="217">
        <f t="shared" si="45"/>
        <v>5712</v>
      </c>
      <c r="H283" s="217">
        <f t="shared" si="45"/>
        <v>113908</v>
      </c>
      <c r="I283" s="217">
        <f t="shared" si="45"/>
        <v>8376</v>
      </c>
      <c r="J283" s="217">
        <f t="shared" si="45"/>
        <v>113933</v>
      </c>
      <c r="K283" s="217">
        <f t="shared" si="45"/>
        <v>14721</v>
      </c>
      <c r="L283" s="217">
        <f t="shared" si="45"/>
        <v>128265</v>
      </c>
      <c r="M283" s="217">
        <f t="shared" si="45"/>
        <v>19397</v>
      </c>
      <c r="N283" s="217">
        <f t="shared" si="45"/>
        <v>127825</v>
      </c>
      <c r="O283" s="217">
        <f t="shared" si="45"/>
        <v>15916.162528986144</v>
      </c>
      <c r="P283" s="217">
        <f t="shared" si="45"/>
        <v>138404</v>
      </c>
      <c r="Q283" s="217">
        <f t="shared" si="45"/>
        <v>23952</v>
      </c>
      <c r="R283" s="217">
        <f>+R183+R177+R160+R129+R96+R73+R59+R54+R50+R43+R38+R35+R27+R26+R25+R24+R23+R14+R9</f>
        <v>144124</v>
      </c>
      <c r="S283" s="217">
        <f t="shared" si="45"/>
        <v>25581</v>
      </c>
    </row>
    <row r="284" ht="6" customHeight="1">
      <c r="A284" s="61"/>
    </row>
    <row r="285" spans="1:19" ht="12.75">
      <c r="A285" s="39" t="s">
        <v>171</v>
      </c>
      <c r="P285" s="74"/>
      <c r="Q285" s="74"/>
      <c r="R285" s="74"/>
      <c r="S285" s="74"/>
    </row>
    <row r="286" ht="12.75">
      <c r="A286" s="39" t="s">
        <v>221</v>
      </c>
    </row>
    <row r="287" ht="3" customHeight="1"/>
    <row r="288" ht="12.75">
      <c r="A288" s="78" t="s">
        <v>224</v>
      </c>
    </row>
    <row r="289" ht="12.75">
      <c r="A289" s="61"/>
    </row>
    <row r="290" ht="12.75">
      <c r="A290" s="61"/>
    </row>
    <row r="291" ht="12.75">
      <c r="A291" s="39"/>
    </row>
    <row r="292" ht="12.75">
      <c r="A292" s="39"/>
    </row>
    <row r="293" spans="1:44" s="1" customFormat="1" ht="12.75">
      <c r="A293" s="39"/>
      <c r="B293" s="4"/>
      <c r="C293" s="4"/>
      <c r="D293" s="5"/>
      <c r="E293"/>
      <c r="F293" s="192"/>
      <c r="G293" s="192"/>
      <c r="H293" s="192"/>
      <c r="I293" s="192"/>
      <c r="J293" s="192"/>
      <c r="K293" s="192"/>
      <c r="L293" s="192"/>
      <c r="M293" s="192"/>
      <c r="N293" s="218"/>
      <c r="O293" s="218"/>
      <c r="P293" s="192"/>
      <c r="Q293" s="218"/>
      <c r="R293" s="192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</row>
    <row r="294" ht="12.75">
      <c r="A294" s="39"/>
    </row>
    <row r="295" ht="12.75">
      <c r="A295" s="39"/>
    </row>
    <row r="296" ht="12.75">
      <c r="A296" s="39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8" ht="12.75">
      <c r="A308" s="39"/>
    </row>
    <row r="309" ht="12.75">
      <c r="A309" s="39"/>
    </row>
    <row r="310" ht="12.75">
      <c r="A310" s="39"/>
    </row>
    <row r="311" ht="12.75">
      <c r="A311" s="39"/>
    </row>
    <row r="312" ht="12.75">
      <c r="A312" s="39"/>
    </row>
    <row r="313" ht="12.75">
      <c r="A313" s="39"/>
    </row>
    <row r="315" ht="12.75">
      <c r="A315" s="39"/>
    </row>
    <row r="469" ht="12.75">
      <c r="G469" s="192">
        <f>133000</f>
        <v>133000</v>
      </c>
    </row>
    <row r="471" ht="12.75">
      <c r="G471" s="192">
        <v>1936.27</v>
      </c>
    </row>
    <row r="472" ht="12.75">
      <c r="G472" s="192">
        <f>+G469/G471</f>
        <v>68.6887675789017</v>
      </c>
    </row>
    <row r="502" ht="12.75">
      <c r="F502" s="192" t="s">
        <v>74</v>
      </c>
    </row>
  </sheetData>
  <mergeCells count="3">
    <mergeCell ref="P7:Q7"/>
    <mergeCell ref="N7:O7"/>
    <mergeCell ref="R7:S7"/>
  </mergeCells>
  <hyperlinks>
    <hyperlink ref="B90:D90" location="ISTRUZIONE!D1" display="ISTRUZIONE!D1"/>
    <hyperlink ref="B90" location="ISTRUZIONE!E1" display="ISTRUZIONE!E1"/>
    <hyperlink ref="C90" location="ISTRUZIONE!V1" display="ISTRUZIONE!V1"/>
    <hyperlink ref="B120:D120" location="'SPORT E GIOVANI'!V1" display="'SPORT E GIOVANI'!V1"/>
    <hyperlink ref="B62:D62" location="INGEGNERIA!P1" display="INGEGNERIA!P1"/>
    <hyperlink ref="D62" location="INGEGNERIA!P1" display="INGEGNERIA!P1"/>
    <hyperlink ref="B149:D149" location="MANUTENZIONE!S1" display="MANUTENZIONE!S1"/>
    <hyperlink ref="A43:D43" location="PERSONALE!R1" display="PERSONALE!R1"/>
    <hyperlink ref="A50:D50" location="'P&amp;C'!S1" display="'P&amp;C'!S1"/>
    <hyperlink ref="A54:D54" location="'SISTEMI INFO'!S1" display="'SISTEMI INFO'!S1"/>
    <hyperlink ref="B114:D114" location="ECONOMIA!T1" display="ECONOMIA!T1"/>
    <hyperlink ref="B99:D99" location="CULTURA!R1" display="CULTURA!R1"/>
    <hyperlink ref="B138:D138" location="MOBILITA!T1" display="MOBILITA!T1"/>
    <hyperlink ref="B131:D131" location="TERRITORIO!S1" display="TERRITORIO!S1"/>
    <hyperlink ref="B98:D98" location="PROGXCOMUNICARE!P1" display="PROGXCOMUNICARE!P1"/>
    <hyperlink ref="B61:D61" location="'QUALITA URBANA'!U1" display="'QUALITA URBANA'!U1"/>
    <hyperlink ref="B171:D171" location="SICUREZZA!V1" display="SICUREZZA!V1"/>
    <hyperlink ref="B75:D75" location="SALUTE!T1" display="SALUTE!T1"/>
    <hyperlink ref="B79:D79" location="'SERVIZI SOCIALI'!T1" display="'SERVIZI SOCIALI'!T1"/>
    <hyperlink ref="A14:D14" location="GABINETTO!S1" display="GABINETTO!S1"/>
    <hyperlink ref="A26:D26" location="SEGR.GEN!t1" display="SEGR.GEN!t1"/>
    <hyperlink ref="A177:D177" location="PM!S1" display="PM!S1"/>
    <hyperlink ref="A23:D23" location="'STAFF CONS'!S1" display="'STAFF CONS'!S1"/>
    <hyperlink ref="A24:D24" location="'PROT CIV'!S1" display="'PROT CIV'!S1"/>
    <hyperlink ref="A25:D25" location="LEGALE!S1" display="LEGALE!S1"/>
    <hyperlink ref="A35:D35" location="FINANZA!S1" display="FINANZA!S1"/>
    <hyperlink ref="B72:D72" location="PATRIMONIO!S1" display="PATRIMONIO!S1"/>
    <hyperlink ref="B161:D161" location="'SPORTELLO CIT'!S1" display="'SPORTELLO CIT'!S1"/>
    <hyperlink ref="A183" location="QUARTIERI!S1" display="QUARTIERI!S1"/>
    <hyperlink ref="A27:D27" location="'AFFARI IST'!S1" display="'AFFARI IST'!S1"/>
    <hyperlink ref="A38:D38" location="ACQUISTI!S1" display="ACQUISTI!S1"/>
    <hyperlink ref="B167:D167" location="'SPORTELLO IMPR'!P1" display="'SPORTELLO IMPR'!P1"/>
    <hyperlink ref="A9:D9" location="'DIREZIONE GEN'!S1" display="'DIREZIONE GEN'!S1"/>
    <hyperlink ref="A59:D59" location="'AREA OP. PUB.'!s1" display="'AREA OP. PUB.'!s1"/>
    <hyperlink ref="A73:D73" location="'AREA FAMIGLIA'!S1" display="'AREA FAMIGLIA'!S1"/>
    <hyperlink ref="A96:D96" location="'AREA SVILUPPO SOCIO-EC'!T1" display="'AREA SVILUPPO SOCIO-EC'!T1"/>
    <hyperlink ref="A129:D129" location="'AREA QUALITA'' URBANA'!t1" display="'AREA QUALITA'' URBANA'!t1"/>
    <hyperlink ref="A160:D160" location="'AREA COM. E RAP. CON CIT'!T1" display="'AREA COM. E RAP. CON CIT'!T1"/>
    <hyperlink ref="A283:D283" location="TOTALE!T1" display="TOTALE!T1"/>
  </hyperlinks>
  <printOptions/>
  <pageMargins left="0.91" right="0.21" top="0.5511811023622047" bottom="0.5905511811023623" header="0.5118110236220472" footer="0.5118110236220472"/>
  <pageSetup horizontalDpi="600" verticalDpi="600" orientation="landscape" paperSize="9" scale="55" r:id="rId1"/>
  <rowBreaks count="4" manualBreakCount="4">
    <brk id="58" max="18" man="1"/>
    <brk id="119" max="18" man="1"/>
    <brk id="182" max="18" man="1"/>
    <brk id="238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86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netti'!F111</f>
        <v>936</v>
      </c>
      <c r="C3" s="7">
        <f>+'Cons spec tot e finalizzati'!G114</f>
        <v>1112</v>
      </c>
    </row>
    <row r="4" spans="1:3" ht="12.75">
      <c r="A4">
        <v>1998</v>
      </c>
      <c r="B4" s="136">
        <f>+'Cons spec netti'!G111</f>
        <v>1041</v>
      </c>
      <c r="C4" s="7">
        <f>+'Cons spec tot e finalizzati'!I114</f>
        <v>1098</v>
      </c>
    </row>
    <row r="5" spans="1:3" ht="12.75">
      <c r="A5">
        <v>1999</v>
      </c>
      <c r="B5" s="136">
        <f>+'Cons spec netti'!H111</f>
        <v>1176</v>
      </c>
      <c r="C5" s="7">
        <f>+'Cons spec tot e finalizzati'!K114</f>
        <v>2626</v>
      </c>
    </row>
    <row r="6" spans="1:3" ht="12.75">
      <c r="A6">
        <v>2000</v>
      </c>
      <c r="B6" s="136">
        <f>+'Cons spec netti'!I111</f>
        <v>1663</v>
      </c>
      <c r="C6" s="7">
        <f>+'Cons spec tot e finalizzati'!M114</f>
        <v>1474</v>
      </c>
    </row>
    <row r="7" spans="1:3" ht="12.75">
      <c r="A7">
        <v>2001</v>
      </c>
      <c r="B7" s="136">
        <f>+'Cons spec netti'!J111</f>
        <v>1678</v>
      </c>
      <c r="C7" s="7">
        <f>+'Cons spec tot e finalizzati'!O114</f>
        <v>2927</v>
      </c>
    </row>
    <row r="8" spans="1:3" ht="12.75">
      <c r="A8">
        <v>2002</v>
      </c>
      <c r="B8" s="136">
        <f>+'Cons spec netti'!K111</f>
        <v>2066</v>
      </c>
      <c r="C8" s="7">
        <f>+'Cons spec tot e finalizzati'!Q114</f>
        <v>2491</v>
      </c>
    </row>
    <row r="9" spans="1:3" ht="12.75">
      <c r="A9">
        <v>2003</v>
      </c>
      <c r="B9" s="136">
        <f>+'Cons spec netti'!L111</f>
        <v>2427</v>
      </c>
      <c r="C9" s="7">
        <f>+'Cons spec tot e finalizzati'!S114</f>
        <v>2891</v>
      </c>
    </row>
    <row r="10" spans="2:3" ht="12.75">
      <c r="B10" t="s">
        <v>81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111.21794871794873</v>
      </c>
      <c r="C12" s="137">
        <v>102.2</v>
      </c>
    </row>
    <row r="13" spans="1:3" ht="12.75">
      <c r="A13">
        <v>1999</v>
      </c>
      <c r="B13" s="137">
        <f t="shared" si="0"/>
        <v>125.64102564102564</v>
      </c>
      <c r="C13" s="137">
        <v>104</v>
      </c>
    </row>
    <row r="14" spans="1:3" ht="12.75">
      <c r="A14">
        <v>2000</v>
      </c>
      <c r="B14" s="137">
        <f t="shared" si="0"/>
        <v>177.67094017094016</v>
      </c>
      <c r="C14" s="137">
        <v>106.5</v>
      </c>
    </row>
    <row r="15" spans="1:3" ht="12.75">
      <c r="A15">
        <v>2001</v>
      </c>
      <c r="B15" s="137">
        <f t="shared" si="0"/>
        <v>179.27350427350427</v>
      </c>
      <c r="C15">
        <v>109.3</v>
      </c>
    </row>
    <row r="16" spans="1:3" ht="12.75">
      <c r="A16">
        <v>2002</v>
      </c>
      <c r="B16" s="137">
        <f t="shared" si="0"/>
        <v>220.72649572649573</v>
      </c>
      <c r="C16" s="137">
        <v>112</v>
      </c>
    </row>
    <row r="17" spans="1:3" ht="12.75">
      <c r="A17">
        <v>2003</v>
      </c>
      <c r="B17" s="137">
        <f t="shared" si="0"/>
        <v>259.2948717948718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E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25.57421875" style="0" bestFit="1" customWidth="1"/>
  </cols>
  <sheetData>
    <row r="1" ht="12.75">
      <c r="A1" t="s">
        <v>87</v>
      </c>
    </row>
    <row r="2" spans="2:3" ht="12.75">
      <c r="B2" t="s">
        <v>80</v>
      </c>
      <c r="C2" t="s">
        <v>98</v>
      </c>
    </row>
    <row r="3" spans="1:4" ht="12.75">
      <c r="A3">
        <v>1997</v>
      </c>
      <c r="B3" s="136">
        <f>+'Cons spec netti'!F96</f>
        <v>7589</v>
      </c>
      <c r="C3" s="7">
        <f>+'Cons spec tot e finalizzati'!G99</f>
        <v>93</v>
      </c>
      <c r="D3" s="7"/>
    </row>
    <row r="4" spans="1:4" ht="12.75">
      <c r="A4">
        <v>1998</v>
      </c>
      <c r="B4" s="136">
        <f>+'Cons spec netti'!G96</f>
        <v>12740</v>
      </c>
      <c r="C4" s="7">
        <f>+'Cons spec tot e finalizzati'!I99</f>
        <v>303</v>
      </c>
      <c r="D4" s="7"/>
    </row>
    <row r="5" spans="1:4" ht="12.75">
      <c r="A5">
        <v>1999</v>
      </c>
      <c r="B5" s="136">
        <f>+'Cons spec netti'!H96</f>
        <v>8824</v>
      </c>
      <c r="C5" s="7">
        <f>+'Cons spec tot e finalizzati'!K99</f>
        <v>7319</v>
      </c>
      <c r="D5" s="7"/>
    </row>
    <row r="6" spans="1:4" ht="12.75">
      <c r="A6">
        <v>2000</v>
      </c>
      <c r="B6" s="136">
        <f>+'Cons spec netti'!I96</f>
        <v>10763</v>
      </c>
      <c r="C6" s="7">
        <f>+'Cons spec tot e finalizzati'!M99</f>
        <v>3888</v>
      </c>
      <c r="D6" s="7"/>
    </row>
    <row r="7" spans="1:4" ht="12.75">
      <c r="A7">
        <v>2001</v>
      </c>
      <c r="B7" s="136">
        <f>+'Cons spec netti'!J96</f>
        <v>9711</v>
      </c>
      <c r="C7" s="7">
        <f>+'Cons spec tot e finalizzati'!O99</f>
        <v>1616</v>
      </c>
      <c r="D7" s="7"/>
    </row>
    <row r="8" spans="1:4" ht="12.75">
      <c r="A8">
        <v>2002</v>
      </c>
      <c r="B8" s="136">
        <f>+'Cons spec netti'!K96</f>
        <v>9593</v>
      </c>
      <c r="C8" s="7">
        <f>+'Cons spec tot e finalizzati'!Q99</f>
        <v>542</v>
      </c>
      <c r="D8" s="7"/>
    </row>
    <row r="9" spans="1:4" ht="12.75">
      <c r="A9">
        <v>2003</v>
      </c>
      <c r="B9" s="136">
        <f>+'Cons spec netti'!L96</f>
        <v>10952</v>
      </c>
      <c r="C9" s="7">
        <f>+'Cons spec tot e finalizzati'!S99</f>
        <v>1842</v>
      </c>
      <c r="D9" s="7"/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167.87455527737515</v>
      </c>
      <c r="C12" s="137">
        <v>102.2</v>
      </c>
    </row>
    <row r="13" spans="1:3" ht="12.75">
      <c r="A13">
        <v>1999</v>
      </c>
      <c r="B13" s="137">
        <f t="shared" si="0"/>
        <v>116.2735538279088</v>
      </c>
      <c r="C13" s="137">
        <v>104</v>
      </c>
    </row>
    <row r="14" spans="1:3" ht="12.75">
      <c r="A14">
        <v>2000</v>
      </c>
      <c r="B14" s="137">
        <f t="shared" si="0"/>
        <v>141.82369218605876</v>
      </c>
      <c r="C14" s="137">
        <v>106.5</v>
      </c>
    </row>
    <row r="15" spans="1:3" ht="12.75">
      <c r="A15">
        <v>2001</v>
      </c>
      <c r="B15" s="137">
        <f t="shared" si="0"/>
        <v>127.96152325734616</v>
      </c>
      <c r="C15">
        <v>109.3</v>
      </c>
    </row>
    <row r="16" spans="1:3" ht="12.75">
      <c r="A16">
        <v>2002</v>
      </c>
      <c r="B16" s="137">
        <f t="shared" si="0"/>
        <v>126.40664119119778</v>
      </c>
      <c r="C16" s="137">
        <v>112</v>
      </c>
    </row>
    <row r="17" spans="1:3" ht="12.75">
      <c r="A17">
        <v>2003</v>
      </c>
      <c r="B17" s="137">
        <f t="shared" si="0"/>
        <v>144.3141388852286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88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netti'!F135</f>
        <v>1120</v>
      </c>
      <c r="C3" s="7">
        <f>+'Cons spec tot e finalizzati'!G138</f>
        <v>0</v>
      </c>
    </row>
    <row r="4" spans="1:3" ht="12.75">
      <c r="A4">
        <v>1998</v>
      </c>
      <c r="B4" s="136">
        <f>+'Cons spec netti'!G135</f>
        <v>1008</v>
      </c>
      <c r="C4" s="7">
        <f>+'Cons spec tot e finalizzati'!I138</f>
        <v>0</v>
      </c>
    </row>
    <row r="5" spans="1:3" ht="12.75">
      <c r="A5">
        <v>1999</v>
      </c>
      <c r="B5" s="136">
        <f>+'Cons spec netti'!H135</f>
        <v>1435</v>
      </c>
      <c r="C5" s="7">
        <f>+'Cons spec tot e finalizzati'!K138</f>
        <v>0</v>
      </c>
    </row>
    <row r="6" spans="1:3" ht="12.75">
      <c r="A6">
        <v>2000</v>
      </c>
      <c r="B6" s="136">
        <f>+'Cons spec netti'!I135</f>
        <v>2248.5</v>
      </c>
      <c r="C6" s="7">
        <f>+'Cons spec tot e finalizzati'!M138</f>
        <v>580</v>
      </c>
    </row>
    <row r="7" spans="1:3" ht="12.75">
      <c r="A7" t="s">
        <v>175</v>
      </c>
      <c r="B7" s="136">
        <f>+'Cons spec netti'!J135</f>
        <v>1508</v>
      </c>
      <c r="C7" s="7">
        <f>+'Cons spec tot e finalizzati'!O138</f>
        <v>0</v>
      </c>
    </row>
    <row r="8" spans="1:3" ht="12.75">
      <c r="A8">
        <v>2002</v>
      </c>
      <c r="B8" s="136">
        <f>+'Cons spec netti'!K135</f>
        <v>2596</v>
      </c>
      <c r="C8" s="7">
        <f>+'Cons spec tot e finalizzati'!Q138</f>
        <v>137</v>
      </c>
    </row>
    <row r="9" spans="1:3" ht="12.75">
      <c r="A9">
        <v>2003</v>
      </c>
      <c r="B9" s="136">
        <f>+'Cons spec netti'!L135</f>
        <v>2037</v>
      </c>
      <c r="C9" s="7">
        <f>+'Cons spec tot e finalizzati'!S138</f>
        <v>411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90</v>
      </c>
      <c r="C12" s="137">
        <v>102.2</v>
      </c>
    </row>
    <row r="13" spans="1:3" ht="12.75">
      <c r="A13">
        <v>1999</v>
      </c>
      <c r="B13" s="137">
        <f t="shared" si="0"/>
        <v>128.125</v>
      </c>
      <c r="C13" s="137">
        <v>104</v>
      </c>
    </row>
    <row r="14" spans="1:3" ht="12.75">
      <c r="A14">
        <v>2000</v>
      </c>
      <c r="B14" s="137">
        <f t="shared" si="0"/>
        <v>200.75892857142858</v>
      </c>
      <c r="C14" s="137">
        <v>106.5</v>
      </c>
    </row>
    <row r="15" spans="1:3" ht="12.75">
      <c r="A15">
        <v>2001</v>
      </c>
      <c r="B15" s="137">
        <f t="shared" si="0"/>
        <v>134.64285714285717</v>
      </c>
      <c r="C15">
        <v>109.3</v>
      </c>
    </row>
    <row r="16" spans="1:3" ht="12.75">
      <c r="A16">
        <v>2002</v>
      </c>
      <c r="B16" s="137">
        <f t="shared" si="0"/>
        <v>231.7857142857143</v>
      </c>
      <c r="C16" s="137">
        <v>112</v>
      </c>
    </row>
    <row r="17" spans="1:3" ht="12.75">
      <c r="A17">
        <v>2003</v>
      </c>
      <c r="B17" s="137">
        <f t="shared" si="0"/>
        <v>181.875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  <col min="4" max="4" width="22.421875" style="0" bestFit="1" customWidth="1"/>
    <col min="5" max="5" width="11.00390625" style="0" customWidth="1"/>
  </cols>
  <sheetData>
    <row r="1" ht="12.75">
      <c r="A1" t="s">
        <v>89</v>
      </c>
    </row>
    <row r="2" spans="2:3" ht="12.75">
      <c r="B2" t="s">
        <v>80</v>
      </c>
      <c r="C2" t="s">
        <v>98</v>
      </c>
    </row>
    <row r="3" spans="1:5" ht="12.75">
      <c r="A3">
        <v>1997</v>
      </c>
      <c r="B3" s="136">
        <f>+'Cons spec netti'!F128</f>
        <v>3346</v>
      </c>
      <c r="C3" s="7">
        <f>+'Cons spec tot e finalizzati'!G131</f>
        <v>88</v>
      </c>
      <c r="E3" s="7"/>
    </row>
    <row r="4" spans="1:5" ht="12.75">
      <c r="A4">
        <v>1998</v>
      </c>
      <c r="B4" s="136">
        <f>+'Cons spec netti'!G128</f>
        <v>3227</v>
      </c>
      <c r="C4" s="7">
        <f>+'Cons spec tot e finalizzati'!I131</f>
        <v>296</v>
      </c>
      <c r="E4" s="7"/>
    </row>
    <row r="5" spans="1:5" ht="12.75">
      <c r="A5">
        <v>1999</v>
      </c>
      <c r="B5" s="136">
        <f>+'Cons spec netti'!H128</f>
        <v>2986</v>
      </c>
      <c r="C5" s="7">
        <f>+'Cons spec tot e finalizzati'!K131</f>
        <v>444</v>
      </c>
      <c r="E5" s="7"/>
    </row>
    <row r="6" spans="1:5" ht="12.75">
      <c r="A6">
        <v>2000</v>
      </c>
      <c r="B6" s="136">
        <f>+'Cons spec netti'!I128</f>
        <v>2613</v>
      </c>
      <c r="C6" s="7">
        <f>+'Cons spec tot e finalizzati'!M131</f>
        <v>1964</v>
      </c>
      <c r="D6" s="136"/>
      <c r="E6" s="7"/>
    </row>
    <row r="7" spans="1:5" ht="12.75">
      <c r="A7">
        <v>2001</v>
      </c>
      <c r="B7" s="136">
        <f>+'Cons spec netti'!J128</f>
        <v>1847</v>
      </c>
      <c r="C7" s="7">
        <f>+'Cons spec tot e finalizzati'!O131</f>
        <v>301</v>
      </c>
      <c r="D7" s="74"/>
      <c r="E7" s="7"/>
    </row>
    <row r="8" spans="1:5" ht="12.75">
      <c r="A8">
        <v>2002</v>
      </c>
      <c r="B8" s="136">
        <f>+'Cons spec netti'!K128</f>
        <v>2734</v>
      </c>
      <c r="C8" s="7">
        <f>+'Cons spec tot e finalizzati'!Q131</f>
        <v>124</v>
      </c>
      <c r="D8" s="74"/>
      <c r="E8" s="7"/>
    </row>
    <row r="9" spans="1:5" ht="12.75">
      <c r="A9">
        <v>2003</v>
      </c>
      <c r="B9" s="136">
        <f>+'Cons spec netti'!L128</f>
        <v>2112</v>
      </c>
      <c r="C9" s="7">
        <f>+'Cons spec tot e finalizzati'!S131</f>
        <v>615</v>
      </c>
      <c r="D9" s="74"/>
      <c r="E9" s="7"/>
    </row>
    <row r="10" spans="2:3" ht="12.75">
      <c r="B10" t="s">
        <v>99</v>
      </c>
      <c r="C10" t="s">
        <v>82</v>
      </c>
    </row>
    <row r="11" spans="1:5" ht="12.75">
      <c r="A11">
        <v>1997</v>
      </c>
      <c r="B11" s="137">
        <v>100</v>
      </c>
      <c r="C11" s="137">
        <v>100</v>
      </c>
      <c r="D11" s="139"/>
      <c r="E11" s="139"/>
    </row>
    <row r="12" spans="1:3" ht="12.75">
      <c r="A12">
        <v>1998</v>
      </c>
      <c r="B12" s="137">
        <f aca="true" t="shared" si="0" ref="B12:B17">+B4/$B$3*100</f>
        <v>96.44351464435147</v>
      </c>
      <c r="C12" s="137">
        <v>102.2</v>
      </c>
    </row>
    <row r="13" spans="1:3" ht="12.75">
      <c r="A13">
        <v>1999</v>
      </c>
      <c r="B13" s="137">
        <f t="shared" si="0"/>
        <v>89.24088463837417</v>
      </c>
      <c r="C13" s="137">
        <v>104</v>
      </c>
    </row>
    <row r="14" spans="1:3" ht="12.75">
      <c r="A14">
        <v>2000</v>
      </c>
      <c r="B14" s="137">
        <f t="shared" si="0"/>
        <v>78.09324566646742</v>
      </c>
      <c r="C14" s="137">
        <v>106.5</v>
      </c>
    </row>
    <row r="15" spans="1:3" ht="12.75">
      <c r="A15">
        <v>2001</v>
      </c>
      <c r="B15" s="137">
        <f t="shared" si="0"/>
        <v>55.20023909145249</v>
      </c>
      <c r="C15">
        <v>109.3</v>
      </c>
    </row>
    <row r="16" spans="1:3" ht="12.75">
      <c r="A16">
        <v>2002</v>
      </c>
      <c r="B16" s="137">
        <f t="shared" si="0"/>
        <v>81.7095038852361</v>
      </c>
      <c r="C16" s="137">
        <v>112</v>
      </c>
    </row>
    <row r="17" spans="1:3" ht="12.75">
      <c r="A17">
        <v>2003</v>
      </c>
      <c r="B17" s="137">
        <f t="shared" si="0"/>
        <v>63.12014345487149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152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netti'!F95</f>
        <v>0</v>
      </c>
      <c r="C3" s="7">
        <f>+'Cons spec tot e finalizzati'!G98</f>
        <v>0</v>
      </c>
    </row>
    <row r="4" spans="1:3" ht="12.75">
      <c r="A4">
        <v>1998</v>
      </c>
      <c r="B4" s="136">
        <f>+'Cons spec netti'!G95</f>
        <v>0</v>
      </c>
      <c r="C4" s="7">
        <f>+'Cons spec tot e finalizzati'!I98</f>
        <v>0</v>
      </c>
    </row>
    <row r="5" spans="1:3" ht="12.75">
      <c r="A5">
        <v>1999</v>
      </c>
      <c r="B5" s="136">
        <f>+'Cons spec netti'!H95</f>
        <v>0</v>
      </c>
      <c r="C5" s="7">
        <f>+'Cons spec tot e finalizzati'!K98</f>
        <v>0</v>
      </c>
    </row>
    <row r="6" spans="1:3" ht="12.75">
      <c r="A6">
        <v>2000</v>
      </c>
      <c r="B6" s="136">
        <f>+'Cons spec netti'!I95</f>
        <v>21</v>
      </c>
      <c r="C6" s="7">
        <f>+'Cons spec tot e finalizzati'!M98</f>
        <v>0</v>
      </c>
    </row>
    <row r="7" spans="1:3" ht="12.75">
      <c r="A7">
        <v>2001</v>
      </c>
      <c r="B7" s="136">
        <f>+'Cons spec netti'!J95</f>
        <v>231</v>
      </c>
      <c r="C7" s="7">
        <f>+'Cons spec tot e finalizzati'!O98</f>
        <v>0</v>
      </c>
    </row>
    <row r="8" spans="1:3" ht="12.75">
      <c r="A8">
        <v>2002</v>
      </c>
      <c r="B8" s="136">
        <f>+'Cons spec netti'!K95</f>
        <v>71</v>
      </c>
      <c r="C8" s="7">
        <f>+'Cons spec tot e finalizzati'!Q98</f>
        <v>0</v>
      </c>
    </row>
    <row r="9" spans="1:2" ht="12.75">
      <c r="A9">
        <v>2003</v>
      </c>
      <c r="B9" s="136">
        <f>+'Cons spec netti'!L95</f>
        <v>269</v>
      </c>
    </row>
    <row r="10" spans="2:3" ht="12.75">
      <c r="B10" s="137"/>
      <c r="C10" s="137"/>
    </row>
    <row r="11" ht="12.75">
      <c r="B11" s="138"/>
    </row>
    <row r="12" spans="2:3" ht="12.75">
      <c r="B12" s="138"/>
      <c r="C12" s="137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H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108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netti'!F58</f>
        <v>831</v>
      </c>
      <c r="C3" s="7">
        <f>+'Cons spec tot e finalizzati'!G61</f>
        <v>0</v>
      </c>
    </row>
    <row r="4" spans="1:3" ht="12.75">
      <c r="A4">
        <v>1998</v>
      </c>
      <c r="B4" s="136">
        <f>+'Cons spec netti'!G58</f>
        <v>330</v>
      </c>
      <c r="C4" s="7">
        <f>+'Cons spec tot e finalizzati'!I61</f>
        <v>0</v>
      </c>
    </row>
    <row r="5" spans="1:3" ht="12.75">
      <c r="A5">
        <v>1999</v>
      </c>
      <c r="B5" s="136">
        <f>+'Cons spec netti'!H58</f>
        <v>77</v>
      </c>
      <c r="C5" s="7">
        <f>+'Cons spec tot e finalizzati'!K61</f>
        <v>0</v>
      </c>
    </row>
    <row r="6" spans="1:3" ht="12.75">
      <c r="A6">
        <v>2000</v>
      </c>
      <c r="B6" s="136">
        <f>+'Cons spec netti'!I58</f>
        <v>134</v>
      </c>
      <c r="C6" s="7">
        <f>+'Cons spec tot e finalizzati'!O61</f>
        <v>0</v>
      </c>
    </row>
    <row r="7" spans="1:3" ht="12.75">
      <c r="A7">
        <v>2001</v>
      </c>
      <c r="B7" s="136">
        <f>+'Cons spec netti'!J58</f>
        <v>38</v>
      </c>
      <c r="C7" s="7">
        <f>+'Cons spec tot e finalizzati'!Q61</f>
        <v>0</v>
      </c>
    </row>
    <row r="8" spans="1:3" ht="12.75">
      <c r="A8">
        <v>2002</v>
      </c>
      <c r="B8" s="136">
        <f>+'Cons spec netti'!K58</f>
        <v>29</v>
      </c>
      <c r="C8" s="7">
        <f>+'Cons spec tot e finalizzati'!Q61</f>
        <v>0</v>
      </c>
    </row>
    <row r="9" spans="1:3" ht="12.75">
      <c r="A9">
        <v>2003</v>
      </c>
      <c r="B9" s="136">
        <f>+'Cons spec netti'!L58</f>
        <v>136</v>
      </c>
      <c r="C9" s="7">
        <f>+'Cons spec tot e finalizzati'!S61</f>
        <v>0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39.71119133574007</v>
      </c>
      <c r="C12" s="137">
        <v>102.2</v>
      </c>
    </row>
    <row r="13" spans="1:3" ht="12.75">
      <c r="A13">
        <v>1999</v>
      </c>
      <c r="B13" s="137">
        <f t="shared" si="0"/>
        <v>9.265944645006016</v>
      </c>
      <c r="C13" s="137">
        <v>104</v>
      </c>
    </row>
    <row r="14" spans="1:3" ht="12.75">
      <c r="A14">
        <v>2000</v>
      </c>
      <c r="B14" s="137">
        <f t="shared" si="0"/>
        <v>16.125150421179303</v>
      </c>
      <c r="C14" s="137">
        <v>106.5</v>
      </c>
    </row>
    <row r="15" spans="1:3" ht="12.75">
      <c r="A15">
        <v>2001</v>
      </c>
      <c r="B15" s="137">
        <f t="shared" si="0"/>
        <v>4.57280385078219</v>
      </c>
      <c r="C15">
        <v>109.3</v>
      </c>
    </row>
    <row r="16" spans="1:3" ht="12.75">
      <c r="A16">
        <v>2002</v>
      </c>
      <c r="B16" s="137">
        <f t="shared" si="0"/>
        <v>3.489771359807461</v>
      </c>
      <c r="C16" s="137">
        <v>112</v>
      </c>
    </row>
    <row r="17" spans="1:3" ht="12.75">
      <c r="A17">
        <v>2003</v>
      </c>
      <c r="B17" s="137">
        <f t="shared" si="0"/>
        <v>16.365824308062578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H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90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netti'!F168</f>
        <v>688</v>
      </c>
      <c r="C3" s="7">
        <f>+'Cons spec tot e finalizzati'!G171</f>
        <v>0</v>
      </c>
    </row>
    <row r="4" spans="1:3" ht="12.75">
      <c r="A4">
        <v>1998</v>
      </c>
      <c r="B4" s="136">
        <f>+'Cons spec netti'!G168</f>
        <v>510</v>
      </c>
      <c r="C4" s="7">
        <f>+'Cons spec tot e finalizzati'!I171</f>
        <v>227</v>
      </c>
    </row>
    <row r="5" spans="1:3" ht="12.75">
      <c r="A5">
        <v>1999</v>
      </c>
      <c r="B5" s="136">
        <f>+'Cons spec netti'!H168</f>
        <v>774</v>
      </c>
      <c r="C5" s="7">
        <f>+'Cons spec tot e finalizzati'!K171</f>
        <v>300</v>
      </c>
    </row>
    <row r="6" spans="1:3" ht="12.75">
      <c r="A6">
        <v>2000</v>
      </c>
      <c r="B6" s="136">
        <f>+'Cons spec netti'!I168</f>
        <v>524</v>
      </c>
      <c r="C6" s="7">
        <f>+'Cons spec tot e finalizzati'!M171</f>
        <v>350</v>
      </c>
    </row>
    <row r="7" spans="1:3" ht="12.75">
      <c r="A7">
        <v>2001</v>
      </c>
      <c r="B7" s="136">
        <f>+'Cons spec netti'!J168</f>
        <v>917.7110423649594</v>
      </c>
      <c r="C7" s="7">
        <f>+'Cons spec tot e finalizzati'!O171</f>
        <v>150.28895763504056</v>
      </c>
    </row>
    <row r="8" spans="1:3" ht="12.75">
      <c r="A8">
        <v>2002</v>
      </c>
      <c r="B8" s="136">
        <f>+'Cons spec netti'!K168</f>
        <v>1426</v>
      </c>
      <c r="C8" s="7">
        <f>+'Cons spec tot e finalizzati'!Q171</f>
        <v>294</v>
      </c>
    </row>
    <row r="9" spans="1:3" ht="12.75">
      <c r="A9">
        <v>2003</v>
      </c>
      <c r="B9" s="136">
        <f>+'Cons spec netti'!L168</f>
        <v>1384</v>
      </c>
      <c r="C9" s="7">
        <f>+'Cons spec tot e finalizzati'!S171</f>
        <v>344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74.12790697674419</v>
      </c>
      <c r="C12" s="137">
        <v>102.2</v>
      </c>
    </row>
    <row r="13" spans="1:3" ht="12.75">
      <c r="A13">
        <v>1999</v>
      </c>
      <c r="B13" s="137">
        <f t="shared" si="0"/>
        <v>112.5</v>
      </c>
      <c r="C13" s="137">
        <v>104</v>
      </c>
    </row>
    <row r="14" spans="1:3" ht="12.75">
      <c r="A14">
        <v>2000</v>
      </c>
      <c r="B14" s="137">
        <f t="shared" si="0"/>
        <v>76.16279069767442</v>
      </c>
      <c r="C14" s="137">
        <v>106.5</v>
      </c>
    </row>
    <row r="15" spans="1:3" ht="12.75">
      <c r="A15">
        <v>2001</v>
      </c>
      <c r="B15" s="137">
        <f t="shared" si="0"/>
        <v>133.38823290188364</v>
      </c>
      <c r="C15">
        <v>109.3</v>
      </c>
    </row>
    <row r="16" spans="1:3" ht="12.75">
      <c r="A16">
        <v>2002</v>
      </c>
      <c r="B16" s="137">
        <f t="shared" si="0"/>
        <v>207.2674418604651</v>
      </c>
      <c r="C16" s="137">
        <v>112</v>
      </c>
    </row>
    <row r="17" spans="1:3" ht="12.75">
      <c r="A17">
        <v>2003</v>
      </c>
      <c r="B17" s="137">
        <f t="shared" si="0"/>
        <v>201.1627906976744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G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91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netti'!F72</f>
        <v>2550</v>
      </c>
      <c r="C3" s="7">
        <f>+'Cons spec tot e finalizzati'!G75</f>
        <v>0</v>
      </c>
    </row>
    <row r="4" spans="1:3" ht="12.75">
      <c r="A4">
        <v>1998</v>
      </c>
      <c r="B4" s="136">
        <f>+'Cons spec netti'!G72</f>
        <v>2378</v>
      </c>
      <c r="C4" s="7">
        <f>+'Cons spec tot e finalizzati'!I75</f>
        <v>0</v>
      </c>
    </row>
    <row r="5" spans="1:3" ht="12.75">
      <c r="A5">
        <v>1999</v>
      </c>
      <c r="B5" s="136">
        <f>+'Cons spec netti'!H72</f>
        <v>2467</v>
      </c>
      <c r="C5" s="7">
        <f>+'Cons spec tot e finalizzati'!K75</f>
        <v>0</v>
      </c>
    </row>
    <row r="6" spans="1:3" ht="12.75">
      <c r="A6">
        <v>2000</v>
      </c>
      <c r="B6" s="136">
        <f>+'Cons spec netti'!I72</f>
        <v>2865</v>
      </c>
      <c r="C6" s="7">
        <f>+'Cons spec tot e finalizzati'!M75</f>
        <v>0</v>
      </c>
    </row>
    <row r="7" spans="1:3" ht="12.75">
      <c r="A7">
        <v>2001</v>
      </c>
      <c r="B7" s="136">
        <f>+'Cons spec netti'!J72</f>
        <v>3710.2986463664674</v>
      </c>
      <c r="C7" s="7">
        <f>+'Cons spec tot e finalizzati'!O75</f>
        <v>37.70135363353251</v>
      </c>
    </row>
    <row r="8" spans="1:3" ht="12.75">
      <c r="A8">
        <v>2002</v>
      </c>
      <c r="B8" s="136">
        <f>+'Cons spec netti'!K72</f>
        <v>3386</v>
      </c>
      <c r="C8" s="7">
        <f>+'Cons spec tot e finalizzati'!Q75</f>
        <v>59</v>
      </c>
    </row>
    <row r="9" spans="1:3" ht="12.75">
      <c r="A9">
        <v>2003</v>
      </c>
      <c r="B9" s="136">
        <f>+'Cons spec netti'!L72</f>
        <v>3021</v>
      </c>
      <c r="C9" s="7">
        <f>+'Cons spec tot e finalizzati'!S75</f>
        <v>55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93.25490196078431</v>
      </c>
      <c r="C12" s="137">
        <v>102.2</v>
      </c>
    </row>
    <row r="13" spans="1:3" ht="12.75">
      <c r="A13">
        <v>1999</v>
      </c>
      <c r="B13" s="137">
        <f t="shared" si="0"/>
        <v>96.74509803921568</v>
      </c>
      <c r="C13" s="137">
        <v>104</v>
      </c>
    </row>
    <row r="14" spans="1:3" ht="12.75">
      <c r="A14">
        <v>2000</v>
      </c>
      <c r="B14" s="137">
        <f t="shared" si="0"/>
        <v>112.3529411764706</v>
      </c>
      <c r="C14" s="137">
        <v>106.5</v>
      </c>
    </row>
    <row r="15" spans="1:3" ht="12.75">
      <c r="A15">
        <v>2001</v>
      </c>
      <c r="B15" s="137">
        <f t="shared" si="0"/>
        <v>145.50190770064577</v>
      </c>
      <c r="C15">
        <v>109.3</v>
      </c>
    </row>
    <row r="16" spans="1:3" ht="12.75">
      <c r="A16">
        <v>2002</v>
      </c>
      <c r="B16" s="137">
        <f t="shared" si="0"/>
        <v>132.7843137254902</v>
      </c>
      <c r="C16" s="137">
        <v>112</v>
      </c>
    </row>
    <row r="17" spans="1:3" ht="12.75">
      <c r="A17">
        <v>2003</v>
      </c>
      <c r="B17" s="137">
        <f t="shared" si="0"/>
        <v>118.47058823529413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G1">
      <selection activeCell="A1" sqref="A1"/>
    </sheetView>
  </sheetViews>
  <sheetFormatPr defaultColWidth="9.140625" defaultRowHeight="12.75"/>
  <cols>
    <col min="1" max="1" width="15.28125" style="0" customWidth="1"/>
    <col min="2" max="2" width="17.28125" style="0" customWidth="1"/>
    <col min="3" max="3" width="15.7109375" style="0" customWidth="1"/>
  </cols>
  <sheetData>
    <row r="1" ht="12.75">
      <c r="A1" t="s">
        <v>92</v>
      </c>
    </row>
    <row r="2" spans="2:3" ht="12.75">
      <c r="B2" t="s">
        <v>80</v>
      </c>
      <c r="C2" t="s">
        <v>98</v>
      </c>
    </row>
    <row r="3" spans="1:4" ht="12.75">
      <c r="A3">
        <v>1997</v>
      </c>
      <c r="B3" s="136">
        <f>+'Cons spec netti'!F76</f>
        <v>10756</v>
      </c>
      <c r="C3" s="7">
        <f>+'Cons spec tot e finalizzati'!G79</f>
        <v>2085</v>
      </c>
      <c r="D3" s="7"/>
    </row>
    <row r="4" spans="1:4" ht="12.75">
      <c r="A4">
        <v>1998</v>
      </c>
      <c r="B4" s="136">
        <f>+'Cons spec netti'!G76</f>
        <v>12070</v>
      </c>
      <c r="C4" s="7">
        <f>+'Cons spec tot e finalizzati'!I79</f>
        <v>4093</v>
      </c>
      <c r="D4" s="7"/>
    </row>
    <row r="5" spans="1:4" ht="12.75">
      <c r="A5">
        <v>1999</v>
      </c>
      <c r="B5" s="136">
        <f>+'Cons spec netti'!H76</f>
        <v>14198</v>
      </c>
      <c r="C5" s="7">
        <f>+'Cons spec tot e finalizzati'!K79</f>
        <v>1523</v>
      </c>
      <c r="D5" s="7"/>
    </row>
    <row r="6" spans="1:4" ht="12.75">
      <c r="A6">
        <v>2000</v>
      </c>
      <c r="B6" s="136">
        <f>+'Cons spec netti'!I76</f>
        <v>15830</v>
      </c>
      <c r="C6" s="7">
        <f>+'Cons spec tot e finalizzati'!M79</f>
        <v>7431</v>
      </c>
      <c r="D6" s="7"/>
    </row>
    <row r="7" spans="1:4" ht="12.75">
      <c r="A7">
        <v>2001</v>
      </c>
      <c r="B7" s="136">
        <f>+'Cons spec netti'!J76</f>
        <v>16993</v>
      </c>
      <c r="C7" s="7">
        <f>+'Cons spec tot e finalizzati'!O79</f>
        <v>5828</v>
      </c>
      <c r="D7" s="7"/>
    </row>
    <row r="8" spans="1:4" ht="12.75">
      <c r="A8">
        <v>2002</v>
      </c>
      <c r="B8" s="136">
        <f>+'Cons spec netti'!K76</f>
        <v>13955</v>
      </c>
      <c r="C8" s="7">
        <f>+'Cons spec tot e finalizzati'!Q79</f>
        <v>12439</v>
      </c>
      <c r="D8" s="7"/>
    </row>
    <row r="9" spans="1:3" ht="12.75">
      <c r="A9">
        <v>2003</v>
      </c>
      <c r="B9" s="136">
        <f>+'Cons spec netti'!L76</f>
        <v>15038</v>
      </c>
      <c r="C9" s="7">
        <f>+'Cons spec tot e finalizzati'!S79</f>
        <v>11930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112.2164373373001</v>
      </c>
      <c r="C12" s="137">
        <v>102.2</v>
      </c>
    </row>
    <row r="13" spans="1:3" ht="12.75">
      <c r="A13">
        <v>1999</v>
      </c>
      <c r="B13" s="137">
        <f t="shared" si="0"/>
        <v>132.00074377091855</v>
      </c>
      <c r="C13" s="137">
        <v>104</v>
      </c>
    </row>
    <row r="14" spans="1:3" ht="12.75">
      <c r="A14">
        <v>2000</v>
      </c>
      <c r="B14" s="137">
        <f t="shared" si="0"/>
        <v>147.1736705094831</v>
      </c>
      <c r="C14" s="137">
        <v>106.5</v>
      </c>
    </row>
    <row r="15" spans="1:3" ht="12.75">
      <c r="A15">
        <v>2001</v>
      </c>
      <c r="B15" s="137">
        <f t="shared" si="0"/>
        <v>157.9862402380067</v>
      </c>
      <c r="C15">
        <v>109.3</v>
      </c>
    </row>
    <row r="16" spans="1:3" ht="12.75">
      <c r="A16">
        <v>2002</v>
      </c>
      <c r="B16" s="137">
        <f t="shared" si="0"/>
        <v>129.74153960580142</v>
      </c>
      <c r="C16" s="137">
        <v>112</v>
      </c>
    </row>
    <row r="17" spans="1:3" ht="12.75">
      <c r="A17">
        <v>2003</v>
      </c>
      <c r="B17" s="137">
        <f t="shared" si="0"/>
        <v>139.81033841576794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93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netti'!F11</f>
        <v>1157</v>
      </c>
      <c r="C3" s="7">
        <f>+'Cons spec tot e finalizzati'!G14</f>
        <v>584</v>
      </c>
    </row>
    <row r="4" spans="1:3" ht="12.75">
      <c r="A4">
        <v>1998</v>
      </c>
      <c r="B4" s="136">
        <f>+'Cons spec netti'!G11</f>
        <v>1378</v>
      </c>
      <c r="C4" s="7">
        <f>+'Cons spec tot e finalizzati'!I14</f>
        <v>622</v>
      </c>
    </row>
    <row r="5" spans="1:3" ht="12.75">
      <c r="A5">
        <v>1999</v>
      </c>
      <c r="B5" s="136">
        <f>+'Cons spec netti'!H11</f>
        <v>1251</v>
      </c>
      <c r="C5" s="7">
        <f>+'Cons spec tot e finalizzati'!K14</f>
        <v>1408</v>
      </c>
    </row>
    <row r="6" spans="1:3" ht="12.75">
      <c r="A6">
        <v>2000</v>
      </c>
      <c r="B6" s="136">
        <f>+'Cons spec netti'!I11</f>
        <v>1170</v>
      </c>
      <c r="C6" s="7">
        <f>+'Cons spec tot e finalizzati'!M14</f>
        <v>1697</v>
      </c>
    </row>
    <row r="7" spans="1:3" ht="12.75">
      <c r="A7">
        <v>2001</v>
      </c>
      <c r="B7" s="136">
        <f>+'Cons spec netti'!J11</f>
        <v>1747</v>
      </c>
      <c r="C7" s="7">
        <f>+'Cons spec tot e finalizzati'!O14</f>
        <v>1411</v>
      </c>
    </row>
    <row r="8" spans="1:3" ht="12.75">
      <c r="A8">
        <v>2002</v>
      </c>
      <c r="B8" s="136">
        <f>+'Cons spec netti'!K11</f>
        <v>2277</v>
      </c>
      <c r="C8" s="7">
        <f>+'Cons spec tot e finalizzati'!Q14</f>
        <v>1287</v>
      </c>
    </row>
    <row r="9" spans="1:3" ht="12.75">
      <c r="A9">
        <v>2003</v>
      </c>
      <c r="B9" s="136">
        <f>+'Cons spec netti'!L11</f>
        <v>2970</v>
      </c>
      <c r="C9" s="7">
        <f>+'Cons spec tot e finalizzati'!S14</f>
        <v>1157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119.10112359550563</v>
      </c>
      <c r="C12" s="137">
        <v>102.2</v>
      </c>
    </row>
    <row r="13" spans="1:3" ht="12.75">
      <c r="A13">
        <v>1999</v>
      </c>
      <c r="B13" s="137">
        <f t="shared" si="0"/>
        <v>108.12445980985305</v>
      </c>
      <c r="C13" s="137">
        <v>104</v>
      </c>
    </row>
    <row r="14" spans="1:3" ht="12.75">
      <c r="A14">
        <v>2000</v>
      </c>
      <c r="B14" s="137">
        <f t="shared" si="0"/>
        <v>101.12359550561798</v>
      </c>
      <c r="C14" s="137">
        <v>106.5</v>
      </c>
    </row>
    <row r="15" spans="1:3" ht="12.75">
      <c r="A15">
        <v>2001</v>
      </c>
      <c r="B15" s="137">
        <f t="shared" si="0"/>
        <v>150.99394987035438</v>
      </c>
      <c r="C15">
        <v>109.3</v>
      </c>
    </row>
    <row r="16" spans="1:3" ht="12.75">
      <c r="A16">
        <v>2002</v>
      </c>
      <c r="B16" s="137">
        <f t="shared" si="0"/>
        <v>196.8020743301642</v>
      </c>
      <c r="C16" s="137">
        <v>112</v>
      </c>
    </row>
    <row r="17" spans="1:3" ht="12.75">
      <c r="A17">
        <v>2003</v>
      </c>
      <c r="B17" s="137">
        <f t="shared" si="0"/>
        <v>256.6983578219533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9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5.00390625" style="4" customWidth="1"/>
    <col min="3" max="3" width="4.57421875" style="4" customWidth="1"/>
    <col min="4" max="4" width="61.140625" style="5" customWidth="1"/>
    <col min="5" max="5" width="0.71875" style="0" customWidth="1"/>
    <col min="6" max="12" width="11.28125" style="6" customWidth="1"/>
    <col min="13" max="13" width="11.57421875" style="0" customWidth="1"/>
    <col min="14" max="14" width="7.7109375" style="0" customWidth="1"/>
    <col min="31" max="31" width="9.57421875" style="6" customWidth="1"/>
    <col min="32" max="32" width="8.7109375" style="6" customWidth="1"/>
  </cols>
  <sheetData>
    <row r="1" ht="20.25">
      <c r="A1" s="157" t="s">
        <v>176</v>
      </c>
    </row>
    <row r="2" spans="1:4" ht="20.25">
      <c r="A2" s="8"/>
      <c r="B2" s="8"/>
      <c r="C2" s="8"/>
      <c r="D2" s="9" t="s">
        <v>69</v>
      </c>
    </row>
    <row r="3" spans="1:32" ht="12.75">
      <c r="A3" s="14"/>
      <c r="B3" s="22"/>
      <c r="C3" s="14"/>
      <c r="D3" s="14"/>
      <c r="F3" s="63">
        <v>1997</v>
      </c>
      <c r="G3" s="63">
        <v>1998</v>
      </c>
      <c r="H3" s="63">
        <v>1999</v>
      </c>
      <c r="I3" s="63">
        <v>2000</v>
      </c>
      <c r="J3" s="149">
        <v>2001</v>
      </c>
      <c r="K3" s="149">
        <v>2002</v>
      </c>
      <c r="L3" s="149">
        <v>2003</v>
      </c>
      <c r="M3" s="17"/>
      <c r="AE3" s="15"/>
      <c r="AF3" s="16"/>
    </row>
    <row r="4" spans="1:32" ht="12.75">
      <c r="A4" s="160"/>
      <c r="B4" s="14"/>
      <c r="C4" s="14"/>
      <c r="D4" s="14"/>
      <c r="F4" s="64" t="s">
        <v>97</v>
      </c>
      <c r="G4" s="64" t="s">
        <v>97</v>
      </c>
      <c r="H4" s="64" t="s">
        <v>97</v>
      </c>
      <c r="I4" s="64" t="s">
        <v>97</v>
      </c>
      <c r="J4" s="64" t="s">
        <v>97</v>
      </c>
      <c r="K4" s="150" t="s">
        <v>97</v>
      </c>
      <c r="L4" s="150" t="s">
        <v>97</v>
      </c>
      <c r="M4" s="27"/>
      <c r="AD4" s="15"/>
      <c r="AE4" s="16"/>
      <c r="AF4"/>
    </row>
    <row r="5" spans="1:32" ht="12.75">
      <c r="A5" s="14"/>
      <c r="B5" s="14"/>
      <c r="C5" s="14"/>
      <c r="D5" s="14"/>
      <c r="F5" s="65" t="s">
        <v>148</v>
      </c>
      <c r="G5" s="65" t="s">
        <v>148</v>
      </c>
      <c r="H5" s="65" t="s">
        <v>148</v>
      </c>
      <c r="I5" s="65" t="s">
        <v>148</v>
      </c>
      <c r="J5" s="65" t="s">
        <v>148</v>
      </c>
      <c r="K5" s="67" t="s">
        <v>148</v>
      </c>
      <c r="L5" s="67" t="s">
        <v>148</v>
      </c>
      <c r="M5" s="27"/>
      <c r="AC5" s="15"/>
      <c r="AD5" s="16"/>
      <c r="AE5"/>
      <c r="AF5"/>
    </row>
    <row r="6" spans="1:29" s="3" customFormat="1" ht="12.75">
      <c r="A6" s="47" t="s">
        <v>0</v>
      </c>
      <c r="B6" s="48"/>
      <c r="C6" s="48"/>
      <c r="D6" s="49"/>
      <c r="E6" s="62"/>
      <c r="F6" s="50">
        <f aca="true" t="shared" si="0" ref="F6:K6">SUM(F7:F10)</f>
        <v>471</v>
      </c>
      <c r="G6" s="50">
        <f t="shared" si="0"/>
        <v>164</v>
      </c>
      <c r="H6" s="50">
        <f t="shared" si="0"/>
        <v>260</v>
      </c>
      <c r="I6" s="50">
        <f t="shared" si="0"/>
        <v>155</v>
      </c>
      <c r="J6" s="50">
        <f t="shared" si="0"/>
        <v>183</v>
      </c>
      <c r="K6" s="50">
        <f t="shared" si="0"/>
        <v>153</v>
      </c>
      <c r="L6" s="50">
        <f>SUM(L7:L10)</f>
        <v>270</v>
      </c>
      <c r="M6" s="6"/>
      <c r="N6" s="184"/>
      <c r="AB6" s="76"/>
      <c r="AC6" s="77"/>
    </row>
    <row r="7" spans="1:29" s="3" customFormat="1" ht="12.75">
      <c r="A7" s="18"/>
      <c r="B7" s="10" t="s">
        <v>0</v>
      </c>
      <c r="C7" s="40"/>
      <c r="D7" s="41"/>
      <c r="E7" s="78"/>
      <c r="F7" s="44">
        <f>+'Cons spec tot e finalizzati'!F10-'Cons spec tot e finalizzati'!G10</f>
        <v>3</v>
      </c>
      <c r="G7" s="44">
        <f>+'Cons spec tot e finalizzati'!H10-'Cons spec tot e finalizzati'!I10</f>
        <v>5</v>
      </c>
      <c r="H7" s="44">
        <f>+'Cons spec tot e finalizzati'!J10-'Cons spec tot e finalizzati'!K10</f>
        <v>2</v>
      </c>
      <c r="I7" s="44">
        <f>+'Cons spec tot e finalizzati'!L10-'Cons spec tot e finalizzati'!M10</f>
        <v>5</v>
      </c>
      <c r="J7" s="44">
        <f>+'Cons spec tot e finalizzati'!N10-'Cons spec tot e finalizzati'!O10</f>
        <v>56</v>
      </c>
      <c r="K7" s="44">
        <f>+'Cons spec tot e finalizzati'!P10-'Cons spec tot e finalizzati'!Q10</f>
        <v>80</v>
      </c>
      <c r="L7" s="44">
        <f>+'Cons spec tot e finalizzati'!R10-'Cons spec tot e finalizzati'!S10</f>
        <v>44</v>
      </c>
      <c r="M7" s="6"/>
      <c r="N7" s="184"/>
      <c r="AB7" s="79"/>
      <c r="AC7" s="80"/>
    </row>
    <row r="8" spans="1:29" s="3" customFormat="1" ht="12.75">
      <c r="A8" s="71"/>
      <c r="B8" s="59" t="s">
        <v>153</v>
      </c>
      <c r="C8" s="59"/>
      <c r="D8" s="72"/>
      <c r="E8" s="78"/>
      <c r="F8" s="44">
        <f>+'Cons spec tot e finalizzati'!F11-'Cons spec tot e finalizzati'!G11</f>
        <v>468</v>
      </c>
      <c r="G8" s="44">
        <f>+'Cons spec tot e finalizzati'!H11-'Cons spec tot e finalizzati'!I11</f>
        <v>159</v>
      </c>
      <c r="H8" s="44">
        <f>+'Cons spec tot e finalizzati'!J11-'Cons spec tot e finalizzati'!K11</f>
        <v>258</v>
      </c>
      <c r="I8" s="44">
        <f>+'Cons spec tot e finalizzati'!L11-'Cons spec tot e finalizzati'!M11</f>
        <v>150</v>
      </c>
      <c r="J8" s="44">
        <f>+'Cons spec tot e finalizzati'!N11-'Cons spec tot e finalizzati'!O11</f>
        <v>127</v>
      </c>
      <c r="K8" s="44">
        <f>+'Cons spec tot e finalizzati'!P11-'Cons spec tot e finalizzati'!Q11</f>
        <v>73</v>
      </c>
      <c r="L8" s="44">
        <f>+'Cons spec tot e finalizzati'!R11-'Cons spec tot e finalizzati'!S11</f>
        <v>71</v>
      </c>
      <c r="M8" s="6"/>
      <c r="N8" s="184"/>
      <c r="AB8" s="108"/>
      <c r="AC8" s="109"/>
    </row>
    <row r="9" spans="1:29" s="3" customFormat="1" ht="12.75">
      <c r="A9" s="71"/>
      <c r="B9" s="59" t="s">
        <v>110</v>
      </c>
      <c r="C9" s="59"/>
      <c r="D9" s="72"/>
      <c r="E9" s="62"/>
      <c r="F9" s="44">
        <f>+'Cons spec tot e finalizzati'!F12-'Cons spec tot e finalizzati'!G12</f>
        <v>0</v>
      </c>
      <c r="G9" s="44">
        <f>+'Cons spec tot e finalizzati'!H12-'Cons spec tot e finalizzati'!I12</f>
        <v>0</v>
      </c>
      <c r="H9" s="44">
        <f>+'Cons spec tot e finalizzati'!J12-'Cons spec tot e finalizzati'!K12</f>
        <v>0</v>
      </c>
      <c r="I9" s="44">
        <f>+'Cons spec tot e finalizzati'!L12-'Cons spec tot e finalizzati'!M12</f>
        <v>0</v>
      </c>
      <c r="J9" s="44">
        <f>+'Cons spec tot e finalizzati'!N12-'Cons spec tot e finalizzati'!O12</f>
        <v>0</v>
      </c>
      <c r="K9" s="44">
        <f>+'Cons spec tot e finalizzati'!P12-'Cons spec tot e finalizzati'!Q12</f>
        <v>0</v>
      </c>
      <c r="L9" s="44">
        <f>+'Cons spec tot e finalizzati'!R12-'Cons spec tot e finalizzati'!S12</f>
        <v>0</v>
      </c>
      <c r="M9" s="6"/>
      <c r="N9" s="184"/>
      <c r="AB9" s="82"/>
      <c r="AC9" s="83"/>
    </row>
    <row r="10" spans="1:29" s="3" customFormat="1" ht="12.75">
      <c r="A10" s="71"/>
      <c r="B10" s="59" t="s">
        <v>111</v>
      </c>
      <c r="C10" s="59"/>
      <c r="D10" s="72"/>
      <c r="F10" s="44">
        <f>+'Cons spec tot e finalizzati'!F13-'Cons spec tot e finalizzati'!G13</f>
        <v>0</v>
      </c>
      <c r="G10" s="44">
        <f>+'Cons spec tot e finalizzati'!H13-'Cons spec tot e finalizzati'!I13</f>
        <v>0</v>
      </c>
      <c r="H10" s="44">
        <f>+'Cons spec tot e finalizzati'!J13-'Cons spec tot e finalizzati'!K13</f>
        <v>0</v>
      </c>
      <c r="I10" s="44">
        <f>+'Cons spec tot e finalizzati'!L13-'Cons spec tot e finalizzati'!M13</f>
        <v>0</v>
      </c>
      <c r="J10" s="44">
        <f>+'Cons spec tot e finalizzati'!N13-'Cons spec tot e finalizzati'!O13</f>
        <v>0</v>
      </c>
      <c r="K10" s="44">
        <f>+'Cons spec tot e finalizzati'!P13-'Cons spec tot e finalizzati'!Q13</f>
        <v>0</v>
      </c>
      <c r="L10" s="44">
        <f>+'Cons spec tot e finalizzati'!R13-'Cons spec tot e finalizzati'!S13</f>
        <v>155</v>
      </c>
      <c r="M10" s="6"/>
      <c r="N10" s="184"/>
      <c r="AB10" s="82"/>
      <c r="AC10" s="83"/>
    </row>
    <row r="11" spans="1:29" s="3" customFormat="1" ht="12.75">
      <c r="A11" s="47" t="s">
        <v>1</v>
      </c>
      <c r="B11" s="48"/>
      <c r="C11" s="48"/>
      <c r="D11" s="49"/>
      <c r="F11" s="50">
        <f aca="true" t="shared" si="1" ref="F11:K11">SUM(F12:F19)</f>
        <v>1157</v>
      </c>
      <c r="G11" s="50">
        <f t="shared" si="1"/>
        <v>1378</v>
      </c>
      <c r="H11" s="50">
        <f t="shared" si="1"/>
        <v>1251</v>
      </c>
      <c r="I11" s="50">
        <f t="shared" si="1"/>
        <v>1170</v>
      </c>
      <c r="J11" s="50">
        <f t="shared" si="1"/>
        <v>1747</v>
      </c>
      <c r="K11" s="50">
        <f t="shared" si="1"/>
        <v>2277</v>
      </c>
      <c r="L11" s="50">
        <f>SUM(L12:L19)</f>
        <v>2970</v>
      </c>
      <c r="M11" s="6"/>
      <c r="N11" s="184"/>
      <c r="AB11" s="82"/>
      <c r="AC11" s="83"/>
    </row>
    <row r="12" spans="1:29" s="3" customFormat="1" ht="12.75">
      <c r="A12" s="73"/>
      <c r="B12" s="59" t="s">
        <v>154</v>
      </c>
      <c r="C12" s="59"/>
      <c r="D12" s="72"/>
      <c r="F12" s="44">
        <f>+'Cons spec tot e finalizzati'!F15-'Cons spec tot e finalizzati'!G15</f>
        <v>716</v>
      </c>
      <c r="G12" s="44">
        <f>+'Cons spec tot e finalizzati'!H15-'Cons spec tot e finalizzati'!I15</f>
        <v>692</v>
      </c>
      <c r="H12" s="44">
        <f>+'Cons spec tot e finalizzati'!J15-'Cons spec tot e finalizzati'!K15</f>
        <v>568</v>
      </c>
      <c r="I12" s="44">
        <f>+'Cons spec tot e finalizzati'!L15-'Cons spec tot e finalizzati'!M15</f>
        <v>504</v>
      </c>
      <c r="J12" s="44">
        <f>+'Cons spec tot e finalizzati'!N15-'Cons spec tot e finalizzati'!O15</f>
        <v>817</v>
      </c>
      <c r="K12" s="44">
        <f>+'Cons spec tot e finalizzati'!P15-'Cons spec tot e finalizzati'!Q15</f>
        <v>625</v>
      </c>
      <c r="L12" s="44">
        <f>+'Cons spec tot e finalizzati'!R15-'Cons spec tot e finalizzati'!S15</f>
        <v>321</v>
      </c>
      <c r="M12" s="6"/>
      <c r="N12" s="184"/>
      <c r="AB12" s="82"/>
      <c r="AC12" s="83"/>
    </row>
    <row r="13" spans="1:29" s="3" customFormat="1" ht="12.75">
      <c r="A13" s="73"/>
      <c r="B13" s="59" t="s">
        <v>182</v>
      </c>
      <c r="C13" s="59"/>
      <c r="D13" s="72"/>
      <c r="F13" s="44">
        <f>+'Cons spec tot e finalizzati'!F16-'Cons spec tot e finalizzati'!G16</f>
        <v>0</v>
      </c>
      <c r="G13" s="44">
        <f>+'Cons spec tot e finalizzati'!H16-'Cons spec tot e finalizzati'!I16</f>
        <v>0</v>
      </c>
      <c r="H13" s="44">
        <f>+'Cons spec tot e finalizzati'!J16-'Cons spec tot e finalizzati'!K16</f>
        <v>0</v>
      </c>
      <c r="I13" s="44">
        <f>+'Cons spec tot e finalizzati'!L16-'Cons spec tot e finalizzati'!M16</f>
        <v>0</v>
      </c>
      <c r="J13" s="44">
        <f>+'Cons spec tot e finalizzati'!N16-'Cons spec tot e finalizzati'!O16</f>
        <v>0</v>
      </c>
      <c r="K13" s="44">
        <f>+'Cons spec tot e finalizzati'!P16-'Cons spec tot e finalizzati'!Q16</f>
        <v>655</v>
      </c>
      <c r="L13" s="44">
        <f>+'Cons spec tot e finalizzati'!R16-'Cons spec tot e finalizzati'!S16</f>
        <v>1469</v>
      </c>
      <c r="M13" s="6"/>
      <c r="N13" s="184"/>
      <c r="AB13" s="82"/>
      <c r="AC13" s="83"/>
    </row>
    <row r="14" spans="1:29" s="3" customFormat="1" ht="12.75">
      <c r="A14" s="25"/>
      <c r="B14" s="19" t="s">
        <v>5</v>
      </c>
      <c r="C14" s="19"/>
      <c r="D14" s="26"/>
      <c r="F14" s="44">
        <f>+'Cons spec tot e finalizzati'!F17-'Cons spec tot e finalizzati'!G17</f>
        <v>0</v>
      </c>
      <c r="G14" s="44">
        <f>+'Cons spec tot e finalizzati'!H17-'Cons spec tot e finalizzati'!I17</f>
        <v>0</v>
      </c>
      <c r="H14" s="44">
        <f>+'Cons spec tot e finalizzati'!J17-'Cons spec tot e finalizzati'!K17</f>
        <v>0</v>
      </c>
      <c r="I14" s="44">
        <f>+'Cons spec tot e finalizzati'!L17-'Cons spec tot e finalizzati'!M17</f>
        <v>0</v>
      </c>
      <c r="J14" s="44">
        <f>+'Cons spec tot e finalizzati'!N17-'Cons spec tot e finalizzati'!O17</f>
        <v>0</v>
      </c>
      <c r="K14" s="44">
        <f>+'Cons spec tot e finalizzati'!P17-'Cons spec tot e finalizzati'!Q17</f>
        <v>0</v>
      </c>
      <c r="L14" s="44">
        <f>+'Cons spec tot e finalizzati'!R17-'Cons spec tot e finalizzati'!S17</f>
        <v>0</v>
      </c>
      <c r="M14" s="6"/>
      <c r="N14" s="184"/>
      <c r="AB14" s="82"/>
      <c r="AC14" s="83"/>
    </row>
    <row r="15" spans="1:29" s="3" customFormat="1" ht="12.75">
      <c r="A15" s="73"/>
      <c r="B15" s="58" t="s">
        <v>167</v>
      </c>
      <c r="C15" s="61"/>
      <c r="D15" s="84"/>
      <c r="F15" s="44">
        <f>+'Cons spec tot e finalizzati'!F18-'Cons spec tot e finalizzati'!G18</f>
        <v>232</v>
      </c>
      <c r="G15" s="44">
        <f>+'Cons spec tot e finalizzati'!H18-'Cons spec tot e finalizzati'!I18</f>
        <v>247</v>
      </c>
      <c r="H15" s="44">
        <f>+'Cons spec tot e finalizzati'!J18-'Cons spec tot e finalizzati'!K18</f>
        <v>258</v>
      </c>
      <c r="I15" s="44">
        <f>+'Cons spec tot e finalizzati'!L18-'Cons spec tot e finalizzati'!M18</f>
        <v>278</v>
      </c>
      <c r="J15" s="44">
        <f>+'Cons spec tot e finalizzati'!N18-'Cons spec tot e finalizzati'!O18</f>
        <v>233</v>
      </c>
      <c r="K15" s="44">
        <f>+'Cons spec tot e finalizzati'!P18-'Cons spec tot e finalizzati'!Q18</f>
        <v>231</v>
      </c>
      <c r="L15" s="44">
        <f>+'Cons spec tot e finalizzati'!R18-'Cons spec tot e finalizzati'!S18</f>
        <v>272</v>
      </c>
      <c r="M15" s="6"/>
      <c r="N15" s="184"/>
      <c r="AB15" s="82"/>
      <c r="AC15" s="83"/>
    </row>
    <row r="16" spans="1:29" s="3" customFormat="1" ht="12.75">
      <c r="A16" s="73"/>
      <c r="B16" s="59" t="s">
        <v>2</v>
      </c>
      <c r="C16" s="59"/>
      <c r="D16" s="72"/>
      <c r="E16" s="85"/>
      <c r="F16" s="44">
        <f>+'Cons spec tot e finalizzati'!F19-'Cons spec tot e finalizzati'!G19</f>
        <v>209</v>
      </c>
      <c r="G16" s="44">
        <f>+'Cons spec tot e finalizzati'!H19-'Cons spec tot e finalizzati'!I19</f>
        <v>439</v>
      </c>
      <c r="H16" s="44">
        <f>+'Cons spec tot e finalizzati'!J19-'Cons spec tot e finalizzati'!K19</f>
        <v>290</v>
      </c>
      <c r="I16" s="44">
        <f>+'Cons spec tot e finalizzati'!L19-'Cons spec tot e finalizzati'!M19</f>
        <v>177</v>
      </c>
      <c r="J16" s="44">
        <f>+'Cons spec tot e finalizzati'!N19-'Cons spec tot e finalizzati'!O19</f>
        <v>315</v>
      </c>
      <c r="K16" s="44">
        <f>+'Cons spec tot e finalizzati'!P19-'Cons spec tot e finalizzati'!Q19</f>
        <v>318</v>
      </c>
      <c r="L16" s="44">
        <f>+'Cons spec tot e finalizzati'!R19-'Cons spec tot e finalizzati'!S19</f>
        <v>271</v>
      </c>
      <c r="M16" s="6"/>
      <c r="N16" s="184"/>
      <c r="AB16" s="86"/>
      <c r="AC16" s="87"/>
    </row>
    <row r="17" spans="1:29" s="3" customFormat="1" ht="12.75">
      <c r="A17" s="25"/>
      <c r="B17" s="19" t="s">
        <v>3</v>
      </c>
      <c r="C17" s="19"/>
      <c r="D17" s="26"/>
      <c r="F17" s="44">
        <f>+'Cons spec tot e finalizzati'!F20-'Cons spec tot e finalizzati'!G20</f>
        <v>0</v>
      </c>
      <c r="G17" s="44">
        <f>+'Cons spec tot e finalizzati'!H20-'Cons spec tot e finalizzati'!I20</f>
        <v>0</v>
      </c>
      <c r="H17" s="44">
        <f>+'Cons spec tot e finalizzati'!J20-'Cons spec tot e finalizzati'!K20</f>
        <v>135</v>
      </c>
      <c r="I17" s="44">
        <f>+'Cons spec tot e finalizzati'!L20-'Cons spec tot e finalizzati'!M20</f>
        <v>211</v>
      </c>
      <c r="J17" s="44">
        <f>+'Cons spec tot e finalizzati'!N20-'Cons spec tot e finalizzati'!O20</f>
        <v>382</v>
      </c>
      <c r="K17" s="44">
        <f>+'Cons spec tot e finalizzati'!P20-'Cons spec tot e finalizzati'!Q20</f>
        <v>234</v>
      </c>
      <c r="L17" s="44">
        <f>+'Cons spec tot e finalizzati'!R20-'Cons spec tot e finalizzati'!S20</f>
        <v>442</v>
      </c>
      <c r="M17" s="6"/>
      <c r="N17" s="184"/>
      <c r="AB17" s="76"/>
      <c r="AC17" s="88"/>
    </row>
    <row r="18" spans="1:29" s="62" customFormat="1" ht="12.75">
      <c r="A18" s="25"/>
      <c r="B18" s="19" t="s">
        <v>112</v>
      </c>
      <c r="C18" s="19"/>
      <c r="D18" s="26"/>
      <c r="E18" s="3"/>
      <c r="F18" s="44">
        <f>+'Cons spec tot e finalizzati'!F21-'Cons spec tot e finalizzati'!G21</f>
        <v>0</v>
      </c>
      <c r="G18" s="44">
        <f>+'Cons spec tot e finalizzati'!H21-'Cons spec tot e finalizzati'!I21</f>
        <v>0</v>
      </c>
      <c r="H18" s="44">
        <f>+'Cons spec tot e finalizzati'!J21-'Cons spec tot e finalizzati'!K21</f>
        <v>0</v>
      </c>
      <c r="I18" s="44">
        <f>+'Cons spec tot e finalizzati'!L21-'Cons spec tot e finalizzati'!M21</f>
        <v>0</v>
      </c>
      <c r="J18" s="44">
        <f>+'Cons spec tot e finalizzati'!N21-'Cons spec tot e finalizzati'!O21</f>
        <v>0</v>
      </c>
      <c r="K18" s="44">
        <f>+'Cons spec tot e finalizzati'!P21-'Cons spec tot e finalizzati'!Q21</f>
        <v>214</v>
      </c>
      <c r="L18" s="44">
        <f>+'Cons spec tot e finalizzati'!R21-'Cons spec tot e finalizzati'!S21</f>
        <v>195</v>
      </c>
      <c r="M18" s="6"/>
      <c r="N18" s="184"/>
      <c r="AB18" s="89"/>
      <c r="AC18" s="90"/>
    </row>
    <row r="19" spans="1:29" s="3" customFormat="1" ht="12.75">
      <c r="A19" s="25"/>
      <c r="B19" s="19" t="s">
        <v>4</v>
      </c>
      <c r="C19" s="19"/>
      <c r="D19" s="26"/>
      <c r="F19" s="44">
        <f>+'Cons spec tot e finalizzati'!F22-'Cons spec tot e finalizzati'!G22</f>
        <v>0</v>
      </c>
      <c r="G19" s="44">
        <f>+'Cons spec tot e finalizzati'!H22-'Cons spec tot e finalizzati'!I22</f>
        <v>0</v>
      </c>
      <c r="H19" s="44">
        <f>+'Cons spec tot e finalizzati'!J22-'Cons spec tot e finalizzati'!K22</f>
        <v>0</v>
      </c>
      <c r="I19" s="44">
        <f>+'Cons spec tot e finalizzati'!L22-'Cons spec tot e finalizzati'!M22</f>
        <v>0</v>
      </c>
      <c r="J19" s="44">
        <f>+'Cons spec tot e finalizzati'!N22-'Cons spec tot e finalizzati'!O22</f>
        <v>0</v>
      </c>
      <c r="K19" s="44">
        <f>+'Cons spec tot e finalizzati'!P22-'Cons spec tot e finalizzati'!Q22</f>
        <v>0</v>
      </c>
      <c r="L19" s="44">
        <f>+'Cons spec tot e finalizzati'!R22-'Cons spec tot e finalizzati'!S22</f>
        <v>0</v>
      </c>
      <c r="M19" s="6"/>
      <c r="N19" s="184"/>
      <c r="AB19" s="76"/>
      <c r="AC19" s="88"/>
    </row>
    <row r="20" spans="1:29" s="3" customFormat="1" ht="12.75">
      <c r="A20" s="47" t="s">
        <v>6</v>
      </c>
      <c r="B20" s="48"/>
      <c r="C20" s="53"/>
      <c r="D20" s="54"/>
      <c r="F20" s="55">
        <f>+'Cons spec tot e finalizzati'!F23-'Cons spec tot e finalizzati'!G23</f>
        <v>303</v>
      </c>
      <c r="G20" s="55">
        <f>+'Cons spec tot e finalizzati'!H23-'Cons spec tot e finalizzati'!I23</f>
        <v>334</v>
      </c>
      <c r="H20" s="55">
        <f>+'Cons spec tot e finalizzati'!J23-'Cons spec tot e finalizzati'!K23</f>
        <v>315</v>
      </c>
      <c r="I20" s="55">
        <f>+'Cons spec tot e finalizzati'!L23-'Cons spec tot e finalizzati'!M23</f>
        <v>361</v>
      </c>
      <c r="J20" s="55">
        <f>+'Cons spec tot e finalizzati'!N23-'Cons spec tot e finalizzati'!O23</f>
        <v>339</v>
      </c>
      <c r="K20" s="55">
        <f>+'Cons spec tot e finalizzati'!P23-'Cons spec tot e finalizzati'!Q23</f>
        <v>265</v>
      </c>
      <c r="L20" s="55">
        <f>+'Cons spec tot e finalizzati'!R23-'Cons spec tot e finalizzati'!S23</f>
        <v>250</v>
      </c>
      <c r="M20" s="6"/>
      <c r="N20" s="184"/>
      <c r="AB20" s="76"/>
      <c r="AC20" s="88"/>
    </row>
    <row r="21" spans="1:29" s="3" customFormat="1" ht="12.75">
      <c r="A21" s="47" t="s">
        <v>7</v>
      </c>
      <c r="B21" s="48"/>
      <c r="C21" s="53"/>
      <c r="D21" s="54"/>
      <c r="F21" s="55">
        <f>+'Cons spec tot e finalizzati'!F24-'Cons spec tot e finalizzati'!G24</f>
        <v>98</v>
      </c>
      <c r="G21" s="55">
        <f>+'Cons spec tot e finalizzati'!H24-'Cons spec tot e finalizzati'!I24</f>
        <v>98</v>
      </c>
      <c r="H21" s="55">
        <f>+'Cons spec tot e finalizzati'!J24-'Cons spec tot e finalizzati'!K24</f>
        <v>160</v>
      </c>
      <c r="I21" s="55">
        <f>+'Cons spec tot e finalizzati'!L24-'Cons spec tot e finalizzati'!M24</f>
        <v>124</v>
      </c>
      <c r="J21" s="55">
        <f>+'Cons spec tot e finalizzati'!N24-'Cons spec tot e finalizzati'!O24</f>
        <v>115</v>
      </c>
      <c r="K21" s="55">
        <f>+'Cons spec tot e finalizzati'!P24-'Cons spec tot e finalizzati'!Q24</f>
        <v>92</v>
      </c>
      <c r="L21" s="55">
        <f>+'Cons spec tot e finalizzati'!R24-'Cons spec tot e finalizzati'!S24</f>
        <v>87</v>
      </c>
      <c r="M21" s="6"/>
      <c r="N21" s="184"/>
      <c r="AB21" s="76"/>
      <c r="AC21" s="88"/>
    </row>
    <row r="22" spans="1:29" s="3" customFormat="1" ht="12.75">
      <c r="A22" s="47" t="s">
        <v>155</v>
      </c>
      <c r="B22" s="48"/>
      <c r="C22" s="53"/>
      <c r="D22" s="54"/>
      <c r="F22" s="55">
        <f>+'Cons spec tot e finalizzati'!F25-'Cons spec tot e finalizzati'!G25</f>
        <v>187</v>
      </c>
      <c r="G22" s="55">
        <f>+'Cons spec tot e finalizzati'!H25-'Cons spec tot e finalizzati'!I25</f>
        <v>278</v>
      </c>
      <c r="H22" s="55">
        <f>+'Cons spec tot e finalizzati'!J25-'Cons spec tot e finalizzati'!K25</f>
        <v>315</v>
      </c>
      <c r="I22" s="55">
        <f>+'Cons spec tot e finalizzati'!L25-'Cons spec tot e finalizzati'!M25</f>
        <v>227</v>
      </c>
      <c r="J22" s="55">
        <f>+'Cons spec tot e finalizzati'!N25-'Cons spec tot e finalizzati'!O25</f>
        <v>239</v>
      </c>
      <c r="K22" s="55">
        <f>+'Cons spec tot e finalizzati'!P25-'Cons spec tot e finalizzati'!Q25</f>
        <v>280</v>
      </c>
      <c r="L22" s="55">
        <f>+'Cons spec tot e finalizzati'!R25-'Cons spec tot e finalizzati'!S25</f>
        <v>265</v>
      </c>
      <c r="M22" s="6"/>
      <c r="N22" s="184"/>
      <c r="AB22" s="76"/>
      <c r="AC22" s="88"/>
    </row>
    <row r="23" spans="1:29" s="3" customFormat="1" ht="12.75">
      <c r="A23" s="47" t="s">
        <v>156</v>
      </c>
      <c r="B23" s="48"/>
      <c r="C23" s="53"/>
      <c r="D23" s="54"/>
      <c r="F23" s="55">
        <f>+'Cons spec tot e finalizzati'!F26-'Cons spec tot e finalizzati'!G26</f>
        <v>0</v>
      </c>
      <c r="G23" s="55">
        <f>+'Cons spec tot e finalizzati'!H26-'Cons spec tot e finalizzati'!I26</f>
        <v>0</v>
      </c>
      <c r="H23" s="55">
        <f>+'Cons spec tot e finalizzati'!J26-'Cons spec tot e finalizzati'!K26</f>
        <v>0</v>
      </c>
      <c r="I23" s="55">
        <f>+'Cons spec tot e finalizzati'!L26-'Cons spec tot e finalizzati'!M26</f>
        <v>250</v>
      </c>
      <c r="J23" s="55">
        <f>+'Cons spec tot e finalizzati'!N26-'Cons spec tot e finalizzati'!O26</f>
        <v>874</v>
      </c>
      <c r="K23" s="55">
        <f>+'Cons spec tot e finalizzati'!P26-'Cons spec tot e finalizzati'!Q26</f>
        <v>810</v>
      </c>
      <c r="L23" s="55">
        <f>+'Cons spec tot e finalizzati'!R26-'Cons spec tot e finalizzati'!S26</f>
        <v>916</v>
      </c>
      <c r="M23" s="6"/>
      <c r="N23" s="184"/>
      <c r="AB23" s="76"/>
      <c r="AC23" s="88"/>
    </row>
    <row r="24" spans="1:29" s="3" customFormat="1" ht="12.75">
      <c r="A24" s="47" t="s">
        <v>8</v>
      </c>
      <c r="B24" s="48"/>
      <c r="C24" s="48"/>
      <c r="D24" s="49"/>
      <c r="F24" s="57">
        <f aca="true" t="shared" si="2" ref="F24:K24">SUM(F25:F31)</f>
        <v>784</v>
      </c>
      <c r="G24" s="57">
        <f t="shared" si="2"/>
        <v>722</v>
      </c>
      <c r="H24" s="57">
        <f t="shared" si="2"/>
        <v>999</v>
      </c>
      <c r="I24" s="57">
        <f t="shared" si="2"/>
        <v>1194</v>
      </c>
      <c r="J24" s="57">
        <f t="shared" si="2"/>
        <v>1101</v>
      </c>
      <c r="K24" s="57">
        <f t="shared" si="2"/>
        <v>1440</v>
      </c>
      <c r="L24" s="57">
        <f>SUM(L25:L31)</f>
        <v>307</v>
      </c>
      <c r="M24" s="6"/>
      <c r="N24" s="184"/>
      <c r="AB24" s="79"/>
      <c r="AC24" s="80"/>
    </row>
    <row r="25" spans="1:29" s="3" customFormat="1" ht="12.75">
      <c r="A25" s="71"/>
      <c r="B25" s="59" t="s">
        <v>9</v>
      </c>
      <c r="C25" s="59"/>
      <c r="D25" s="72"/>
      <c r="F25" s="44">
        <f>+'Cons spec tot e finalizzati'!F28-'Cons spec tot e finalizzati'!G28</f>
        <v>199</v>
      </c>
      <c r="G25" s="44">
        <f>+'Cons spec tot e finalizzati'!H28-'Cons spec tot e finalizzati'!I28</f>
        <v>154</v>
      </c>
      <c r="H25" s="44">
        <f>+'Cons spec tot e finalizzati'!J28-'Cons spec tot e finalizzati'!K28</f>
        <v>200</v>
      </c>
      <c r="I25" s="44">
        <f>+'Cons spec tot e finalizzati'!L28-'Cons spec tot e finalizzati'!M28</f>
        <v>79</v>
      </c>
      <c r="J25" s="44">
        <f>+'Cons spec tot e finalizzati'!N28-'Cons spec tot e finalizzati'!O28</f>
        <v>98</v>
      </c>
      <c r="K25" s="44">
        <f>+'Cons spec tot e finalizzati'!P28-'Cons spec tot e finalizzati'!Q28</f>
        <v>44</v>
      </c>
      <c r="L25" s="44">
        <f>+'Cons spec tot e finalizzati'!R28-'Cons spec tot e finalizzati'!S28</f>
        <v>36</v>
      </c>
      <c r="M25" s="6"/>
      <c r="N25" s="184"/>
      <c r="AB25" s="82"/>
      <c r="AC25" s="83"/>
    </row>
    <row r="26" spans="1:29" s="3" customFormat="1" ht="12.75">
      <c r="A26" s="71"/>
      <c r="B26" s="61" t="s">
        <v>177</v>
      </c>
      <c r="C26" s="59"/>
      <c r="D26" s="72"/>
      <c r="F26" s="44">
        <f>+'Cons spec tot e finalizzati'!F29-'Cons spec tot e finalizzati'!G29</f>
        <v>4</v>
      </c>
      <c r="G26" s="44">
        <f>+'Cons spec tot e finalizzati'!H29-'Cons spec tot e finalizzati'!I29</f>
        <v>10</v>
      </c>
      <c r="H26" s="44">
        <f>+'Cons spec tot e finalizzati'!J29-'Cons spec tot e finalizzati'!K29</f>
        <v>24</v>
      </c>
      <c r="I26" s="44">
        <f>+'Cons spec tot e finalizzati'!L29-'Cons spec tot e finalizzati'!M29</f>
        <v>23</v>
      </c>
      <c r="J26" s="44">
        <f>+'Cons spec tot e finalizzati'!N29-'Cons spec tot e finalizzati'!O29</f>
        <v>0</v>
      </c>
      <c r="K26" s="44">
        <f>+'Cons spec tot e finalizzati'!P29-'Cons spec tot e finalizzati'!Q29</f>
        <v>0</v>
      </c>
      <c r="L26" s="44">
        <f>+'Cons spec tot e finalizzati'!R29-'Cons spec tot e finalizzati'!S29</f>
        <v>0</v>
      </c>
      <c r="M26" s="6"/>
      <c r="N26" s="184"/>
      <c r="AB26" s="82"/>
      <c r="AC26" s="83"/>
    </row>
    <row r="27" spans="1:29" s="3" customFormat="1" ht="12.75">
      <c r="A27" s="71"/>
      <c r="B27" s="61" t="s">
        <v>157</v>
      </c>
      <c r="C27" s="61"/>
      <c r="D27" s="84"/>
      <c r="F27" s="44">
        <f>+'Cons spec tot e finalizzati'!F30-'Cons spec tot e finalizzati'!G30</f>
        <v>144</v>
      </c>
      <c r="G27" s="44">
        <f>+'Cons spec tot e finalizzati'!H30-'Cons spec tot e finalizzati'!I30</f>
        <v>103</v>
      </c>
      <c r="H27" s="44">
        <f>+'Cons spec tot e finalizzati'!J30-'Cons spec tot e finalizzati'!K30</f>
        <v>96</v>
      </c>
      <c r="I27" s="44">
        <f>+'Cons spec tot e finalizzati'!L30-'Cons spec tot e finalizzati'!M30</f>
        <v>0</v>
      </c>
      <c r="J27" s="44">
        <f>+'Cons spec tot e finalizzati'!N30-'Cons spec tot e finalizzati'!O30</f>
        <v>0</v>
      </c>
      <c r="K27" s="44">
        <f>+'Cons spec tot e finalizzati'!P30-'Cons spec tot e finalizzati'!Q30</f>
        <v>0</v>
      </c>
      <c r="L27" s="44">
        <f>+'Cons spec tot e finalizzati'!R30-'Cons spec tot e finalizzati'!S30</f>
        <v>0</v>
      </c>
      <c r="M27" s="6"/>
      <c r="N27" s="184"/>
      <c r="AB27" s="82"/>
      <c r="AC27" s="83"/>
    </row>
    <row r="28" spans="1:29" s="3" customFormat="1" ht="12.75">
      <c r="A28" s="71"/>
      <c r="B28" s="59" t="s">
        <v>174</v>
      </c>
      <c r="C28" s="59"/>
      <c r="D28" s="72"/>
      <c r="F28" s="44">
        <f>+'Cons spec tot e finalizzati'!F31-'Cons spec tot e finalizzati'!G31</f>
        <v>98</v>
      </c>
      <c r="G28" s="44">
        <f>+'Cons spec tot e finalizzati'!H31-'Cons spec tot e finalizzati'!I31</f>
        <v>223</v>
      </c>
      <c r="H28" s="44">
        <f>+'Cons spec tot e finalizzati'!J31-'Cons spec tot e finalizzati'!K31</f>
        <v>139</v>
      </c>
      <c r="I28" s="44">
        <f>+'Cons spec tot e finalizzati'!L31-'Cons spec tot e finalizzati'!M31</f>
        <v>133</v>
      </c>
      <c r="J28" s="44">
        <f>+'Cons spec tot e finalizzati'!N31-'Cons spec tot e finalizzati'!O31</f>
        <v>127</v>
      </c>
      <c r="K28" s="44">
        <f>+'Cons spec tot e finalizzati'!P31-'Cons spec tot e finalizzati'!Q31</f>
        <v>116</v>
      </c>
      <c r="L28" s="44">
        <f>+'Cons spec tot e finalizzati'!R31-'Cons spec tot e finalizzati'!S31</f>
        <v>131</v>
      </c>
      <c r="M28" s="6"/>
      <c r="N28" s="184"/>
      <c r="AB28" s="82"/>
      <c r="AC28" s="83"/>
    </row>
    <row r="29" spans="1:29" s="3" customFormat="1" ht="12.75">
      <c r="A29" s="71"/>
      <c r="B29" s="59" t="s">
        <v>113</v>
      </c>
      <c r="C29" s="59"/>
      <c r="D29" s="72"/>
      <c r="E29" s="85"/>
      <c r="F29" s="44">
        <f>+'Cons spec tot e finalizzati'!F32-'Cons spec tot e finalizzati'!G32</f>
        <v>339</v>
      </c>
      <c r="G29" s="44">
        <f>+'Cons spec tot e finalizzati'!H32-'Cons spec tot e finalizzati'!I32</f>
        <v>232</v>
      </c>
      <c r="H29" s="44">
        <f>+'Cons spec tot e finalizzati'!J32-'Cons spec tot e finalizzati'!K32</f>
        <v>540</v>
      </c>
      <c r="I29" s="44">
        <f>+'Cons spec tot e finalizzati'!L32-'Cons spec tot e finalizzati'!M32</f>
        <v>959</v>
      </c>
      <c r="J29" s="44">
        <f>+'Cons spec tot e finalizzati'!N32-'Cons spec tot e finalizzati'!O32</f>
        <v>876</v>
      </c>
      <c r="K29" s="44">
        <f>+'Cons spec tot e finalizzati'!P32-'Cons spec tot e finalizzati'!Q32</f>
        <v>1280</v>
      </c>
      <c r="L29" s="44">
        <f>+'Cons spec tot e finalizzati'!R32-'Cons spec tot e finalizzati'!S32</f>
        <v>140</v>
      </c>
      <c r="M29" s="6"/>
      <c r="N29" s="184"/>
      <c r="AB29" s="82"/>
      <c r="AC29" s="83"/>
    </row>
    <row r="30" spans="1:29" s="3" customFormat="1" ht="12.75">
      <c r="A30" s="71"/>
      <c r="B30" s="59" t="s">
        <v>114</v>
      </c>
      <c r="C30" s="59"/>
      <c r="D30" s="72"/>
      <c r="F30" s="44">
        <f>+'Cons spec tot e finalizzati'!F33-'Cons spec tot e finalizzati'!G33</f>
        <v>0</v>
      </c>
      <c r="G30" s="44">
        <f>+'Cons spec tot e finalizzati'!H33-'Cons spec tot e finalizzati'!I33</f>
        <v>0</v>
      </c>
      <c r="H30" s="44">
        <f>+'Cons spec tot e finalizzati'!J33-'Cons spec tot e finalizzati'!K33</f>
        <v>0</v>
      </c>
      <c r="I30" s="44">
        <f>+'Cons spec tot e finalizzati'!L33-'Cons spec tot e finalizzati'!M33</f>
        <v>0</v>
      </c>
      <c r="J30" s="44">
        <f>+'Cons spec tot e finalizzati'!N33-'Cons spec tot e finalizzati'!O33</f>
        <v>0</v>
      </c>
      <c r="K30" s="44">
        <f>+'Cons spec tot e finalizzati'!P33-'Cons spec tot e finalizzati'!Q33</f>
        <v>0</v>
      </c>
      <c r="L30" s="44">
        <f>+'Cons spec tot e finalizzati'!R33-'Cons spec tot e finalizzati'!S33</f>
        <v>0</v>
      </c>
      <c r="M30" s="6"/>
      <c r="N30" s="184"/>
      <c r="AB30" s="86"/>
      <c r="AC30" s="87"/>
    </row>
    <row r="31" spans="1:29" s="3" customFormat="1" ht="12.75">
      <c r="A31" s="28"/>
      <c r="B31" s="19" t="s">
        <v>95</v>
      </c>
      <c r="C31" s="19"/>
      <c r="D31" s="26"/>
      <c r="F31" s="44">
        <f>+'Cons spec tot e finalizzati'!F34-'Cons spec tot e finalizzati'!G34</f>
        <v>0</v>
      </c>
      <c r="G31" s="44">
        <f>+'Cons spec tot e finalizzati'!H34-'Cons spec tot e finalizzati'!I34</f>
        <v>0</v>
      </c>
      <c r="H31" s="44">
        <f>+'Cons spec tot e finalizzati'!J34-'Cons spec tot e finalizzati'!K34</f>
        <v>0</v>
      </c>
      <c r="I31" s="44">
        <f>+'Cons spec tot e finalizzati'!L34-'Cons spec tot e finalizzati'!M34</f>
        <v>0</v>
      </c>
      <c r="J31" s="44">
        <f>+'Cons spec tot e finalizzati'!N34-'Cons spec tot e finalizzati'!O34</f>
        <v>0</v>
      </c>
      <c r="K31" s="44">
        <f>+'Cons spec tot e finalizzati'!P34-'Cons spec tot e finalizzati'!Q34</f>
        <v>0</v>
      </c>
      <c r="L31" s="44">
        <f>+'Cons spec tot e finalizzati'!R34-'Cons spec tot e finalizzati'!S34</f>
        <v>0</v>
      </c>
      <c r="M31" s="6"/>
      <c r="N31" s="184"/>
      <c r="AB31" s="91"/>
      <c r="AC31" s="77"/>
    </row>
    <row r="32" spans="1:29" s="3" customFormat="1" ht="12.75">
      <c r="A32" s="47" t="s">
        <v>115</v>
      </c>
      <c r="B32" s="48"/>
      <c r="C32" s="48"/>
      <c r="D32" s="49"/>
      <c r="F32" s="50">
        <f aca="true" t="shared" si="3" ref="F32:K32">SUM(F33:F34)</f>
        <v>760</v>
      </c>
      <c r="G32" s="50">
        <f t="shared" si="3"/>
        <v>903</v>
      </c>
      <c r="H32" s="50">
        <f t="shared" si="3"/>
        <v>934</v>
      </c>
      <c r="I32" s="50">
        <f t="shared" si="3"/>
        <v>1116</v>
      </c>
      <c r="J32" s="50">
        <f t="shared" si="3"/>
        <v>1473</v>
      </c>
      <c r="K32" s="50">
        <f t="shared" si="3"/>
        <v>2096</v>
      </c>
      <c r="L32" s="50">
        <f>SUM(L33:L34)</f>
        <v>3350</v>
      </c>
      <c r="M32" s="6"/>
      <c r="N32" s="184"/>
      <c r="AB32" s="92"/>
      <c r="AC32" s="80"/>
    </row>
    <row r="33" spans="1:29" s="3" customFormat="1" ht="12.75">
      <c r="A33" s="168"/>
      <c r="B33" s="59" t="s">
        <v>116</v>
      </c>
      <c r="C33" s="69"/>
      <c r="D33" s="70"/>
      <c r="F33" s="44">
        <f>+'Cons spec tot e finalizzati'!F36-'Cons spec tot e finalizzati'!G36</f>
        <v>41</v>
      </c>
      <c r="G33" s="44">
        <f>+'Cons spec tot e finalizzati'!H36-'Cons spec tot e finalizzati'!I36</f>
        <v>132</v>
      </c>
      <c r="H33" s="44">
        <f>+'Cons spec tot e finalizzati'!J36-'Cons spec tot e finalizzati'!K36</f>
        <v>150</v>
      </c>
      <c r="I33" s="44">
        <f>+'Cons spec tot e finalizzati'!L36-'Cons spec tot e finalizzati'!M36</f>
        <v>162</v>
      </c>
      <c r="J33" s="44">
        <f>+'Cons spec tot e finalizzati'!N36-'Cons spec tot e finalizzati'!O36</f>
        <v>169</v>
      </c>
      <c r="K33" s="44">
        <f>+'Cons spec tot e finalizzati'!P36-'Cons spec tot e finalizzati'!Q36</f>
        <v>244</v>
      </c>
      <c r="L33" s="44">
        <f>+'Cons spec tot e finalizzati'!R36-'Cons spec tot e finalizzati'!S36</f>
        <v>304</v>
      </c>
      <c r="M33" s="6"/>
      <c r="N33" s="184"/>
      <c r="AB33" s="82"/>
      <c r="AC33" s="83"/>
    </row>
    <row r="34" spans="1:29" s="3" customFormat="1" ht="12.75">
      <c r="A34" s="169"/>
      <c r="B34" s="101" t="s">
        <v>117</v>
      </c>
      <c r="C34" s="93"/>
      <c r="D34" s="94"/>
      <c r="F34" s="44">
        <f>+'Cons spec tot e finalizzati'!F37-'Cons spec tot e finalizzati'!G37</f>
        <v>719</v>
      </c>
      <c r="G34" s="44">
        <f>+'Cons spec tot e finalizzati'!H37-'Cons spec tot e finalizzati'!I37</f>
        <v>771</v>
      </c>
      <c r="H34" s="44">
        <f>+'Cons spec tot e finalizzati'!J37-'Cons spec tot e finalizzati'!K37</f>
        <v>784</v>
      </c>
      <c r="I34" s="44">
        <f>+'Cons spec tot e finalizzati'!L37-'Cons spec tot e finalizzati'!M37</f>
        <v>954</v>
      </c>
      <c r="J34" s="44">
        <f>+'Cons spec tot e finalizzati'!N37-'Cons spec tot e finalizzati'!O37</f>
        <v>1304</v>
      </c>
      <c r="K34" s="44">
        <f>+'Cons spec tot e finalizzati'!P37-'Cons spec tot e finalizzati'!Q37</f>
        <v>1852</v>
      </c>
      <c r="L34" s="44">
        <f>+'Cons spec tot e finalizzati'!R37-'Cons spec tot e finalizzati'!S37</f>
        <v>3046</v>
      </c>
      <c r="M34" s="6"/>
      <c r="N34" s="184"/>
      <c r="AB34" s="82"/>
      <c r="AC34" s="83"/>
    </row>
    <row r="35" spans="1:29" s="3" customFormat="1" ht="12.75">
      <c r="A35" s="165" t="s">
        <v>11</v>
      </c>
      <c r="B35" s="166"/>
      <c r="C35" s="166"/>
      <c r="D35" s="167"/>
      <c r="F35" s="56">
        <f aca="true" t="shared" si="4" ref="F35:K35">SUM(F36:F39)</f>
        <v>28</v>
      </c>
      <c r="G35" s="56">
        <f t="shared" si="4"/>
        <v>44</v>
      </c>
      <c r="H35" s="56">
        <f t="shared" si="4"/>
        <v>46</v>
      </c>
      <c r="I35" s="56">
        <f t="shared" si="4"/>
        <v>46</v>
      </c>
      <c r="J35" s="56">
        <f t="shared" si="4"/>
        <v>30</v>
      </c>
      <c r="K35" s="56">
        <f t="shared" si="4"/>
        <v>34</v>
      </c>
      <c r="L35" s="56">
        <f>SUM(L36:L39)</f>
        <v>118</v>
      </c>
      <c r="M35" s="6"/>
      <c r="N35" s="184"/>
      <c r="AB35" s="82"/>
      <c r="AC35" s="83"/>
    </row>
    <row r="36" spans="1:29" s="3" customFormat="1" ht="12.75">
      <c r="A36" s="68"/>
      <c r="B36" s="59" t="s">
        <v>12</v>
      </c>
      <c r="C36" s="69"/>
      <c r="D36" s="70"/>
      <c r="F36" s="44">
        <f>+'Cons spec tot e finalizzati'!F39-'Cons spec tot e finalizzati'!G39</f>
        <v>28</v>
      </c>
      <c r="G36" s="44">
        <f>+'Cons spec tot e finalizzati'!H39-'Cons spec tot e finalizzati'!I39</f>
        <v>44</v>
      </c>
      <c r="H36" s="44">
        <f>+'Cons spec tot e finalizzati'!J39-'Cons spec tot e finalizzati'!K39</f>
        <v>46</v>
      </c>
      <c r="I36" s="44">
        <f>+'Cons spec tot e finalizzati'!L39-'Cons spec tot e finalizzati'!M39</f>
        <v>46</v>
      </c>
      <c r="J36" s="44">
        <f>+'Cons spec tot e finalizzati'!N39-'Cons spec tot e finalizzati'!O39</f>
        <v>30</v>
      </c>
      <c r="K36" s="44">
        <f>+'Cons spec tot e finalizzati'!P39-'Cons spec tot e finalizzati'!Q39</f>
        <v>4</v>
      </c>
      <c r="L36" s="44">
        <f>+'Cons spec tot e finalizzati'!R39-'Cons spec tot e finalizzati'!S39</f>
        <v>20</v>
      </c>
      <c r="M36" s="6"/>
      <c r="N36" s="184"/>
      <c r="AB36" s="86"/>
      <c r="AC36" s="87"/>
    </row>
    <row r="37" spans="1:29" s="3" customFormat="1" ht="12.75">
      <c r="A37" s="29"/>
      <c r="B37" s="19" t="s">
        <v>13</v>
      </c>
      <c r="C37" s="20"/>
      <c r="D37" s="21"/>
      <c r="F37" s="44">
        <f>+'Cons spec tot e finalizzati'!F40-'Cons spec tot e finalizzati'!G40</f>
        <v>0</v>
      </c>
      <c r="G37" s="44">
        <f>+'Cons spec tot e finalizzati'!H40-'Cons spec tot e finalizzati'!I40</f>
        <v>0</v>
      </c>
      <c r="H37" s="44">
        <f>+'Cons spec tot e finalizzati'!J40-'Cons spec tot e finalizzati'!K40</f>
        <v>0</v>
      </c>
      <c r="I37" s="44">
        <f>+'Cons spec tot e finalizzati'!L40-'Cons spec tot e finalizzati'!M40</f>
        <v>0</v>
      </c>
      <c r="J37" s="44">
        <f>+'Cons spec tot e finalizzati'!N40-'Cons spec tot e finalizzati'!O40</f>
        <v>0</v>
      </c>
      <c r="K37" s="44">
        <f>+'Cons spec tot e finalizzati'!P40-'Cons spec tot e finalizzati'!Q40</f>
        <v>0</v>
      </c>
      <c r="L37" s="44">
        <f>+'Cons spec tot e finalizzati'!R40-'Cons spec tot e finalizzati'!S40</f>
        <v>6</v>
      </c>
      <c r="M37" s="6"/>
      <c r="N37" s="184"/>
      <c r="AB37" s="79"/>
      <c r="AC37" s="80"/>
    </row>
    <row r="38" spans="1:29" s="3" customFormat="1" ht="12.75">
      <c r="A38" s="29"/>
      <c r="B38" s="19" t="s">
        <v>14</v>
      </c>
      <c r="C38" s="20"/>
      <c r="D38" s="21"/>
      <c r="F38" s="44">
        <f>+'Cons spec tot e finalizzati'!F41-'Cons spec tot e finalizzati'!G41</f>
        <v>0</v>
      </c>
      <c r="G38" s="44">
        <f>+'Cons spec tot e finalizzati'!H41-'Cons spec tot e finalizzati'!I41</f>
        <v>0</v>
      </c>
      <c r="H38" s="44">
        <f>+'Cons spec tot e finalizzati'!J41-'Cons spec tot e finalizzati'!K41</f>
        <v>0</v>
      </c>
      <c r="I38" s="44">
        <f>+'Cons spec tot e finalizzati'!L41-'Cons spec tot e finalizzati'!M41</f>
        <v>0</v>
      </c>
      <c r="J38" s="44">
        <f>+'Cons spec tot e finalizzati'!N41-'Cons spec tot e finalizzati'!O41</f>
        <v>0</v>
      </c>
      <c r="K38" s="44">
        <f>+'Cons spec tot e finalizzati'!P41-'Cons spec tot e finalizzati'!Q41</f>
        <v>0</v>
      </c>
      <c r="L38" s="44">
        <f>+'Cons spec tot e finalizzati'!R41-'Cons spec tot e finalizzati'!S41</f>
        <v>0</v>
      </c>
      <c r="M38" s="6"/>
      <c r="N38" s="184"/>
      <c r="AB38" s="82"/>
      <c r="AC38" s="83"/>
    </row>
    <row r="39" spans="1:29" s="3" customFormat="1" ht="12.75">
      <c r="A39" s="29"/>
      <c r="B39" s="19" t="s">
        <v>15</v>
      </c>
      <c r="C39" s="20"/>
      <c r="D39" s="21"/>
      <c r="E39" s="122"/>
      <c r="F39" s="45">
        <f>+'Cons spec tot e finalizzati'!F42-'Cons spec tot e finalizzati'!G42</f>
        <v>0</v>
      </c>
      <c r="G39" s="45">
        <f>+'Cons spec tot e finalizzati'!H42-'Cons spec tot e finalizzati'!I42</f>
        <v>0</v>
      </c>
      <c r="H39" s="45">
        <f>+'Cons spec tot e finalizzati'!J42-'Cons spec tot e finalizzati'!K42</f>
        <v>0</v>
      </c>
      <c r="I39" s="45">
        <f>+'Cons spec tot e finalizzati'!L42-'Cons spec tot e finalizzati'!M42</f>
        <v>0</v>
      </c>
      <c r="J39" s="45">
        <f>+'Cons spec tot e finalizzati'!N42-'Cons spec tot e finalizzati'!O42</f>
        <v>0</v>
      </c>
      <c r="K39" s="45">
        <f>+'Cons spec tot e finalizzati'!P42-'Cons spec tot e finalizzati'!Q42</f>
        <v>30</v>
      </c>
      <c r="L39" s="45">
        <f>+'Cons spec tot e finalizzati'!R42-'Cons spec tot e finalizzati'!S42</f>
        <v>92</v>
      </c>
      <c r="M39" s="6"/>
      <c r="N39" s="184"/>
      <c r="AB39" s="86"/>
      <c r="AC39" s="87"/>
    </row>
    <row r="40" spans="1:29" s="3" customFormat="1" ht="12.75">
      <c r="A40" s="47" t="s">
        <v>28</v>
      </c>
      <c r="B40" s="48"/>
      <c r="C40" s="48"/>
      <c r="D40" s="49"/>
      <c r="E40" s="62"/>
      <c r="F40" s="57">
        <f aca="true" t="shared" si="5" ref="F40:K40">SUM(F41:F46)</f>
        <v>781</v>
      </c>
      <c r="G40" s="57">
        <f t="shared" si="5"/>
        <v>1120</v>
      </c>
      <c r="H40" s="57">
        <f t="shared" si="5"/>
        <v>1240</v>
      </c>
      <c r="I40" s="57">
        <f t="shared" si="5"/>
        <v>1008</v>
      </c>
      <c r="J40" s="57">
        <f t="shared" si="5"/>
        <v>1045</v>
      </c>
      <c r="K40" s="57">
        <f t="shared" si="5"/>
        <v>1063</v>
      </c>
      <c r="L40" s="57">
        <f>SUM(L41:L46)</f>
        <v>983</v>
      </c>
      <c r="M40" s="6"/>
      <c r="N40" s="184"/>
      <c r="AB40" s="79"/>
      <c r="AC40" s="80"/>
    </row>
    <row r="41" spans="1:29" s="3" customFormat="1" ht="12.75">
      <c r="A41" s="71"/>
      <c r="B41" s="59" t="s">
        <v>9</v>
      </c>
      <c r="C41" s="59"/>
      <c r="D41" s="72"/>
      <c r="E41" s="123"/>
      <c r="F41" s="44">
        <f>+'Cons spec tot e finalizzati'!F44-'Cons spec tot e finalizzati'!G44</f>
        <v>306</v>
      </c>
      <c r="G41" s="44">
        <f>+'Cons spec tot e finalizzati'!H44-'Cons spec tot e finalizzati'!I44</f>
        <v>382</v>
      </c>
      <c r="H41" s="44">
        <f>+'Cons spec tot e finalizzati'!J44-'Cons spec tot e finalizzati'!K44</f>
        <v>445</v>
      </c>
      <c r="I41" s="44">
        <f>+'Cons spec tot e finalizzati'!L44-'Cons spec tot e finalizzati'!M44</f>
        <v>266</v>
      </c>
      <c r="J41" s="44">
        <f>+'Cons spec tot e finalizzati'!N44-'Cons spec tot e finalizzati'!O44</f>
        <v>224</v>
      </c>
      <c r="K41" s="44">
        <f>+'Cons spec tot e finalizzati'!P44-'Cons spec tot e finalizzati'!Q44</f>
        <v>248</v>
      </c>
      <c r="L41" s="44">
        <f>+'Cons spec tot e finalizzati'!R44-'Cons spec tot e finalizzati'!S44</f>
        <v>343</v>
      </c>
      <c r="M41" s="6"/>
      <c r="N41" s="184"/>
      <c r="AB41" s="82"/>
      <c r="AC41" s="83"/>
    </row>
    <row r="42" spans="1:29" s="3" customFormat="1" ht="12.75">
      <c r="A42" s="71"/>
      <c r="B42" s="59" t="s">
        <v>29</v>
      </c>
      <c r="C42" s="59"/>
      <c r="D42" s="72"/>
      <c r="F42" s="44">
        <f>+'Cons spec tot e finalizzati'!F45-'Cons spec tot e finalizzati'!G45</f>
        <v>25</v>
      </c>
      <c r="G42" s="44">
        <f>+'Cons spec tot e finalizzati'!H45-'Cons spec tot e finalizzati'!I45</f>
        <v>28</v>
      </c>
      <c r="H42" s="44">
        <f>+'Cons spec tot e finalizzati'!J45-'Cons spec tot e finalizzati'!K45</f>
        <v>5</v>
      </c>
      <c r="I42" s="44">
        <f>+'Cons spec tot e finalizzati'!L45-'Cons spec tot e finalizzati'!M45</f>
        <v>10</v>
      </c>
      <c r="J42" s="44">
        <f>+'Cons spec tot e finalizzati'!N45-'Cons spec tot e finalizzati'!O45</f>
        <v>23</v>
      </c>
      <c r="K42" s="44">
        <f>+'Cons spec tot e finalizzati'!P45-'Cons spec tot e finalizzati'!Q45</f>
        <v>22</v>
      </c>
      <c r="L42" s="44">
        <f>+'Cons spec tot e finalizzati'!R45-'Cons spec tot e finalizzati'!S45</f>
        <v>21</v>
      </c>
      <c r="M42" s="6"/>
      <c r="N42" s="184"/>
      <c r="AB42" s="82"/>
      <c r="AC42" s="95"/>
    </row>
    <row r="43" spans="1:29" s="3" customFormat="1" ht="12.75">
      <c r="A43" s="71"/>
      <c r="B43" s="59" t="s">
        <v>76</v>
      </c>
      <c r="C43" s="59"/>
      <c r="D43" s="72"/>
      <c r="F43" s="44">
        <f>+'Cons spec tot e finalizzati'!F46-'Cons spec tot e finalizzati'!G46</f>
        <v>94</v>
      </c>
      <c r="G43" s="44">
        <f>+'Cons spec tot e finalizzati'!H46-'Cons spec tot e finalizzati'!I46</f>
        <v>83</v>
      </c>
      <c r="H43" s="44">
        <f>+'Cons spec tot e finalizzati'!J46-'Cons spec tot e finalizzati'!K46</f>
        <v>60</v>
      </c>
      <c r="I43" s="44">
        <f>+'Cons spec tot e finalizzati'!L46-'Cons spec tot e finalizzati'!M46</f>
        <v>41</v>
      </c>
      <c r="J43" s="44">
        <f>+'Cons spec tot e finalizzati'!N46-'Cons spec tot e finalizzati'!O46</f>
        <v>0</v>
      </c>
      <c r="K43" s="44">
        <f>+'Cons spec tot e finalizzati'!P46-'Cons spec tot e finalizzati'!Q46</f>
        <v>0</v>
      </c>
      <c r="L43" s="44">
        <f>+'Cons spec tot e finalizzati'!R46-'Cons spec tot e finalizzati'!S46</f>
        <v>0</v>
      </c>
      <c r="M43" s="6"/>
      <c r="N43" s="184"/>
      <c r="AB43" s="82"/>
      <c r="AC43" s="96"/>
    </row>
    <row r="44" spans="1:29" s="3" customFormat="1" ht="12.75">
      <c r="A44" s="71"/>
      <c r="B44" s="59" t="s">
        <v>118</v>
      </c>
      <c r="C44" s="59"/>
      <c r="D44" s="72"/>
      <c r="F44" s="44">
        <f>+'Cons spec tot e finalizzati'!F47-'Cons spec tot e finalizzati'!G47</f>
        <v>218</v>
      </c>
      <c r="G44" s="44">
        <f>+'Cons spec tot e finalizzati'!H47-'Cons spec tot e finalizzati'!I47</f>
        <v>305</v>
      </c>
      <c r="H44" s="44">
        <f>+'Cons spec tot e finalizzati'!J47-'Cons spec tot e finalizzati'!K47</f>
        <v>336</v>
      </c>
      <c r="I44" s="44">
        <f>+'Cons spec tot e finalizzati'!L47-'Cons spec tot e finalizzati'!M47</f>
        <v>367</v>
      </c>
      <c r="J44" s="44">
        <f>+'Cons spec tot e finalizzati'!N47-'Cons spec tot e finalizzati'!O47</f>
        <v>506</v>
      </c>
      <c r="K44" s="44">
        <f>+'Cons spec tot e finalizzati'!P47-'Cons spec tot e finalizzati'!Q47</f>
        <v>478</v>
      </c>
      <c r="L44" s="44">
        <f>+'Cons spec tot e finalizzati'!R47-'Cons spec tot e finalizzati'!S47</f>
        <v>400</v>
      </c>
      <c r="M44" s="6"/>
      <c r="N44" s="184"/>
      <c r="AB44" s="82"/>
      <c r="AC44" s="96"/>
    </row>
    <row r="45" spans="1:29" s="3" customFormat="1" ht="12.75">
      <c r="A45" s="71"/>
      <c r="B45" s="59" t="s">
        <v>119</v>
      </c>
      <c r="C45" s="59"/>
      <c r="D45" s="72"/>
      <c r="F45" s="44">
        <f>+'Cons spec tot e finalizzati'!F48-'Cons spec tot e finalizzati'!G48</f>
        <v>88</v>
      </c>
      <c r="G45" s="44">
        <f>+'Cons spec tot e finalizzati'!H48-'Cons spec tot e finalizzati'!I48</f>
        <v>202</v>
      </c>
      <c r="H45" s="44">
        <f>+'Cons spec tot e finalizzati'!J48-'Cons spec tot e finalizzati'!K48</f>
        <v>270</v>
      </c>
      <c r="I45" s="44">
        <f>+'Cons spec tot e finalizzati'!L48-'Cons spec tot e finalizzati'!M48</f>
        <v>252</v>
      </c>
      <c r="J45" s="44">
        <f>+'Cons spec tot e finalizzati'!N48-'Cons spec tot e finalizzati'!O48</f>
        <v>241</v>
      </c>
      <c r="K45" s="44">
        <f>+'Cons spec tot e finalizzati'!P48-'Cons spec tot e finalizzati'!Q48</f>
        <v>254</v>
      </c>
      <c r="L45" s="44">
        <f>+'Cons spec tot e finalizzati'!R48-'Cons spec tot e finalizzati'!S48</f>
        <v>219</v>
      </c>
      <c r="M45" s="6"/>
      <c r="N45" s="184"/>
      <c r="AB45" s="82"/>
      <c r="AC45" s="96"/>
    </row>
    <row r="46" spans="1:29" s="3" customFormat="1" ht="12.75">
      <c r="A46" s="100"/>
      <c r="B46" s="101" t="s">
        <v>120</v>
      </c>
      <c r="C46" s="101"/>
      <c r="D46" s="102"/>
      <c r="F46" s="44">
        <f>+'Cons spec tot e finalizzati'!F49-'Cons spec tot e finalizzati'!G49</f>
        <v>50</v>
      </c>
      <c r="G46" s="44">
        <f>+'Cons spec tot e finalizzati'!H49-'Cons spec tot e finalizzati'!I49</f>
        <v>120</v>
      </c>
      <c r="H46" s="44">
        <f>+'Cons spec tot e finalizzati'!J49-'Cons spec tot e finalizzati'!K49</f>
        <v>124</v>
      </c>
      <c r="I46" s="44">
        <f>+'Cons spec tot e finalizzati'!L49-'Cons spec tot e finalizzati'!M49</f>
        <v>72</v>
      </c>
      <c r="J46" s="44">
        <f>+'Cons spec tot e finalizzati'!N49-'Cons spec tot e finalizzati'!O49</f>
        <v>51</v>
      </c>
      <c r="K46" s="44">
        <f>+'Cons spec tot e finalizzati'!P49-'Cons spec tot e finalizzati'!Q49</f>
        <v>61</v>
      </c>
      <c r="L46" s="44">
        <f>+'Cons spec tot e finalizzati'!R49-'Cons spec tot e finalizzati'!S49</f>
        <v>0</v>
      </c>
      <c r="M46" s="6"/>
      <c r="N46" s="184"/>
      <c r="AB46" s="82"/>
      <c r="AC46" s="96"/>
    </row>
    <row r="47" spans="1:29" s="3" customFormat="1" ht="12.75">
      <c r="A47" s="47" t="s">
        <v>121</v>
      </c>
      <c r="B47" s="48"/>
      <c r="C47" s="48"/>
      <c r="D47" s="49"/>
      <c r="F47" s="50">
        <f aca="true" t="shared" si="6" ref="F47:L47">SUM(F48:F50)</f>
        <v>71</v>
      </c>
      <c r="G47" s="50">
        <f t="shared" si="6"/>
        <v>80</v>
      </c>
      <c r="H47" s="50">
        <f t="shared" si="6"/>
        <v>89</v>
      </c>
      <c r="I47" s="50">
        <f t="shared" si="6"/>
        <v>116</v>
      </c>
      <c r="J47" s="50">
        <f t="shared" si="6"/>
        <v>80</v>
      </c>
      <c r="K47" s="50">
        <f t="shared" si="6"/>
        <v>107</v>
      </c>
      <c r="L47" s="50">
        <f t="shared" si="6"/>
        <v>58</v>
      </c>
      <c r="M47" s="6"/>
      <c r="N47" s="184"/>
      <c r="AB47" s="82"/>
      <c r="AC47" s="96"/>
    </row>
    <row r="48" spans="1:29" s="3" customFormat="1" ht="12.75">
      <c r="A48" s="18"/>
      <c r="B48" s="19" t="s">
        <v>9</v>
      </c>
      <c r="C48" s="20"/>
      <c r="D48" s="21"/>
      <c r="F48" s="44">
        <f>+'Cons spec tot e finalizzati'!F51-'Cons spec tot e finalizzati'!G51</f>
        <v>71</v>
      </c>
      <c r="G48" s="44">
        <f>+'Cons spec tot e finalizzati'!H51-'Cons spec tot e finalizzati'!I51</f>
        <v>80</v>
      </c>
      <c r="H48" s="44">
        <f>+'Cons spec tot e finalizzati'!J51-'Cons spec tot e finalizzati'!K51</f>
        <v>89</v>
      </c>
      <c r="I48" s="44">
        <f>+'Cons spec tot e finalizzati'!L51-'Cons spec tot e finalizzati'!M51</f>
        <v>116</v>
      </c>
      <c r="J48" s="44">
        <f>+'Cons spec tot e finalizzati'!N51-'Cons spec tot e finalizzati'!O51</f>
        <v>80</v>
      </c>
      <c r="K48" s="44">
        <f>+'Cons spec tot e finalizzati'!P51-'Cons spec tot e finalizzati'!Q51</f>
        <v>107</v>
      </c>
      <c r="L48" s="44">
        <f>+'Cons spec tot e finalizzati'!R51-'Cons spec tot e finalizzati'!S51</f>
        <v>58</v>
      </c>
      <c r="M48" s="6"/>
      <c r="N48" s="184"/>
      <c r="AB48" s="82"/>
      <c r="AC48" s="96"/>
    </row>
    <row r="49" spans="1:29" s="3" customFormat="1" ht="12.75">
      <c r="A49" s="18"/>
      <c r="B49" s="19" t="s">
        <v>183</v>
      </c>
      <c r="C49" s="20"/>
      <c r="D49" s="21"/>
      <c r="F49" s="44">
        <f>+'Cons spec tot e finalizzati'!F52-'Cons spec tot e finalizzati'!G52</f>
        <v>0</v>
      </c>
      <c r="G49" s="44">
        <f>+'Cons spec tot e finalizzati'!H52-'Cons spec tot e finalizzati'!I52</f>
        <v>0</v>
      </c>
      <c r="H49" s="44">
        <f>+'Cons spec tot e finalizzati'!J52-'Cons spec tot e finalizzati'!K52</f>
        <v>0</v>
      </c>
      <c r="I49" s="44">
        <f>+'Cons spec tot e finalizzati'!L52-'Cons spec tot e finalizzati'!M52</f>
        <v>0</v>
      </c>
      <c r="J49" s="44">
        <f>+'Cons spec tot e finalizzati'!N52-'Cons spec tot e finalizzati'!O52</f>
        <v>0</v>
      </c>
      <c r="K49" s="44">
        <f>+'Cons spec tot e finalizzati'!P52-'Cons spec tot e finalizzati'!Q52</f>
        <v>0</v>
      </c>
      <c r="L49" s="44">
        <f>+'Cons spec tot e finalizzati'!R52-'Cons spec tot e finalizzati'!S52</f>
        <v>0</v>
      </c>
      <c r="M49" s="6"/>
      <c r="N49" s="184"/>
      <c r="AB49" s="82"/>
      <c r="AC49" s="96"/>
    </row>
    <row r="50" spans="1:29" s="3" customFormat="1" ht="12.75">
      <c r="A50" s="35"/>
      <c r="B50" s="34" t="s">
        <v>101</v>
      </c>
      <c r="C50" s="30"/>
      <c r="D50" s="31"/>
      <c r="F50" s="44">
        <f>+'Cons spec tot e finalizzati'!F53-'Cons spec tot e finalizzati'!G53</f>
        <v>0</v>
      </c>
      <c r="G50" s="44">
        <f>+'Cons spec tot e finalizzati'!H53-'Cons spec tot e finalizzati'!I53</f>
        <v>0</v>
      </c>
      <c r="H50" s="44">
        <f>+'Cons spec tot e finalizzati'!J53-'Cons spec tot e finalizzati'!K53</f>
        <v>0</v>
      </c>
      <c r="I50" s="44">
        <f>+'Cons spec tot e finalizzati'!L53-'Cons spec tot e finalizzati'!M53</f>
        <v>0</v>
      </c>
      <c r="J50" s="44">
        <f>+'Cons spec tot e finalizzati'!N53-'Cons spec tot e finalizzati'!O53</f>
        <v>0</v>
      </c>
      <c r="K50" s="44">
        <f>+'Cons spec tot e finalizzati'!P53-'Cons spec tot e finalizzati'!Q53</f>
        <v>0</v>
      </c>
      <c r="L50" s="44">
        <f>+'Cons spec tot e finalizzati'!R53-'Cons spec tot e finalizzati'!S53</f>
        <v>0</v>
      </c>
      <c r="M50" s="6"/>
      <c r="N50" s="184"/>
      <c r="AB50" s="82"/>
      <c r="AC50" s="96"/>
    </row>
    <row r="51" spans="1:29" s="3" customFormat="1" ht="12.75">
      <c r="A51" s="47" t="s">
        <v>30</v>
      </c>
      <c r="B51" s="48"/>
      <c r="C51" s="48"/>
      <c r="D51" s="49"/>
      <c r="F51" s="50">
        <f aca="true" t="shared" si="7" ref="F51:K51">SUM(F52:F55)</f>
        <v>7274</v>
      </c>
      <c r="G51" s="50">
        <f t="shared" si="7"/>
        <v>8829</v>
      </c>
      <c r="H51" s="50">
        <f t="shared" si="7"/>
        <v>7879</v>
      </c>
      <c r="I51" s="50">
        <f t="shared" si="7"/>
        <v>9104</v>
      </c>
      <c r="J51" s="50">
        <f t="shared" si="7"/>
        <v>7903.412395998492</v>
      </c>
      <c r="K51" s="50">
        <f t="shared" si="7"/>
        <v>7893</v>
      </c>
      <c r="L51" s="50">
        <f>SUM(L52:L55)</f>
        <v>8031</v>
      </c>
      <c r="M51" s="6"/>
      <c r="N51" s="184"/>
      <c r="AB51" s="82"/>
      <c r="AC51" s="98"/>
    </row>
    <row r="52" spans="1:29" s="3" customFormat="1" ht="12.75">
      <c r="A52" s="71"/>
      <c r="B52" s="59" t="s">
        <v>12</v>
      </c>
      <c r="C52" s="59"/>
      <c r="D52" s="72"/>
      <c r="F52" s="44">
        <f>+'Cons spec tot e finalizzati'!F55-'Cons spec tot e finalizzati'!G55</f>
        <v>52</v>
      </c>
      <c r="G52" s="44">
        <f>+'Cons spec tot e finalizzati'!H55-'Cons spec tot e finalizzati'!I55</f>
        <v>52</v>
      </c>
      <c r="H52" s="44">
        <f>+'Cons spec tot e finalizzati'!J55-'Cons spec tot e finalizzati'!K55</f>
        <v>50</v>
      </c>
      <c r="I52" s="44">
        <f>+'Cons spec tot e finalizzati'!L55-'Cons spec tot e finalizzati'!M55</f>
        <v>52</v>
      </c>
      <c r="J52" s="44">
        <f>+'Cons spec tot e finalizzati'!N55-'Cons spec tot e finalizzati'!O55</f>
        <v>40</v>
      </c>
      <c r="K52" s="44">
        <f>+'Cons spec tot e finalizzati'!P55-'Cons spec tot e finalizzati'!Q55</f>
        <v>174</v>
      </c>
      <c r="L52" s="44">
        <f>+'Cons spec tot e finalizzati'!R55-'Cons spec tot e finalizzati'!S55</f>
        <v>167</v>
      </c>
      <c r="M52" s="6"/>
      <c r="N52" s="184"/>
      <c r="AB52" s="82"/>
      <c r="AC52" s="96"/>
    </row>
    <row r="53" spans="1:29" s="3" customFormat="1" ht="12.75">
      <c r="A53" s="71"/>
      <c r="B53" s="59" t="s">
        <v>123</v>
      </c>
      <c r="C53" s="59"/>
      <c r="D53" s="72"/>
      <c r="F53" s="44">
        <f>+'Cons spec tot e finalizzati'!F56-'Cons spec tot e finalizzati'!G56</f>
        <v>0</v>
      </c>
      <c r="G53" s="44">
        <f>+'Cons spec tot e finalizzati'!H56-'Cons spec tot e finalizzati'!I56</f>
        <v>0</v>
      </c>
      <c r="H53" s="44">
        <f>+'Cons spec tot e finalizzati'!J56-'Cons spec tot e finalizzati'!K56</f>
        <v>0</v>
      </c>
      <c r="I53" s="44">
        <f>+'Cons spec tot e finalizzati'!L56-'Cons spec tot e finalizzati'!M56</f>
        <v>0</v>
      </c>
      <c r="J53" s="44">
        <f>+'Cons spec tot e finalizzati'!N56-'Cons spec tot e finalizzati'!O56</f>
        <v>0</v>
      </c>
      <c r="K53" s="44">
        <f>+'Cons spec tot e finalizzati'!P56-'Cons spec tot e finalizzati'!Q56</f>
        <v>41</v>
      </c>
      <c r="L53" s="44">
        <f>+'Cons spec tot e finalizzati'!R56-'Cons spec tot e finalizzati'!S56</f>
        <v>0</v>
      </c>
      <c r="M53" s="6"/>
      <c r="N53" s="184"/>
      <c r="AB53" s="82"/>
      <c r="AC53" s="96"/>
    </row>
    <row r="54" spans="1:29" s="3" customFormat="1" ht="12.75">
      <c r="A54" s="71"/>
      <c r="B54" s="59" t="s">
        <v>122</v>
      </c>
      <c r="C54" s="59"/>
      <c r="D54" s="72"/>
      <c r="F54" s="44">
        <f>+'Cons spec tot e finalizzati'!F57-'Cons spec tot e finalizzati'!G57</f>
        <v>2822</v>
      </c>
      <c r="G54" s="44">
        <f>+'Cons spec tot e finalizzati'!H57-'Cons spec tot e finalizzati'!I57</f>
        <v>3040</v>
      </c>
      <c r="H54" s="44">
        <f>+'Cons spec tot e finalizzati'!J57-'Cons spec tot e finalizzati'!K57</f>
        <v>2927</v>
      </c>
      <c r="I54" s="44">
        <f>+'Cons spec tot e finalizzati'!L57-'Cons spec tot e finalizzati'!M57</f>
        <v>3266</v>
      </c>
      <c r="J54" s="44">
        <f>+'Cons spec tot e finalizzati'!N57-'Cons spec tot e finalizzati'!O57</f>
        <v>2383</v>
      </c>
      <c r="K54" s="44">
        <f>+'Cons spec tot e finalizzati'!P57-'Cons spec tot e finalizzati'!Q57</f>
        <v>2573</v>
      </c>
      <c r="L54" s="44">
        <f>+'Cons spec tot e finalizzati'!R57-'Cons spec tot e finalizzati'!S57</f>
        <v>2781</v>
      </c>
      <c r="M54" s="6"/>
      <c r="N54" s="184"/>
      <c r="AB54" s="82"/>
      <c r="AC54" s="96"/>
    </row>
    <row r="55" spans="1:29" s="3" customFormat="1" ht="12.75">
      <c r="A55" s="100"/>
      <c r="B55" s="101" t="s">
        <v>31</v>
      </c>
      <c r="C55" s="101"/>
      <c r="D55" s="102"/>
      <c r="F55" s="45">
        <f>+'Cons spec tot e finalizzati'!F58-'Cons spec tot e finalizzati'!G58</f>
        <v>4400</v>
      </c>
      <c r="G55" s="45">
        <f>+'Cons spec tot e finalizzati'!H58-'Cons spec tot e finalizzati'!I58</f>
        <v>5737</v>
      </c>
      <c r="H55" s="45">
        <f>+'Cons spec tot e finalizzati'!J58-'Cons spec tot e finalizzati'!K58</f>
        <v>4902</v>
      </c>
      <c r="I55" s="45">
        <f>+'Cons spec tot e finalizzati'!L58-'Cons spec tot e finalizzati'!M58</f>
        <v>5786</v>
      </c>
      <c r="J55" s="45">
        <f>+'Cons spec tot e finalizzati'!N58-'Cons spec tot e finalizzati'!O58</f>
        <v>5480.412395998492</v>
      </c>
      <c r="K55" s="45">
        <f>+'Cons spec tot e finalizzati'!P58-'Cons spec tot e finalizzati'!Q58</f>
        <v>5105</v>
      </c>
      <c r="L55" s="45">
        <f>+'Cons spec tot e finalizzati'!R58-'Cons spec tot e finalizzati'!S58</f>
        <v>5083</v>
      </c>
      <c r="M55" s="6"/>
      <c r="N55" s="184"/>
      <c r="AB55" s="86"/>
      <c r="AC55" s="99"/>
    </row>
    <row r="56" spans="1:29" s="3" customFormat="1" ht="12.75">
      <c r="A56" s="170" t="s">
        <v>124</v>
      </c>
      <c r="B56" s="171"/>
      <c r="C56" s="171"/>
      <c r="D56" s="172"/>
      <c r="F56" s="176">
        <f aca="true" t="shared" si="8" ref="F56:L56">+F57+F59+F69+F58</f>
        <v>5862</v>
      </c>
      <c r="G56" s="176">
        <f t="shared" si="8"/>
        <v>8456</v>
      </c>
      <c r="H56" s="176">
        <f t="shared" si="8"/>
        <v>2988</v>
      </c>
      <c r="I56" s="176">
        <f t="shared" si="8"/>
        <v>4347</v>
      </c>
      <c r="J56" s="176">
        <f t="shared" si="8"/>
        <v>4106.636997939337</v>
      </c>
      <c r="K56" s="176">
        <f t="shared" si="8"/>
        <v>3923</v>
      </c>
      <c r="L56" s="176">
        <f t="shared" si="8"/>
        <v>2792</v>
      </c>
      <c r="M56" s="6"/>
      <c r="N56" s="184"/>
      <c r="AB56" s="79"/>
      <c r="AC56" s="80"/>
    </row>
    <row r="57" spans="1:29" s="3" customFormat="1" ht="12.75">
      <c r="A57" s="71"/>
      <c r="B57" s="59"/>
      <c r="C57" s="59" t="s">
        <v>125</v>
      </c>
      <c r="D57" s="72"/>
      <c r="F57" s="44">
        <f>+'Cons spec tot e finalizzati'!F60-'Cons spec tot e finalizzati'!G60</f>
        <v>0</v>
      </c>
      <c r="G57" s="44">
        <f>+'Cons spec tot e finalizzati'!H60-'Cons spec tot e finalizzati'!I60</f>
        <v>0</v>
      </c>
      <c r="H57" s="44">
        <f>+'Cons spec tot e finalizzati'!J60-'Cons spec tot e finalizzati'!K60</f>
        <v>0</v>
      </c>
      <c r="I57" s="44">
        <f>+'Cons spec tot e finalizzati'!L60-'Cons spec tot e finalizzati'!M60</f>
        <v>0</v>
      </c>
      <c r="J57" s="44">
        <f>+'Cons spec tot e finalizzati'!N60-'Cons spec tot e finalizzati'!O60</f>
        <v>0</v>
      </c>
      <c r="K57" s="44">
        <f>+'Cons spec tot e finalizzati'!P60-'Cons spec tot e finalizzati'!Q60</f>
        <v>0</v>
      </c>
      <c r="L57" s="44">
        <f>+'Cons spec tot e finalizzati'!R60-'Cons spec tot e finalizzati'!S60</f>
        <v>0</v>
      </c>
      <c r="M57" s="6"/>
      <c r="N57" s="184"/>
      <c r="AB57" s="82"/>
      <c r="AC57" s="83"/>
    </row>
    <row r="58" spans="1:29" s="3" customFormat="1" ht="12.75">
      <c r="A58" s="71"/>
      <c r="B58" s="81" t="s">
        <v>184</v>
      </c>
      <c r="C58" s="59"/>
      <c r="D58" s="72"/>
      <c r="F58" s="130">
        <f>+'Cons spec tot e finalizzati'!F61-'Cons spec tot e finalizzati'!G61</f>
        <v>831</v>
      </c>
      <c r="G58" s="130">
        <f>+'Cons spec tot e finalizzati'!H61-'Cons spec tot e finalizzati'!I61</f>
        <v>330</v>
      </c>
      <c r="H58" s="130">
        <f>+'Cons spec tot e finalizzati'!J61-'Cons spec tot e finalizzati'!K61</f>
        <v>77</v>
      </c>
      <c r="I58" s="130">
        <f>+'Cons spec tot e finalizzati'!L61-'Cons spec tot e finalizzati'!M61</f>
        <v>134</v>
      </c>
      <c r="J58" s="130">
        <f>+'Cons spec tot e finalizzati'!N61-'Cons spec tot e finalizzati'!O61</f>
        <v>38</v>
      </c>
      <c r="K58" s="130">
        <f>+'Cons spec tot e finalizzati'!P61-'Cons spec tot e finalizzati'!Q61</f>
        <v>29</v>
      </c>
      <c r="L58" s="130">
        <f>+'Cons spec tot e finalizzati'!R61-'Cons spec tot e finalizzati'!S61</f>
        <v>136</v>
      </c>
      <c r="M58" s="6"/>
      <c r="N58" s="184"/>
      <c r="AB58" s="82"/>
      <c r="AC58" s="83"/>
    </row>
    <row r="59" spans="1:29" s="3" customFormat="1" ht="12.75">
      <c r="A59" s="71"/>
      <c r="B59" s="81" t="s">
        <v>126</v>
      </c>
      <c r="C59" s="59"/>
      <c r="D59" s="72"/>
      <c r="F59" s="130">
        <f aca="true" t="shared" si="9" ref="F59:K59">SUM(F60:F68)</f>
        <v>4888</v>
      </c>
      <c r="G59" s="130">
        <f t="shared" si="9"/>
        <v>7953</v>
      </c>
      <c r="H59" s="130">
        <f t="shared" si="9"/>
        <v>2739</v>
      </c>
      <c r="I59" s="130">
        <f t="shared" si="9"/>
        <v>4041</v>
      </c>
      <c r="J59" s="130">
        <f t="shared" si="9"/>
        <v>3937.636997939337</v>
      </c>
      <c r="K59" s="130">
        <f t="shared" si="9"/>
        <v>3705</v>
      </c>
      <c r="L59" s="130">
        <f>SUM(L60:L68)</f>
        <v>2416</v>
      </c>
      <c r="M59" s="6"/>
      <c r="N59" s="184"/>
      <c r="AB59" s="82"/>
      <c r="AC59" s="83"/>
    </row>
    <row r="60" spans="1:14" ht="12.75">
      <c r="A60" s="71"/>
      <c r="B60" s="59"/>
      <c r="C60" s="59" t="s">
        <v>16</v>
      </c>
      <c r="D60" s="72"/>
      <c r="F60" s="44">
        <f>+'Cons spec tot e finalizzati'!F63-'Cons spec tot e finalizzati'!G63</f>
        <v>4324</v>
      </c>
      <c r="G60" s="44">
        <f>+'Cons spec tot e finalizzati'!H63-'Cons spec tot e finalizzati'!I63</f>
        <v>6828</v>
      </c>
      <c r="H60" s="44">
        <f>+'Cons spec tot e finalizzati'!J63-'Cons spec tot e finalizzati'!K63</f>
        <v>1553</v>
      </c>
      <c r="I60" s="44">
        <f>+'Cons spec tot e finalizzati'!L63-'Cons spec tot e finalizzati'!M63</f>
        <v>1732</v>
      </c>
      <c r="J60" s="44">
        <f>+'Cons spec tot e finalizzati'!N63-'Cons spec tot e finalizzati'!O63</f>
        <v>2434.6882924385545</v>
      </c>
      <c r="K60" s="44">
        <f>+'Cons spec tot e finalizzati'!P63-'Cons spec tot e finalizzati'!Q63</f>
        <v>966</v>
      </c>
      <c r="L60" s="44">
        <f>+'Cons spec tot e finalizzati'!R63-'Cons spec tot e finalizzati'!S63</f>
        <v>685</v>
      </c>
      <c r="M60" s="6"/>
      <c r="N60" s="184"/>
    </row>
    <row r="61" spans="1:29" s="3" customFormat="1" ht="12.75">
      <c r="A61" s="71"/>
      <c r="B61" s="59"/>
      <c r="C61" s="19" t="s">
        <v>17</v>
      </c>
      <c r="D61" s="72"/>
      <c r="F61" s="44">
        <f>+'Cons spec tot e finalizzati'!F64-'Cons spec tot e finalizzati'!G64</f>
        <v>2</v>
      </c>
      <c r="G61" s="44">
        <f>+'Cons spec tot e finalizzati'!H64-'Cons spec tot e finalizzati'!I64</f>
        <v>2</v>
      </c>
      <c r="H61" s="44">
        <f>+'Cons spec tot e finalizzati'!J64-'Cons spec tot e finalizzati'!K64</f>
        <v>2</v>
      </c>
      <c r="I61" s="44">
        <f>+'Cons spec tot e finalizzati'!L64-'Cons spec tot e finalizzati'!M64</f>
        <v>2</v>
      </c>
      <c r="J61" s="44">
        <f>+'Cons spec tot e finalizzati'!N64-'Cons spec tot e finalizzati'!O64</f>
        <v>30</v>
      </c>
      <c r="K61" s="44">
        <f>+'Cons spec tot e finalizzati'!P64-'Cons spec tot e finalizzati'!Q64</f>
        <v>93</v>
      </c>
      <c r="L61" s="44">
        <f>+'Cons spec tot e finalizzati'!R64-'Cons spec tot e finalizzati'!S64</f>
        <v>304</v>
      </c>
      <c r="M61" s="6"/>
      <c r="N61" s="184"/>
      <c r="AB61" s="82"/>
      <c r="AC61" s="83"/>
    </row>
    <row r="62" spans="1:29" s="3" customFormat="1" ht="12.75">
      <c r="A62" s="71"/>
      <c r="B62" s="59"/>
      <c r="C62" s="19" t="s">
        <v>18</v>
      </c>
      <c r="D62" s="72"/>
      <c r="F62" s="44">
        <f>+'Cons spec tot e finalizzati'!F65-'Cons spec tot e finalizzati'!G65</f>
        <v>268</v>
      </c>
      <c r="G62" s="44">
        <f>+'Cons spec tot e finalizzati'!H65-'Cons spec tot e finalizzati'!I65</f>
        <v>408</v>
      </c>
      <c r="H62" s="44">
        <f>+'Cons spec tot e finalizzati'!J65-'Cons spec tot e finalizzati'!K65</f>
        <v>362</v>
      </c>
      <c r="I62" s="44">
        <f>+'Cons spec tot e finalizzati'!L65-'Cons spec tot e finalizzati'!M65</f>
        <v>1240</v>
      </c>
      <c r="J62" s="44">
        <f>+'Cons spec tot e finalizzati'!N65-'Cons spec tot e finalizzati'!O65</f>
        <v>516</v>
      </c>
      <c r="K62" s="44">
        <f>+'Cons spec tot e finalizzati'!P65-'Cons spec tot e finalizzati'!Q65</f>
        <v>1013</v>
      </c>
      <c r="L62" s="44">
        <f>+'Cons spec tot e finalizzati'!R65-'Cons spec tot e finalizzati'!S65</f>
        <v>533</v>
      </c>
      <c r="M62" s="6"/>
      <c r="N62" s="184"/>
      <c r="AB62" s="82"/>
      <c r="AC62" s="83"/>
    </row>
    <row r="63" spans="1:29" s="3" customFormat="1" ht="12.75">
      <c r="A63" s="71"/>
      <c r="B63" s="59"/>
      <c r="C63" s="19" t="s">
        <v>185</v>
      </c>
      <c r="D63" s="72"/>
      <c r="F63" s="44">
        <f>+'Cons spec tot e finalizzati'!F66-'Cons spec tot e finalizzati'!G66</f>
        <v>0</v>
      </c>
      <c r="G63" s="44">
        <f>+'Cons spec tot e finalizzati'!H66-'Cons spec tot e finalizzati'!I66</f>
        <v>0</v>
      </c>
      <c r="H63" s="44">
        <f>+'Cons spec tot e finalizzati'!J66-'Cons spec tot e finalizzati'!K66</f>
        <v>0</v>
      </c>
      <c r="I63" s="44">
        <f>+'Cons spec tot e finalizzati'!L66-'Cons spec tot e finalizzati'!M66</f>
        <v>0</v>
      </c>
      <c r="J63" s="44">
        <f>+'Cons spec tot e finalizzati'!N66-'Cons spec tot e finalizzati'!O66</f>
        <v>0</v>
      </c>
      <c r="K63" s="44">
        <f>+'Cons spec tot e finalizzati'!P66-'Cons spec tot e finalizzati'!Q66</f>
        <v>0</v>
      </c>
      <c r="L63" s="44">
        <f>+'Cons spec tot e finalizzati'!R66-'Cons spec tot e finalizzati'!S66</f>
        <v>0</v>
      </c>
      <c r="M63" s="6"/>
      <c r="N63" s="184"/>
      <c r="AB63" s="82"/>
      <c r="AC63" s="83"/>
    </row>
    <row r="64" spans="1:29" s="3" customFormat="1" ht="12.75">
      <c r="A64" s="71"/>
      <c r="B64" s="59"/>
      <c r="C64" s="19" t="s">
        <v>187</v>
      </c>
      <c r="D64" s="72"/>
      <c r="F64" s="44">
        <f>+'Cons spec tot e finalizzati'!F67-'Cons spec tot e finalizzati'!G67</f>
        <v>129</v>
      </c>
      <c r="G64" s="44">
        <f>+'Cons spec tot e finalizzati'!H67-'Cons spec tot e finalizzati'!I67</f>
        <v>212</v>
      </c>
      <c r="H64" s="44">
        <f>+'Cons spec tot e finalizzati'!J67-'Cons spec tot e finalizzati'!K67</f>
        <v>206</v>
      </c>
      <c r="I64" s="44">
        <f>+'Cons spec tot e finalizzati'!L67-'Cons spec tot e finalizzati'!M67</f>
        <v>145</v>
      </c>
      <c r="J64" s="44">
        <f>+'Cons spec tot e finalizzati'!N67-'Cons spec tot e finalizzati'!O67</f>
        <v>0.9487055007824097</v>
      </c>
      <c r="K64" s="44">
        <f>+'Cons spec tot e finalizzati'!P67-'Cons spec tot e finalizzati'!Q67</f>
        <v>196</v>
      </c>
      <c r="L64" s="44">
        <f>+'Cons spec tot e finalizzati'!R67-'Cons spec tot e finalizzati'!S67</f>
        <v>258</v>
      </c>
      <c r="M64" s="6"/>
      <c r="N64" s="184"/>
      <c r="AB64" s="86"/>
      <c r="AC64" s="87"/>
    </row>
    <row r="65" spans="1:29" s="3" customFormat="1" ht="12.75">
      <c r="A65" s="71"/>
      <c r="B65" s="59"/>
      <c r="C65" s="19" t="s">
        <v>19</v>
      </c>
      <c r="D65" s="72"/>
      <c r="F65" s="44">
        <f>+'Cons spec tot e finalizzati'!F68-'Cons spec tot e finalizzati'!G68</f>
        <v>88</v>
      </c>
      <c r="G65" s="44">
        <f>+'Cons spec tot e finalizzati'!H68-'Cons spec tot e finalizzati'!I68</f>
        <v>356</v>
      </c>
      <c r="H65" s="44">
        <f>+'Cons spec tot e finalizzati'!J68-'Cons spec tot e finalizzati'!K68</f>
        <v>491</v>
      </c>
      <c r="I65" s="44">
        <f>+'Cons spec tot e finalizzati'!L68-'Cons spec tot e finalizzati'!M68</f>
        <v>346</v>
      </c>
      <c r="J65" s="44">
        <f>+'Cons spec tot e finalizzati'!N68-'Cons spec tot e finalizzati'!O68</f>
        <v>369</v>
      </c>
      <c r="K65" s="44">
        <f>+'Cons spec tot e finalizzati'!P68-'Cons spec tot e finalizzati'!Q68</f>
        <v>383</v>
      </c>
      <c r="L65" s="44">
        <f>+'Cons spec tot e finalizzati'!R68-'Cons spec tot e finalizzati'!S68</f>
        <v>441</v>
      </c>
      <c r="M65" s="6"/>
      <c r="N65" s="184"/>
      <c r="AB65" s="82"/>
      <c r="AC65" s="83"/>
    </row>
    <row r="66" spans="1:29" s="3" customFormat="1" ht="12.75">
      <c r="A66" s="71"/>
      <c r="B66" s="59"/>
      <c r="C66" s="19" t="s">
        <v>20</v>
      </c>
      <c r="D66" s="72"/>
      <c r="F66" s="44">
        <f>+'Cons spec tot e finalizzati'!F69-'Cons spec tot e finalizzati'!G69</f>
        <v>0</v>
      </c>
      <c r="G66" s="44">
        <f>+'Cons spec tot e finalizzati'!H69-'Cons spec tot e finalizzati'!I69</f>
        <v>0</v>
      </c>
      <c r="H66" s="44">
        <f>+'Cons spec tot e finalizzati'!J69-'Cons spec tot e finalizzati'!K69</f>
        <v>1</v>
      </c>
      <c r="I66" s="44">
        <f>+'Cons spec tot e finalizzati'!L69-'Cons spec tot e finalizzati'!M69</f>
        <v>104</v>
      </c>
      <c r="J66" s="44">
        <f>+'Cons spec tot e finalizzati'!N69-'Cons spec tot e finalizzati'!O69</f>
        <v>0</v>
      </c>
      <c r="K66" s="44">
        <f>+'Cons spec tot e finalizzati'!P69-'Cons spec tot e finalizzati'!Q69</f>
        <v>1</v>
      </c>
      <c r="L66" s="44">
        <f>+'Cons spec tot e finalizzati'!R69-'Cons spec tot e finalizzati'!S69</f>
        <v>0</v>
      </c>
      <c r="M66" s="6"/>
      <c r="N66" s="184"/>
      <c r="AB66" s="82"/>
      <c r="AC66" s="83"/>
    </row>
    <row r="67" spans="1:29" s="3" customFormat="1" ht="12.75">
      <c r="A67" s="71"/>
      <c r="B67" s="59"/>
      <c r="C67" s="19" t="s">
        <v>21</v>
      </c>
      <c r="D67" s="72"/>
      <c r="F67" s="44">
        <f>+'Cons spec tot e finalizzati'!F70-'Cons spec tot e finalizzati'!G70</f>
        <v>0</v>
      </c>
      <c r="G67" s="44">
        <f>+'Cons spec tot e finalizzati'!H70-'Cons spec tot e finalizzati'!I70</f>
        <v>0</v>
      </c>
      <c r="H67" s="44">
        <f>+'Cons spec tot e finalizzati'!J70-'Cons spec tot e finalizzati'!K70</f>
        <v>0</v>
      </c>
      <c r="I67" s="44">
        <f>+'Cons spec tot e finalizzati'!L70-'Cons spec tot e finalizzati'!M70</f>
        <v>0</v>
      </c>
      <c r="J67" s="44">
        <f>+'Cons spec tot e finalizzati'!N70-'Cons spec tot e finalizzati'!O70</f>
        <v>0</v>
      </c>
      <c r="K67" s="44">
        <f>+'Cons spec tot e finalizzati'!P70-'Cons spec tot e finalizzati'!Q70</f>
        <v>20</v>
      </c>
      <c r="L67" s="44">
        <f>+'Cons spec tot e finalizzati'!R70-'Cons spec tot e finalizzati'!S70</f>
        <v>0</v>
      </c>
      <c r="M67" s="6"/>
      <c r="N67" s="184"/>
      <c r="AB67" s="86"/>
      <c r="AC67" s="87"/>
    </row>
    <row r="68" spans="1:29" s="3" customFormat="1" ht="12.75">
      <c r="A68" s="71"/>
      <c r="B68" s="59"/>
      <c r="C68" s="59" t="s">
        <v>186</v>
      </c>
      <c r="D68" s="72"/>
      <c r="F68" s="44">
        <f>+'Cons spec tot e finalizzati'!F71-'Cons spec tot e finalizzati'!G71</f>
        <v>77</v>
      </c>
      <c r="G68" s="44">
        <f>+'Cons spec tot e finalizzati'!H71-'Cons spec tot e finalizzati'!I71</f>
        <v>147</v>
      </c>
      <c r="H68" s="44">
        <f>+'Cons spec tot e finalizzati'!J71-'Cons spec tot e finalizzati'!K71</f>
        <v>124</v>
      </c>
      <c r="I68" s="44">
        <f>+'Cons spec tot e finalizzati'!L71-'Cons spec tot e finalizzati'!M71</f>
        <v>472</v>
      </c>
      <c r="J68" s="44">
        <f>+'Cons spec tot e finalizzati'!N71-'Cons spec tot e finalizzati'!O71</f>
        <v>587</v>
      </c>
      <c r="K68" s="44">
        <f>+'Cons spec tot e finalizzati'!P71-'Cons spec tot e finalizzati'!Q71</f>
        <v>1033</v>
      </c>
      <c r="L68" s="44">
        <f>+'Cons spec tot e finalizzati'!R71-'Cons spec tot e finalizzati'!S71</f>
        <v>195</v>
      </c>
      <c r="M68" s="6"/>
      <c r="N68" s="184"/>
      <c r="AB68" s="79"/>
      <c r="AC68" s="80"/>
    </row>
    <row r="69" spans="1:29" s="3" customFormat="1" ht="12.75">
      <c r="A69" s="100"/>
      <c r="B69" s="174" t="s">
        <v>127</v>
      </c>
      <c r="C69" s="101"/>
      <c r="D69" s="102"/>
      <c r="F69" s="175">
        <f>+'Cons spec tot e finalizzati'!F72-'Cons spec tot e finalizzati'!G72</f>
        <v>143</v>
      </c>
      <c r="G69" s="175">
        <f>+'Cons spec tot e finalizzati'!H72-'Cons spec tot e finalizzati'!I72</f>
        <v>173</v>
      </c>
      <c r="H69" s="175">
        <f>+'Cons spec tot e finalizzati'!J72-'Cons spec tot e finalizzati'!K72</f>
        <v>172</v>
      </c>
      <c r="I69" s="175">
        <f>+'Cons spec tot e finalizzati'!L72-'Cons spec tot e finalizzati'!M72</f>
        <v>172</v>
      </c>
      <c r="J69" s="175">
        <f>+'Cons spec tot e finalizzati'!N72-'Cons spec tot e finalizzati'!O72</f>
        <v>131</v>
      </c>
      <c r="K69" s="175">
        <f>+'Cons spec tot e finalizzati'!P72-'Cons spec tot e finalizzati'!Q72</f>
        <v>189</v>
      </c>
      <c r="L69" s="175">
        <f>+'Cons spec tot e finalizzati'!R72-'Cons spec tot e finalizzati'!S72</f>
        <v>240</v>
      </c>
      <c r="M69" s="6"/>
      <c r="N69" s="184"/>
      <c r="AB69" s="82"/>
      <c r="AC69" s="83"/>
    </row>
    <row r="70" spans="1:29" s="3" customFormat="1" ht="12.75">
      <c r="A70" s="170" t="s">
        <v>128</v>
      </c>
      <c r="B70" s="171"/>
      <c r="C70" s="171"/>
      <c r="D70" s="172"/>
      <c r="F70" s="176">
        <f aca="true" t="shared" si="10" ref="F70:K70">+F71+F72+F76+F87</f>
        <v>13959</v>
      </c>
      <c r="G70" s="176">
        <f t="shared" si="10"/>
        <v>15275</v>
      </c>
      <c r="H70" s="176">
        <f t="shared" si="10"/>
        <v>18200</v>
      </c>
      <c r="I70" s="176">
        <f t="shared" si="10"/>
        <v>20435</v>
      </c>
      <c r="J70" s="176">
        <f t="shared" si="10"/>
        <v>23251.298646366467</v>
      </c>
      <c r="K70" s="176">
        <f t="shared" si="10"/>
        <v>20306</v>
      </c>
      <c r="L70" s="176">
        <f>+L71+L72+L76+L87</f>
        <v>21719</v>
      </c>
      <c r="M70" s="6"/>
      <c r="N70" s="184"/>
      <c r="AB70" s="82"/>
      <c r="AC70" s="83"/>
    </row>
    <row r="71" spans="1:29" s="3" customFormat="1" ht="12.75">
      <c r="A71" s="71"/>
      <c r="B71" s="59"/>
      <c r="C71" s="59" t="s">
        <v>129</v>
      </c>
      <c r="D71" s="72"/>
      <c r="F71" s="44">
        <f>+'Cons spec tot e finalizzati'!F74-'Cons spec tot e finalizzati'!G74</f>
        <v>0</v>
      </c>
      <c r="G71" s="44">
        <f>+'Cons spec tot e finalizzati'!H74-'Cons spec tot e finalizzati'!I74</f>
        <v>0</v>
      </c>
      <c r="H71" s="44">
        <f>+'Cons spec tot e finalizzati'!J74-'Cons spec tot e finalizzati'!K74</f>
        <v>0</v>
      </c>
      <c r="I71" s="44">
        <f>+'Cons spec tot e finalizzati'!L74-'Cons spec tot e finalizzati'!M74</f>
        <v>0</v>
      </c>
      <c r="J71" s="44">
        <f>+'Cons spec tot e finalizzati'!N74-'Cons spec tot e finalizzati'!O74</f>
        <v>0</v>
      </c>
      <c r="K71" s="44">
        <f>+'Cons spec tot e finalizzati'!P74-'Cons spec tot e finalizzati'!Q74</f>
        <v>0</v>
      </c>
      <c r="L71" s="44">
        <f>+'Cons spec tot e finalizzati'!R74-'Cons spec tot e finalizzati'!S74</f>
        <v>50</v>
      </c>
      <c r="M71" s="6"/>
      <c r="N71" s="184"/>
      <c r="AB71" s="86"/>
      <c r="AC71" s="87"/>
    </row>
    <row r="72" spans="1:29" s="62" customFormat="1" ht="12.75">
      <c r="A72" s="71"/>
      <c r="B72" s="81" t="s">
        <v>130</v>
      </c>
      <c r="C72" s="59"/>
      <c r="D72" s="72"/>
      <c r="E72" s="3"/>
      <c r="F72" s="130">
        <f aca="true" t="shared" si="11" ref="F72:K72">SUM(F73:F75)</f>
        <v>2550</v>
      </c>
      <c r="G72" s="130">
        <f t="shared" si="11"/>
        <v>2378</v>
      </c>
      <c r="H72" s="130">
        <f t="shared" si="11"/>
        <v>2467</v>
      </c>
      <c r="I72" s="130">
        <f t="shared" si="11"/>
        <v>2865</v>
      </c>
      <c r="J72" s="130">
        <f t="shared" si="11"/>
        <v>3710.2986463664674</v>
      </c>
      <c r="K72" s="130">
        <f t="shared" si="11"/>
        <v>3386</v>
      </c>
      <c r="L72" s="130">
        <f>SUM(L73:L75)</f>
        <v>3021</v>
      </c>
      <c r="M72" s="6"/>
      <c r="N72" s="184"/>
      <c r="AB72" s="79"/>
      <c r="AC72" s="80"/>
    </row>
    <row r="73" spans="1:29" s="3" customFormat="1" ht="12.75">
      <c r="A73" s="71"/>
      <c r="B73" s="59"/>
      <c r="C73" s="10" t="s">
        <v>9</v>
      </c>
      <c r="D73" s="72"/>
      <c r="F73" s="44">
        <f>+'Cons spec tot e finalizzati'!F76-'Cons spec tot e finalizzati'!G76</f>
        <v>0</v>
      </c>
      <c r="G73" s="44">
        <f>+'Cons spec tot e finalizzati'!H76-'Cons spec tot e finalizzati'!I76</f>
        <v>0</v>
      </c>
      <c r="H73" s="44">
        <f>+'Cons spec tot e finalizzati'!J76-'Cons spec tot e finalizzati'!K76</f>
        <v>0</v>
      </c>
      <c r="I73" s="44">
        <f>+'Cons spec tot e finalizzati'!L76-'Cons spec tot e finalizzati'!M76</f>
        <v>26</v>
      </c>
      <c r="J73" s="44">
        <f>+'Cons spec tot e finalizzati'!N76-'Cons spec tot e finalizzati'!O76</f>
        <v>77</v>
      </c>
      <c r="K73" s="44">
        <f>+'Cons spec tot e finalizzati'!P76-'Cons spec tot e finalizzati'!Q76</f>
        <v>67</v>
      </c>
      <c r="L73" s="44">
        <f>+'Cons spec tot e finalizzati'!R76-'Cons spec tot e finalizzati'!S76</f>
        <v>49</v>
      </c>
      <c r="M73" s="6"/>
      <c r="N73" s="184"/>
      <c r="AB73" s="79"/>
      <c r="AC73" s="80"/>
    </row>
    <row r="74" spans="1:29" s="3" customFormat="1" ht="12.75">
      <c r="A74" s="71"/>
      <c r="B74" s="59"/>
      <c r="C74" s="58" t="s">
        <v>188</v>
      </c>
      <c r="D74" s="72"/>
      <c r="F74" s="44">
        <f>+'Cons spec tot e finalizzati'!F77-'Cons spec tot e finalizzati'!G77</f>
        <v>2166</v>
      </c>
      <c r="G74" s="44">
        <f>+'Cons spec tot e finalizzati'!H77-'Cons spec tot e finalizzati'!I77</f>
        <v>2183</v>
      </c>
      <c r="H74" s="44">
        <f>+'Cons spec tot e finalizzati'!J77-'Cons spec tot e finalizzati'!K77</f>
        <v>2169</v>
      </c>
      <c r="I74" s="44">
        <f>+'Cons spec tot e finalizzati'!L77-'Cons spec tot e finalizzati'!M77</f>
        <v>2576</v>
      </c>
      <c r="J74" s="44">
        <f>+'Cons spec tot e finalizzati'!N77-'Cons spec tot e finalizzati'!O77</f>
        <v>2654</v>
      </c>
      <c r="K74" s="44">
        <f>+'Cons spec tot e finalizzati'!P77-'Cons spec tot e finalizzati'!Q77</f>
        <v>2485</v>
      </c>
      <c r="L74" s="44">
        <f>+'Cons spec tot e finalizzati'!R77-'Cons spec tot e finalizzati'!S77</f>
        <v>973</v>
      </c>
      <c r="M74" s="6"/>
      <c r="N74" s="184"/>
      <c r="AB74" s="97"/>
      <c r="AC74" s="83"/>
    </row>
    <row r="75" spans="1:29" s="3" customFormat="1" ht="12.75">
      <c r="A75" s="71"/>
      <c r="B75" s="59"/>
      <c r="C75" s="58" t="s">
        <v>44</v>
      </c>
      <c r="D75" s="72"/>
      <c r="F75" s="44">
        <f>+'Cons spec tot e finalizzati'!F78-'Cons spec tot e finalizzati'!G78</f>
        <v>384</v>
      </c>
      <c r="G75" s="44">
        <f>+'Cons spec tot e finalizzati'!H78-'Cons spec tot e finalizzati'!I78</f>
        <v>195</v>
      </c>
      <c r="H75" s="44">
        <f>+'Cons spec tot e finalizzati'!J78-'Cons spec tot e finalizzati'!K78</f>
        <v>298</v>
      </c>
      <c r="I75" s="44">
        <f>+'Cons spec tot e finalizzati'!L78-'Cons spec tot e finalizzati'!M78</f>
        <v>263</v>
      </c>
      <c r="J75" s="44">
        <f>+'Cons spec tot e finalizzati'!N78-'Cons spec tot e finalizzati'!O78</f>
        <v>979.2986463664674</v>
      </c>
      <c r="K75" s="44">
        <f>+'Cons spec tot e finalizzati'!P78-'Cons spec tot e finalizzati'!Q78</f>
        <v>834</v>
      </c>
      <c r="L75" s="44">
        <f>+'Cons spec tot e finalizzati'!R78-'Cons spec tot e finalizzati'!S78</f>
        <v>1999</v>
      </c>
      <c r="M75" s="6"/>
      <c r="N75" s="184"/>
      <c r="AB75" s="97"/>
      <c r="AC75" s="83"/>
    </row>
    <row r="76" spans="1:29" s="3" customFormat="1" ht="12.75">
      <c r="A76" s="71"/>
      <c r="B76" s="81" t="s">
        <v>131</v>
      </c>
      <c r="C76" s="59"/>
      <c r="D76" s="72"/>
      <c r="F76" s="130">
        <f aca="true" t="shared" si="12" ref="F76:K76">SUM(F77:F86)</f>
        <v>10756</v>
      </c>
      <c r="G76" s="130">
        <f t="shared" si="12"/>
        <v>12070</v>
      </c>
      <c r="H76" s="130">
        <f t="shared" si="12"/>
        <v>14198</v>
      </c>
      <c r="I76" s="130">
        <f t="shared" si="12"/>
        <v>15830</v>
      </c>
      <c r="J76" s="130">
        <f t="shared" si="12"/>
        <v>16993</v>
      </c>
      <c r="K76" s="130">
        <f t="shared" si="12"/>
        <v>13955</v>
      </c>
      <c r="L76" s="130">
        <f>SUM(L77:L86)</f>
        <v>15038</v>
      </c>
      <c r="M76" s="6"/>
      <c r="N76" s="184"/>
      <c r="AB76" s="97"/>
      <c r="AC76" s="83"/>
    </row>
    <row r="77" spans="1:29" s="3" customFormat="1" ht="12.75">
      <c r="A77" s="71"/>
      <c r="B77" s="59"/>
      <c r="C77" s="58" t="s">
        <v>42</v>
      </c>
      <c r="D77" s="72"/>
      <c r="F77" s="44">
        <f>+'Cons spec tot e finalizzati'!F80-'Cons spec tot e finalizzati'!G80</f>
        <v>256</v>
      </c>
      <c r="G77" s="44">
        <f>+'Cons spec tot e finalizzati'!H80-'Cons spec tot e finalizzati'!I80</f>
        <v>168</v>
      </c>
      <c r="H77" s="44">
        <f>+'Cons spec tot e finalizzati'!J80-'Cons spec tot e finalizzati'!K80</f>
        <v>292</v>
      </c>
      <c r="I77" s="44">
        <f>+'Cons spec tot e finalizzati'!L80-'Cons spec tot e finalizzati'!M80</f>
        <v>561</v>
      </c>
      <c r="J77" s="44">
        <f>+'Cons spec tot e finalizzati'!N80-'Cons spec tot e finalizzati'!O80</f>
        <v>833</v>
      </c>
      <c r="K77" s="44">
        <f>+'Cons spec tot e finalizzati'!P80-'Cons spec tot e finalizzati'!Q80</f>
        <v>471</v>
      </c>
      <c r="L77" s="44">
        <f>+'Cons spec tot e finalizzati'!R80-'Cons spec tot e finalizzati'!S80</f>
        <v>330</v>
      </c>
      <c r="M77" s="6"/>
      <c r="N77" s="184"/>
      <c r="AB77" s="103"/>
      <c r="AC77" s="87"/>
    </row>
    <row r="78" spans="1:29" s="3" customFormat="1" ht="12.75">
      <c r="A78" s="71"/>
      <c r="B78" s="59"/>
      <c r="C78" s="58" t="s">
        <v>45</v>
      </c>
      <c r="D78" s="72"/>
      <c r="F78" s="44">
        <f>+'Cons spec tot e finalizzati'!F81-'Cons spec tot e finalizzati'!G81</f>
        <v>129</v>
      </c>
      <c r="G78" s="44">
        <f>+'Cons spec tot e finalizzati'!H81-'Cons spec tot e finalizzati'!I81</f>
        <v>156</v>
      </c>
      <c r="H78" s="44">
        <f>+'Cons spec tot e finalizzati'!J81-'Cons spec tot e finalizzati'!K81</f>
        <v>103</v>
      </c>
      <c r="I78" s="44">
        <f>+'Cons spec tot e finalizzati'!L81-'Cons spec tot e finalizzati'!M81</f>
        <v>0</v>
      </c>
      <c r="J78" s="44">
        <f>+'Cons spec tot e finalizzati'!N81-'Cons spec tot e finalizzati'!O81</f>
        <v>0</v>
      </c>
      <c r="K78" s="44">
        <f>+'Cons spec tot e finalizzati'!P81-'Cons spec tot e finalizzati'!Q81</f>
        <v>0</v>
      </c>
      <c r="L78" s="44">
        <f>+'Cons spec tot e finalizzati'!R81-'Cons spec tot e finalizzati'!S81</f>
        <v>0</v>
      </c>
      <c r="M78" s="6"/>
      <c r="N78" s="184"/>
      <c r="AB78" s="104"/>
      <c r="AC78" s="80"/>
    </row>
    <row r="79" spans="1:29" s="3" customFormat="1" ht="12.75">
      <c r="A79" s="71"/>
      <c r="B79" s="59"/>
      <c r="C79" s="58" t="s">
        <v>46</v>
      </c>
      <c r="D79" s="72"/>
      <c r="F79" s="44">
        <f>+'Cons spec tot e finalizzati'!F82-'Cons spec tot e finalizzati'!G82</f>
        <v>4239</v>
      </c>
      <c r="G79" s="44">
        <f>+'Cons spec tot e finalizzati'!H82-'Cons spec tot e finalizzati'!I82</f>
        <v>4701</v>
      </c>
      <c r="H79" s="44">
        <f>+'Cons spec tot e finalizzati'!J82-'Cons spec tot e finalizzati'!K82</f>
        <v>5412</v>
      </c>
      <c r="I79" s="44">
        <f>+'Cons spec tot e finalizzati'!L82-'Cons spec tot e finalizzati'!M82</f>
        <v>5645</v>
      </c>
      <c r="J79" s="44">
        <f>+'Cons spec tot e finalizzati'!N82-'Cons spec tot e finalizzati'!O82</f>
        <v>5456</v>
      </c>
      <c r="K79" s="44">
        <f>+'Cons spec tot e finalizzati'!P82-'Cons spec tot e finalizzati'!Q82</f>
        <v>5877</v>
      </c>
      <c r="L79" s="44">
        <f>+'Cons spec tot e finalizzati'!R82-'Cons spec tot e finalizzati'!S82</f>
        <v>5325</v>
      </c>
      <c r="M79" s="6"/>
      <c r="N79" s="184"/>
      <c r="AB79" s="97"/>
      <c r="AC79" s="83"/>
    </row>
    <row r="80" spans="1:29" s="3" customFormat="1" ht="12.75">
      <c r="A80" s="71"/>
      <c r="B80" s="59"/>
      <c r="C80" s="58" t="s">
        <v>190</v>
      </c>
      <c r="D80" s="72"/>
      <c r="F80" s="44">
        <f>+'Cons spec tot e finalizzati'!F83-'Cons spec tot e finalizzati'!G83</f>
        <v>0</v>
      </c>
      <c r="G80" s="44">
        <f>+'Cons spec tot e finalizzati'!H83-'Cons spec tot e finalizzati'!I83</f>
        <v>0</v>
      </c>
      <c r="H80" s="44">
        <f>+'Cons spec tot e finalizzati'!J83-'Cons spec tot e finalizzati'!K83</f>
        <v>0</v>
      </c>
      <c r="I80" s="44">
        <f>+'Cons spec tot e finalizzati'!L83-'Cons spec tot e finalizzati'!M83</f>
        <v>0</v>
      </c>
      <c r="J80" s="44">
        <f>+'Cons spec tot e finalizzati'!N83-'Cons spec tot e finalizzati'!O83</f>
        <v>0</v>
      </c>
      <c r="K80" s="44">
        <f>+'Cons spec tot e finalizzati'!P83-'Cons spec tot e finalizzati'!Q83</f>
        <v>0</v>
      </c>
      <c r="L80" s="44">
        <f>+'Cons spec tot e finalizzati'!R83-'Cons spec tot e finalizzati'!S83</f>
        <v>1407</v>
      </c>
      <c r="M80" s="6"/>
      <c r="N80" s="184"/>
      <c r="AB80" s="97"/>
      <c r="AC80" s="83"/>
    </row>
    <row r="81" spans="1:29" s="3" customFormat="1" ht="12.75">
      <c r="A81" s="71"/>
      <c r="B81" s="59"/>
      <c r="C81" s="58" t="s">
        <v>189</v>
      </c>
      <c r="D81" s="72"/>
      <c r="F81" s="44">
        <f>+'Cons spec tot e finalizzati'!F84-'Cons spec tot e finalizzati'!G84</f>
        <v>0</v>
      </c>
      <c r="G81" s="44">
        <f>+'Cons spec tot e finalizzati'!H84-'Cons spec tot e finalizzati'!I84</f>
        <v>0</v>
      </c>
      <c r="H81" s="44">
        <f>+'Cons spec tot e finalizzati'!J84-'Cons spec tot e finalizzati'!K84</f>
        <v>0</v>
      </c>
      <c r="I81" s="44">
        <f>+'Cons spec tot e finalizzati'!L84-'Cons spec tot e finalizzati'!M84</f>
        <v>0</v>
      </c>
      <c r="J81" s="44">
        <f>+'Cons spec tot e finalizzati'!N84-'Cons spec tot e finalizzati'!O84</f>
        <v>0</v>
      </c>
      <c r="K81" s="44">
        <f>+'Cons spec tot e finalizzati'!P84-'Cons spec tot e finalizzati'!Q84</f>
        <v>0</v>
      </c>
      <c r="L81" s="44">
        <f>+'Cons spec tot e finalizzati'!R84-'Cons spec tot e finalizzati'!S84</f>
        <v>832</v>
      </c>
      <c r="M81" s="6"/>
      <c r="N81" s="184"/>
      <c r="AB81" s="97"/>
      <c r="AC81" s="83"/>
    </row>
    <row r="82" spans="1:29" s="85" customFormat="1" ht="12.75">
      <c r="A82" s="269"/>
      <c r="B82" s="61"/>
      <c r="C82" s="61" t="s">
        <v>78</v>
      </c>
      <c r="D82" s="84"/>
      <c r="F82" s="275">
        <f>+'Cons spec tot e finalizzati'!F85-'Cons spec tot e finalizzati'!G85</f>
        <v>1021</v>
      </c>
      <c r="G82" s="275">
        <f>+'Cons spec tot e finalizzati'!H85-'Cons spec tot e finalizzati'!I85</f>
        <v>999</v>
      </c>
      <c r="H82" s="275">
        <f>+'Cons spec tot e finalizzati'!J85-'Cons spec tot e finalizzati'!K85</f>
        <v>950</v>
      </c>
      <c r="I82" s="275">
        <f>+'Cons spec tot e finalizzati'!L85-'Cons spec tot e finalizzati'!M85</f>
        <v>1126</v>
      </c>
      <c r="J82" s="275">
        <f>+'Cons spec tot e finalizzati'!N85-'Cons spec tot e finalizzati'!O85</f>
        <v>1576</v>
      </c>
      <c r="K82" s="275">
        <f>+'Cons spec tot e finalizzati'!P85-'Cons spec tot e finalizzati'!Q85</f>
        <v>847</v>
      </c>
      <c r="L82" s="275">
        <f>+'Cons spec tot e finalizzati'!R85-'Cons spec tot e finalizzati'!S85</f>
        <v>0</v>
      </c>
      <c r="M82" s="276"/>
      <c r="N82" s="277"/>
      <c r="AB82" s="278"/>
      <c r="AC82" s="279"/>
    </row>
    <row r="83" spans="1:29" s="3" customFormat="1" ht="12.75">
      <c r="A83" s="71"/>
      <c r="B83" s="59"/>
      <c r="C83" s="58" t="s">
        <v>47</v>
      </c>
      <c r="D83" s="72"/>
      <c r="F83" s="44">
        <f>+'Cons spec tot e finalizzati'!F86-'Cons spec tot e finalizzati'!G86</f>
        <v>1449</v>
      </c>
      <c r="G83" s="44">
        <f>+'Cons spec tot e finalizzati'!H86-'Cons spec tot e finalizzati'!I86</f>
        <v>1683</v>
      </c>
      <c r="H83" s="44">
        <f>+'Cons spec tot e finalizzati'!J86-'Cons spec tot e finalizzati'!K86</f>
        <v>2231</v>
      </c>
      <c r="I83" s="44">
        <f>+'Cons spec tot e finalizzati'!L86-'Cons spec tot e finalizzati'!M86</f>
        <v>2584</v>
      </c>
      <c r="J83" s="44">
        <f>+'Cons spec tot e finalizzati'!N86-'Cons spec tot e finalizzati'!O86</f>
        <v>2394</v>
      </c>
      <c r="K83" s="44">
        <f>+'Cons spec tot e finalizzati'!P86-'Cons spec tot e finalizzati'!Q86</f>
        <v>2604</v>
      </c>
      <c r="L83" s="44">
        <f>+'Cons spec tot e finalizzati'!R86-'Cons spec tot e finalizzati'!S86</f>
        <v>3045</v>
      </c>
      <c r="M83" s="6"/>
      <c r="N83" s="184"/>
      <c r="AB83" s="97"/>
      <c r="AC83" s="83"/>
    </row>
    <row r="84" spans="1:29" s="3" customFormat="1" ht="12.75">
      <c r="A84" s="71"/>
      <c r="B84" s="59"/>
      <c r="C84" s="58" t="s">
        <v>79</v>
      </c>
      <c r="D84" s="72"/>
      <c r="F84" s="44">
        <f>+'Cons spec tot e finalizzati'!F87-'Cons spec tot e finalizzati'!G87</f>
        <v>2582</v>
      </c>
      <c r="G84" s="44">
        <f>+'Cons spec tot e finalizzati'!H87-'Cons spec tot e finalizzati'!I87</f>
        <v>2659</v>
      </c>
      <c r="H84" s="44">
        <f>+'Cons spec tot e finalizzati'!J87-'Cons spec tot e finalizzati'!K87</f>
        <v>3495</v>
      </c>
      <c r="I84" s="44">
        <f>+'Cons spec tot e finalizzati'!L87-'Cons spec tot e finalizzati'!M87</f>
        <v>4036</v>
      </c>
      <c r="J84" s="44">
        <f>+'Cons spec tot e finalizzati'!N87-'Cons spec tot e finalizzati'!O87</f>
        <v>4063</v>
      </c>
      <c r="K84" s="44">
        <f>+'Cons spec tot e finalizzati'!P87-'Cons spec tot e finalizzati'!Q87</f>
        <v>2116</v>
      </c>
      <c r="L84" s="44">
        <f>+'Cons spec tot e finalizzati'!R87-'Cons spec tot e finalizzati'!S87</f>
        <v>2141</v>
      </c>
      <c r="M84" s="6"/>
      <c r="N84" s="184"/>
      <c r="AB84" s="97"/>
      <c r="AC84" s="83"/>
    </row>
    <row r="85" spans="1:29" s="3" customFormat="1" ht="12.75">
      <c r="A85" s="71"/>
      <c r="B85" s="59"/>
      <c r="C85" s="58" t="s">
        <v>191</v>
      </c>
      <c r="D85" s="72"/>
      <c r="F85" s="44">
        <f>+'Cons spec tot e finalizzati'!F88-'Cons spec tot e finalizzati'!G88</f>
        <v>1033</v>
      </c>
      <c r="G85" s="44">
        <f>+'Cons spec tot e finalizzati'!H88-'Cons spec tot e finalizzati'!I88</f>
        <v>1136</v>
      </c>
      <c r="H85" s="44">
        <f>+'Cons spec tot e finalizzati'!J88-'Cons spec tot e finalizzati'!K88</f>
        <v>1162</v>
      </c>
      <c r="I85" s="44">
        <f>+'Cons spec tot e finalizzati'!L88-'Cons spec tot e finalizzati'!M88</f>
        <v>915</v>
      </c>
      <c r="J85" s="44">
        <f>+'Cons spec tot e finalizzati'!N88-'Cons spec tot e finalizzati'!O88</f>
        <v>1697</v>
      </c>
      <c r="K85" s="44">
        <f>+'Cons spec tot e finalizzati'!P88-'Cons spec tot e finalizzati'!Q88</f>
        <v>1977</v>
      </c>
      <c r="L85" s="44">
        <f>+'Cons spec tot e finalizzati'!R88-'Cons spec tot e finalizzati'!S88</f>
        <v>1924</v>
      </c>
      <c r="M85" s="6"/>
      <c r="N85" s="184"/>
      <c r="AB85" s="97"/>
      <c r="AC85" s="83"/>
    </row>
    <row r="86" spans="1:29" s="3" customFormat="1" ht="12.75">
      <c r="A86" s="71"/>
      <c r="B86" s="59"/>
      <c r="C86" s="59" t="s">
        <v>104</v>
      </c>
      <c r="D86" s="72"/>
      <c r="F86" s="44">
        <f>+'Cons spec tot e finalizzati'!F89-'Cons spec tot e finalizzati'!G89</f>
        <v>47</v>
      </c>
      <c r="G86" s="44">
        <f>+'Cons spec tot e finalizzati'!H89-'Cons spec tot e finalizzati'!I89</f>
        <v>568</v>
      </c>
      <c r="H86" s="44">
        <f>+'Cons spec tot e finalizzati'!J89-'Cons spec tot e finalizzati'!K89</f>
        <v>553</v>
      </c>
      <c r="I86" s="44">
        <f>+'Cons spec tot e finalizzati'!L89-'Cons spec tot e finalizzati'!M89</f>
        <v>963</v>
      </c>
      <c r="J86" s="44">
        <f>+'Cons spec tot e finalizzati'!N89-'Cons spec tot e finalizzati'!O89</f>
        <v>974</v>
      </c>
      <c r="K86" s="44">
        <f>+'Cons spec tot e finalizzati'!P89-'Cons spec tot e finalizzati'!Q89</f>
        <v>63</v>
      </c>
      <c r="L86" s="44">
        <f>+'Cons spec tot e finalizzati'!R89-'Cons spec tot e finalizzati'!S89</f>
        <v>34</v>
      </c>
      <c r="M86" s="6"/>
      <c r="N86" s="184"/>
      <c r="AB86" s="97"/>
      <c r="AC86" s="83"/>
    </row>
    <row r="87" spans="1:29" s="3" customFormat="1" ht="12.75">
      <c r="A87" s="71"/>
      <c r="B87" s="81" t="s">
        <v>132</v>
      </c>
      <c r="C87" s="59"/>
      <c r="D87" s="72"/>
      <c r="F87" s="130">
        <f aca="true" t="shared" si="13" ref="F87:K87">SUM(F88:F92)</f>
        <v>653</v>
      </c>
      <c r="G87" s="130">
        <f t="shared" si="13"/>
        <v>827</v>
      </c>
      <c r="H87" s="130">
        <f t="shared" si="13"/>
        <v>1535</v>
      </c>
      <c r="I87" s="130">
        <f t="shared" si="13"/>
        <v>1740</v>
      </c>
      <c r="J87" s="130">
        <f t="shared" si="13"/>
        <v>2548</v>
      </c>
      <c r="K87" s="130">
        <f t="shared" si="13"/>
        <v>2965</v>
      </c>
      <c r="L87" s="130">
        <f>SUM(L88:L92)</f>
        <v>3610</v>
      </c>
      <c r="M87" s="6"/>
      <c r="N87" s="184"/>
      <c r="AB87" s="97"/>
      <c r="AC87" s="83"/>
    </row>
    <row r="88" spans="1:29" s="3" customFormat="1" ht="12.75">
      <c r="A88" s="71"/>
      <c r="B88" s="59"/>
      <c r="C88" s="58" t="s">
        <v>42</v>
      </c>
      <c r="D88" s="72"/>
      <c r="F88" s="44">
        <f>+'Cons spec tot e finalizzati'!F91-'Cons spec tot e finalizzati'!G91</f>
        <v>102</v>
      </c>
      <c r="G88" s="44">
        <f>+'Cons spec tot e finalizzati'!H91-'Cons spec tot e finalizzati'!I91</f>
        <v>142</v>
      </c>
      <c r="H88" s="44">
        <f>+'Cons spec tot e finalizzati'!J91-'Cons spec tot e finalizzati'!K91</f>
        <v>183</v>
      </c>
      <c r="I88" s="44">
        <f>+'Cons spec tot e finalizzati'!L91-'Cons spec tot e finalizzati'!M91</f>
        <v>519</v>
      </c>
      <c r="J88" s="44">
        <f>+'Cons spec tot e finalizzati'!N91-'Cons spec tot e finalizzati'!O91</f>
        <v>343</v>
      </c>
      <c r="K88" s="44">
        <f>+'Cons spec tot e finalizzati'!P91-'Cons spec tot e finalizzati'!Q91</f>
        <v>119</v>
      </c>
      <c r="L88" s="44">
        <f>+'Cons spec tot e finalizzati'!R91-'Cons spec tot e finalizzati'!S91</f>
        <v>99</v>
      </c>
      <c r="M88" s="6"/>
      <c r="N88" s="184"/>
      <c r="AB88" s="97"/>
      <c r="AC88" s="83"/>
    </row>
    <row r="89" spans="1:29" s="3" customFormat="1" ht="12.75">
      <c r="A89" s="71"/>
      <c r="B89" s="59"/>
      <c r="C89" s="59" t="s">
        <v>133</v>
      </c>
      <c r="D89" s="72"/>
      <c r="F89" s="44">
        <f>+'Cons spec tot e finalizzati'!F92-'Cons spec tot e finalizzati'!G92</f>
        <v>380</v>
      </c>
      <c r="G89" s="44">
        <f>+'Cons spec tot e finalizzati'!H92-'Cons spec tot e finalizzati'!I92</f>
        <v>132</v>
      </c>
      <c r="H89" s="44">
        <f>+'Cons spec tot e finalizzati'!J92-'Cons spec tot e finalizzati'!K92</f>
        <v>749</v>
      </c>
      <c r="I89" s="44">
        <f>+'Cons spec tot e finalizzati'!L92-'Cons spec tot e finalizzati'!M92</f>
        <v>693</v>
      </c>
      <c r="J89" s="44">
        <f>+'Cons spec tot e finalizzati'!N92-'Cons spec tot e finalizzati'!O92</f>
        <v>733</v>
      </c>
      <c r="K89" s="44">
        <f>+'Cons spec tot e finalizzati'!P92-'Cons spec tot e finalizzati'!Q92</f>
        <v>1192</v>
      </c>
      <c r="L89" s="44">
        <f>+'Cons spec tot e finalizzati'!R92-'Cons spec tot e finalizzati'!S92</f>
        <v>1601</v>
      </c>
      <c r="M89" s="6"/>
      <c r="N89" s="184"/>
      <c r="AB89" s="103"/>
      <c r="AC89" s="87"/>
    </row>
    <row r="90" spans="1:29" s="3" customFormat="1" ht="12.75">
      <c r="A90" s="71"/>
      <c r="B90" s="59"/>
      <c r="C90" s="58" t="s">
        <v>160</v>
      </c>
      <c r="D90" s="72"/>
      <c r="F90" s="44">
        <f>+'Cons spec tot e finalizzati'!F93-'Cons spec tot e finalizzati'!G93</f>
        <v>70</v>
      </c>
      <c r="G90" s="44">
        <f>+'Cons spec tot e finalizzati'!H93-'Cons spec tot e finalizzati'!I93</f>
        <v>114</v>
      </c>
      <c r="H90" s="44">
        <f>+'Cons spec tot e finalizzati'!J93-'Cons spec tot e finalizzati'!K93</f>
        <v>201</v>
      </c>
      <c r="I90" s="44">
        <f>+'Cons spec tot e finalizzati'!L93-'Cons spec tot e finalizzati'!M93</f>
        <v>178</v>
      </c>
      <c r="J90" s="44">
        <f>+'Cons spec tot e finalizzati'!N93-'Cons spec tot e finalizzati'!O93</f>
        <v>203</v>
      </c>
      <c r="K90" s="44">
        <f>+'Cons spec tot e finalizzati'!P93-'Cons spec tot e finalizzati'!Q93</f>
        <v>127</v>
      </c>
      <c r="L90" s="44">
        <f>+'Cons spec tot e finalizzati'!R93-'Cons spec tot e finalizzati'!S93</f>
        <v>147</v>
      </c>
      <c r="M90" s="6"/>
      <c r="N90" s="184"/>
      <c r="AB90" s="104"/>
      <c r="AC90" s="80"/>
    </row>
    <row r="91" spans="1:29" s="3" customFormat="1" ht="12.75">
      <c r="A91" s="71"/>
      <c r="B91" s="59"/>
      <c r="C91" s="58" t="s">
        <v>161</v>
      </c>
      <c r="D91" s="72"/>
      <c r="F91" s="44">
        <f>+'Cons spec tot e finalizzati'!F94-'Cons spec tot e finalizzati'!G94</f>
        <v>0</v>
      </c>
      <c r="G91" s="44">
        <f>+'Cons spec tot e finalizzati'!H94-'Cons spec tot e finalizzati'!I94</f>
        <v>339</v>
      </c>
      <c r="H91" s="44">
        <f>+'Cons spec tot e finalizzati'!J94-'Cons spec tot e finalizzati'!K94</f>
        <v>345</v>
      </c>
      <c r="I91" s="44">
        <f>+'Cons spec tot e finalizzati'!L94-'Cons spec tot e finalizzati'!M94</f>
        <v>350</v>
      </c>
      <c r="J91" s="44">
        <f>+'Cons spec tot e finalizzati'!N94-'Cons spec tot e finalizzati'!O94</f>
        <v>1269</v>
      </c>
      <c r="K91" s="44">
        <f>+'Cons spec tot e finalizzati'!P94-'Cons spec tot e finalizzati'!Q94</f>
        <v>1527</v>
      </c>
      <c r="L91" s="44">
        <f>+'Cons spec tot e finalizzati'!R94-'Cons spec tot e finalizzati'!S94</f>
        <v>1763</v>
      </c>
      <c r="M91" s="6"/>
      <c r="N91" s="184"/>
      <c r="AB91" s="97"/>
      <c r="AC91" s="83"/>
    </row>
    <row r="92" spans="1:29" s="105" customFormat="1" ht="12.75">
      <c r="A92" s="100"/>
      <c r="B92" s="101"/>
      <c r="C92" s="178" t="s">
        <v>134</v>
      </c>
      <c r="D92" s="179"/>
      <c r="E92" s="3"/>
      <c r="F92" s="45">
        <f>+'Cons spec tot e finalizzati'!F95-'Cons spec tot e finalizzati'!G95</f>
        <v>101</v>
      </c>
      <c r="G92" s="45">
        <f>+'Cons spec tot e finalizzati'!H95-'Cons spec tot e finalizzati'!I95</f>
        <v>100</v>
      </c>
      <c r="H92" s="45">
        <f>+'Cons spec tot e finalizzati'!J95-'Cons spec tot e finalizzati'!K95</f>
        <v>57</v>
      </c>
      <c r="I92" s="45">
        <f>+'Cons spec tot e finalizzati'!L95-'Cons spec tot e finalizzati'!M95</f>
        <v>0</v>
      </c>
      <c r="J92" s="45">
        <f>+'Cons spec tot e finalizzati'!N95-'Cons spec tot e finalizzati'!O95</f>
        <v>0</v>
      </c>
      <c r="K92" s="45">
        <f>+'Cons spec tot e finalizzati'!P95-'Cons spec tot e finalizzati'!Q95</f>
        <v>0</v>
      </c>
      <c r="L92" s="45">
        <f>+'Cons spec tot e finalizzati'!R95-'Cons spec tot e finalizzati'!S95</f>
        <v>0</v>
      </c>
      <c r="M92" s="6"/>
      <c r="N92" s="184"/>
      <c r="AB92" s="106"/>
      <c r="AC92" s="107"/>
    </row>
    <row r="93" spans="1:29" s="3" customFormat="1" ht="12.75">
      <c r="A93" s="177" t="s">
        <v>135</v>
      </c>
      <c r="B93" s="171"/>
      <c r="C93" s="171"/>
      <c r="D93" s="172"/>
      <c r="F93" s="176">
        <f aca="true" t="shared" si="14" ref="F93:L93">+F94+F95+F96+F111+F117</f>
        <v>12640</v>
      </c>
      <c r="G93" s="176">
        <f t="shared" si="14"/>
        <v>17927</v>
      </c>
      <c r="H93" s="176">
        <f t="shared" si="14"/>
        <v>14324</v>
      </c>
      <c r="I93" s="176">
        <f t="shared" si="14"/>
        <v>16530</v>
      </c>
      <c r="J93" s="176">
        <f t="shared" si="14"/>
        <v>15734</v>
      </c>
      <c r="K93" s="176">
        <f t="shared" si="14"/>
        <v>16076</v>
      </c>
      <c r="L93" s="176">
        <f t="shared" si="14"/>
        <v>17546</v>
      </c>
      <c r="M93" s="6"/>
      <c r="N93" s="184"/>
      <c r="AB93" s="97"/>
      <c r="AC93" s="83"/>
    </row>
    <row r="94" spans="1:29" s="3" customFormat="1" ht="12.75">
      <c r="A94" s="71"/>
      <c r="B94" s="59"/>
      <c r="C94" s="59" t="s">
        <v>136</v>
      </c>
      <c r="D94" s="72"/>
      <c r="F94" s="44">
        <f>+'Cons spec tot e finalizzati'!F97-'Cons spec tot e finalizzati'!G97</f>
        <v>0</v>
      </c>
      <c r="G94" s="44">
        <f>+'Cons spec tot e finalizzati'!H97-'Cons spec tot e finalizzati'!I97</f>
        <v>0</v>
      </c>
      <c r="H94" s="44">
        <f>+'Cons spec tot e finalizzati'!J97-'Cons spec tot e finalizzati'!K97</f>
        <v>0</v>
      </c>
      <c r="I94" s="44">
        <f>+'Cons spec tot e finalizzati'!L97-'Cons spec tot e finalizzati'!M97</f>
        <v>0</v>
      </c>
      <c r="J94" s="44">
        <f>+'Cons spec tot e finalizzati'!N97-'Cons spec tot e finalizzati'!O97</f>
        <v>0</v>
      </c>
      <c r="K94" s="44">
        <f>+'Cons spec tot e finalizzati'!P97-'Cons spec tot e finalizzati'!Q97</f>
        <v>0</v>
      </c>
      <c r="L94" s="44">
        <f>+'Cons spec tot e finalizzati'!R97-'Cons spec tot e finalizzati'!S97</f>
        <v>0</v>
      </c>
      <c r="M94" s="6"/>
      <c r="N94" s="184"/>
      <c r="AB94" s="97"/>
      <c r="AC94" s="83"/>
    </row>
    <row r="95" spans="1:29" s="3" customFormat="1" ht="12.75">
      <c r="A95" s="71"/>
      <c r="B95" s="81" t="s">
        <v>162</v>
      </c>
      <c r="C95" s="23"/>
      <c r="D95" s="24"/>
      <c r="F95" s="158">
        <f>+'Cons spec tot e finalizzati'!F98-'Cons spec tot e finalizzati'!G98</f>
        <v>0</v>
      </c>
      <c r="G95" s="158">
        <f>+'Cons spec tot e finalizzati'!H98-'Cons spec tot e finalizzati'!I98</f>
        <v>0</v>
      </c>
      <c r="H95" s="158">
        <f>+'Cons spec tot e finalizzati'!J98-'Cons spec tot e finalizzati'!K98</f>
        <v>0</v>
      </c>
      <c r="I95" s="158">
        <f>+'Cons spec tot e finalizzati'!L98-'Cons spec tot e finalizzati'!M98</f>
        <v>21</v>
      </c>
      <c r="J95" s="158">
        <f>+'Cons spec tot e finalizzati'!N98-'Cons spec tot e finalizzati'!O98</f>
        <v>231</v>
      </c>
      <c r="K95" s="158">
        <f>+'Cons spec tot e finalizzati'!P98-'Cons spec tot e finalizzati'!Q98</f>
        <v>71</v>
      </c>
      <c r="L95" s="158">
        <f>+'Cons spec tot e finalizzati'!R98-'Cons spec tot e finalizzati'!S98</f>
        <v>269</v>
      </c>
      <c r="M95" s="6"/>
      <c r="N95" s="184"/>
      <c r="AB95" s="97"/>
      <c r="AC95" s="83"/>
    </row>
    <row r="96" spans="1:29" s="3" customFormat="1" ht="12.75">
      <c r="A96" s="71"/>
      <c r="B96" s="81" t="s">
        <v>137</v>
      </c>
      <c r="C96" s="23"/>
      <c r="D96" s="24"/>
      <c r="F96" s="43">
        <f aca="true" t="shared" si="15" ref="F96:K96">SUM(F97:F110)</f>
        <v>7589</v>
      </c>
      <c r="G96" s="43">
        <f t="shared" si="15"/>
        <v>12740</v>
      </c>
      <c r="H96" s="43">
        <f t="shared" si="15"/>
        <v>8824</v>
      </c>
      <c r="I96" s="43">
        <f t="shared" si="15"/>
        <v>10763</v>
      </c>
      <c r="J96" s="43">
        <f t="shared" si="15"/>
        <v>9711</v>
      </c>
      <c r="K96" s="43">
        <f t="shared" si="15"/>
        <v>9593</v>
      </c>
      <c r="L96" s="43">
        <f>SUM(L97:L110)</f>
        <v>10952</v>
      </c>
      <c r="M96" s="6"/>
      <c r="N96" s="184"/>
      <c r="AB96" s="97"/>
      <c r="AC96" s="83"/>
    </row>
    <row r="97" spans="1:29" s="105" customFormat="1" ht="12.75">
      <c r="A97" s="71"/>
      <c r="B97" s="81"/>
      <c r="C97" s="59" t="s">
        <v>12</v>
      </c>
      <c r="D97" s="24"/>
      <c r="E97" s="3"/>
      <c r="F97" s="44">
        <f>+'Cons spec tot e finalizzati'!F100-'Cons spec tot e finalizzati'!G100</f>
        <v>166</v>
      </c>
      <c r="G97" s="44">
        <f>+'Cons spec tot e finalizzati'!H100-'Cons spec tot e finalizzati'!I100</f>
        <v>190</v>
      </c>
      <c r="H97" s="44">
        <f>+'Cons spec tot e finalizzati'!J100-'Cons spec tot e finalizzati'!K100</f>
        <v>169</v>
      </c>
      <c r="I97" s="44">
        <f>+'Cons spec tot e finalizzati'!L100-'Cons spec tot e finalizzati'!M100</f>
        <v>265</v>
      </c>
      <c r="J97" s="44">
        <f>+'Cons spec tot e finalizzati'!N100-'Cons spec tot e finalizzati'!O100</f>
        <v>289</v>
      </c>
      <c r="K97" s="44">
        <f>+'Cons spec tot e finalizzati'!P100-'Cons spec tot e finalizzati'!Q100</f>
        <v>113</v>
      </c>
      <c r="L97" s="44">
        <f>+'Cons spec tot e finalizzati'!R100-'Cons spec tot e finalizzati'!S100</f>
        <v>191</v>
      </c>
      <c r="M97" s="6"/>
      <c r="N97" s="184"/>
      <c r="AB97" s="106"/>
      <c r="AC97" s="107"/>
    </row>
    <row r="98" spans="1:29" s="3" customFormat="1" ht="12.75">
      <c r="A98" s="71"/>
      <c r="B98" s="81"/>
      <c r="C98" s="59" t="s">
        <v>70</v>
      </c>
      <c r="D98" s="24"/>
      <c r="F98" s="44">
        <f>+'Cons spec tot e finalizzati'!F101-'Cons spec tot e finalizzati'!G101</f>
        <v>1042</v>
      </c>
      <c r="G98" s="44">
        <f>+'Cons spec tot e finalizzati'!H101-'Cons spec tot e finalizzati'!I101</f>
        <v>4509</v>
      </c>
      <c r="H98" s="44">
        <f>+'Cons spec tot e finalizzati'!J101-'Cons spec tot e finalizzati'!K101</f>
        <v>805</v>
      </c>
      <c r="I98" s="44">
        <f>+'Cons spec tot e finalizzati'!L101-'Cons spec tot e finalizzati'!M101</f>
        <v>348</v>
      </c>
      <c r="J98" s="44">
        <f>+'Cons spec tot e finalizzati'!N101-'Cons spec tot e finalizzati'!O101</f>
        <v>1310</v>
      </c>
      <c r="K98" s="44">
        <f>+'Cons spec tot e finalizzati'!P101-'Cons spec tot e finalizzati'!Q101</f>
        <v>1201</v>
      </c>
      <c r="L98" s="44">
        <f>+'Cons spec tot e finalizzati'!R101-'Cons spec tot e finalizzati'!S101</f>
        <v>1306</v>
      </c>
      <c r="M98" s="6"/>
      <c r="N98" s="184"/>
      <c r="AB98" s="97"/>
      <c r="AC98" s="83"/>
    </row>
    <row r="99" spans="1:29" s="3" customFormat="1" ht="12.75">
      <c r="A99" s="71"/>
      <c r="B99" s="81"/>
      <c r="C99" s="59" t="s">
        <v>163</v>
      </c>
      <c r="D99" s="24"/>
      <c r="F99" s="44">
        <f>+'Cons spec tot e finalizzati'!F102-'Cons spec tot e finalizzati'!G102</f>
        <v>0</v>
      </c>
      <c r="G99" s="44">
        <f>+'Cons spec tot e finalizzati'!H102-'Cons spec tot e finalizzati'!I102</f>
        <v>1019</v>
      </c>
      <c r="H99" s="44">
        <f>+'Cons spec tot e finalizzati'!J102-'Cons spec tot e finalizzati'!K102</f>
        <v>451</v>
      </c>
      <c r="I99" s="44">
        <f>+'Cons spec tot e finalizzati'!L102-'Cons spec tot e finalizzati'!M102</f>
        <v>2143</v>
      </c>
      <c r="J99" s="44">
        <f>+'Cons spec tot e finalizzati'!N102-'Cons spec tot e finalizzati'!O102</f>
        <v>0</v>
      </c>
      <c r="K99" s="44">
        <f>+'Cons spec tot e finalizzati'!P102-'Cons spec tot e finalizzati'!Q102</f>
        <v>0</v>
      </c>
      <c r="L99" s="44">
        <f>+'Cons spec tot e finalizzati'!R102-'Cons spec tot e finalizzati'!S102</f>
        <v>0</v>
      </c>
      <c r="M99" s="6"/>
      <c r="N99" s="184"/>
      <c r="AB99" s="103"/>
      <c r="AC99" s="87"/>
    </row>
    <row r="100" spans="1:29" s="3" customFormat="1" ht="12.75">
      <c r="A100" s="71"/>
      <c r="B100" s="81"/>
      <c r="C100" s="59" t="s">
        <v>77</v>
      </c>
      <c r="D100" s="24"/>
      <c r="F100" s="44">
        <f>+'Cons spec tot e finalizzati'!F103-'Cons spec tot e finalizzati'!G103</f>
        <v>2549</v>
      </c>
      <c r="G100" s="44">
        <f>+'Cons spec tot e finalizzati'!H103-'Cons spec tot e finalizzati'!I103</f>
        <v>2861</v>
      </c>
      <c r="H100" s="44">
        <f>+'Cons spec tot e finalizzati'!J103-'Cons spec tot e finalizzati'!K103</f>
        <v>3001</v>
      </c>
      <c r="I100" s="44">
        <f>+'Cons spec tot e finalizzati'!L103-'Cons spec tot e finalizzati'!M103</f>
        <v>3321</v>
      </c>
      <c r="J100" s="44">
        <f>+'Cons spec tot e finalizzati'!N103-'Cons spec tot e finalizzati'!O103</f>
        <v>2893</v>
      </c>
      <c r="K100" s="44">
        <f>+'Cons spec tot e finalizzati'!P103-'Cons spec tot e finalizzati'!Q103</f>
        <v>2680</v>
      </c>
      <c r="L100" s="44">
        <f>+'Cons spec tot e finalizzati'!R103-'Cons spec tot e finalizzati'!S103</f>
        <v>2871</v>
      </c>
      <c r="M100" s="6"/>
      <c r="N100" s="184"/>
      <c r="AB100" s="97"/>
      <c r="AC100" s="83"/>
    </row>
    <row r="101" spans="1:29" s="3" customFormat="1" ht="12.75">
      <c r="A101" s="71"/>
      <c r="B101" s="81"/>
      <c r="C101" s="59" t="s">
        <v>32</v>
      </c>
      <c r="D101" s="24"/>
      <c r="F101" s="44">
        <f>+'Cons spec tot e finalizzati'!F104-'Cons spec tot e finalizzati'!G104</f>
        <v>476</v>
      </c>
      <c r="G101" s="44">
        <f>+'Cons spec tot e finalizzati'!H104-'Cons spec tot e finalizzati'!I104</f>
        <v>648</v>
      </c>
      <c r="H101" s="44">
        <f>+'Cons spec tot e finalizzati'!J104-'Cons spec tot e finalizzati'!K104</f>
        <v>725</v>
      </c>
      <c r="I101" s="44">
        <f>+'Cons spec tot e finalizzati'!L104-'Cons spec tot e finalizzati'!M104</f>
        <v>860</v>
      </c>
      <c r="J101" s="44">
        <f>+'Cons spec tot e finalizzati'!N104-'Cons spec tot e finalizzati'!O104</f>
        <v>755</v>
      </c>
      <c r="K101" s="44">
        <f>+'Cons spec tot e finalizzati'!P104-'Cons spec tot e finalizzati'!Q104</f>
        <v>842</v>
      </c>
      <c r="L101" s="44">
        <f>+'Cons spec tot e finalizzati'!R104-'Cons spec tot e finalizzati'!S104</f>
        <v>735</v>
      </c>
      <c r="M101" s="6"/>
      <c r="N101" s="184"/>
      <c r="AB101" s="108"/>
      <c r="AC101" s="109"/>
    </row>
    <row r="102" spans="1:29" s="3" customFormat="1" ht="12.75">
      <c r="A102" s="71"/>
      <c r="B102" s="81"/>
      <c r="C102" s="59" t="s">
        <v>164</v>
      </c>
      <c r="D102" s="24"/>
      <c r="F102" s="44">
        <f>+'Cons spec tot e finalizzati'!F105-'Cons spec tot e finalizzati'!G105</f>
        <v>363</v>
      </c>
      <c r="G102" s="44">
        <f>+'Cons spec tot e finalizzati'!H105-'Cons spec tot e finalizzati'!I105</f>
        <v>349</v>
      </c>
      <c r="H102" s="44">
        <f>+'Cons spec tot e finalizzati'!J105-'Cons spec tot e finalizzati'!K105</f>
        <v>588</v>
      </c>
      <c r="I102" s="44">
        <f>+'Cons spec tot e finalizzati'!L105-'Cons spec tot e finalizzati'!M105</f>
        <v>660</v>
      </c>
      <c r="J102" s="44">
        <f>+'Cons spec tot e finalizzati'!N105-'Cons spec tot e finalizzati'!O105</f>
        <v>1082</v>
      </c>
      <c r="K102" s="44">
        <f>+'Cons spec tot e finalizzati'!P105-'Cons spec tot e finalizzati'!Q105</f>
        <v>1509</v>
      </c>
      <c r="L102" s="44">
        <f>+'Cons spec tot e finalizzati'!R105-'Cons spec tot e finalizzati'!S105</f>
        <v>2431</v>
      </c>
      <c r="M102" s="6"/>
      <c r="N102" s="184"/>
      <c r="AB102" s="82"/>
      <c r="AC102" s="83"/>
    </row>
    <row r="103" spans="1:29" s="3" customFormat="1" ht="12.75">
      <c r="A103" s="71"/>
      <c r="B103" s="81"/>
      <c r="C103" s="59" t="s">
        <v>33</v>
      </c>
      <c r="D103" s="24"/>
      <c r="F103" s="44">
        <f>+'Cons spec tot e finalizzati'!F106-'Cons spec tot e finalizzati'!G106</f>
        <v>434</v>
      </c>
      <c r="G103" s="44">
        <f>+'Cons spec tot e finalizzati'!H106-'Cons spec tot e finalizzati'!I106</f>
        <v>500</v>
      </c>
      <c r="H103" s="44">
        <f>+'Cons spec tot e finalizzati'!J106-'Cons spec tot e finalizzati'!K106</f>
        <v>410</v>
      </c>
      <c r="I103" s="44">
        <f>+'Cons spec tot e finalizzati'!L106-'Cons spec tot e finalizzati'!M106</f>
        <v>386</v>
      </c>
      <c r="J103" s="44">
        <f>+'Cons spec tot e finalizzati'!N106-'Cons spec tot e finalizzati'!O106</f>
        <v>457</v>
      </c>
      <c r="K103" s="44">
        <f>+'Cons spec tot e finalizzati'!P106-'Cons spec tot e finalizzati'!Q106</f>
        <v>435</v>
      </c>
      <c r="L103" s="44">
        <f>+'Cons spec tot e finalizzati'!R106-'Cons spec tot e finalizzati'!S106</f>
        <v>432</v>
      </c>
      <c r="M103" s="6"/>
      <c r="N103" s="184"/>
      <c r="AB103" s="82"/>
      <c r="AC103" s="83"/>
    </row>
    <row r="104" spans="1:29" s="3" customFormat="1" ht="12.75">
      <c r="A104" s="71"/>
      <c r="B104" s="81"/>
      <c r="C104" s="59" t="s">
        <v>34</v>
      </c>
      <c r="D104" s="24"/>
      <c r="F104" s="44">
        <f>+'Cons spec tot e finalizzati'!F107-'Cons spec tot e finalizzati'!G107</f>
        <v>456</v>
      </c>
      <c r="G104" s="44">
        <f>+'Cons spec tot e finalizzati'!H107-'Cons spec tot e finalizzati'!I107</f>
        <v>605</v>
      </c>
      <c r="H104" s="44">
        <f>+'Cons spec tot e finalizzati'!J107-'Cons spec tot e finalizzati'!K107</f>
        <v>617</v>
      </c>
      <c r="I104" s="44">
        <f>+'Cons spec tot e finalizzati'!L107-'Cons spec tot e finalizzati'!M107</f>
        <v>617</v>
      </c>
      <c r="J104" s="44">
        <f>+'Cons spec tot e finalizzati'!N107-'Cons spec tot e finalizzati'!O107</f>
        <v>746</v>
      </c>
      <c r="K104" s="44">
        <f>+'Cons spec tot e finalizzati'!P107-'Cons spec tot e finalizzati'!Q107</f>
        <v>650</v>
      </c>
      <c r="L104" s="44">
        <f>+'Cons spec tot e finalizzati'!R107-'Cons spec tot e finalizzati'!S107</f>
        <v>620</v>
      </c>
      <c r="M104" s="6"/>
      <c r="N104" s="184"/>
      <c r="AB104" s="82"/>
      <c r="AC104" s="83"/>
    </row>
    <row r="105" spans="1:29" s="3" customFormat="1" ht="12.75">
      <c r="A105" s="71"/>
      <c r="B105" s="81"/>
      <c r="C105" s="59" t="s">
        <v>35</v>
      </c>
      <c r="D105" s="24"/>
      <c r="F105" s="44">
        <f>+'Cons spec tot e finalizzati'!F108-'Cons spec tot e finalizzati'!G108</f>
        <v>465</v>
      </c>
      <c r="G105" s="44">
        <f>+'Cons spec tot e finalizzati'!H108-'Cons spec tot e finalizzati'!I108</f>
        <v>491</v>
      </c>
      <c r="H105" s="44">
        <f>+'Cons spec tot e finalizzati'!J108-'Cons spec tot e finalizzati'!K108</f>
        <v>491</v>
      </c>
      <c r="I105" s="44">
        <f>+'Cons spec tot e finalizzati'!L108-'Cons spec tot e finalizzati'!M108</f>
        <v>496</v>
      </c>
      <c r="J105" s="44">
        <f>+'Cons spec tot e finalizzati'!N108-'Cons spec tot e finalizzati'!O108</f>
        <v>491</v>
      </c>
      <c r="K105" s="44">
        <f>+'Cons spec tot e finalizzati'!P108-'Cons spec tot e finalizzati'!Q108</f>
        <v>497</v>
      </c>
      <c r="L105" s="44">
        <f>+'Cons spec tot e finalizzati'!R108-'Cons spec tot e finalizzati'!S108</f>
        <v>597</v>
      </c>
      <c r="M105" s="6"/>
      <c r="N105" s="184"/>
      <c r="AB105" s="86"/>
      <c r="AC105" s="87"/>
    </row>
    <row r="106" spans="1:29" s="3" customFormat="1" ht="12.75">
      <c r="A106" s="71"/>
      <c r="B106" s="81"/>
      <c r="C106" s="59" t="s">
        <v>36</v>
      </c>
      <c r="D106" s="24"/>
      <c r="F106" s="44">
        <f>+'Cons spec tot e finalizzati'!F109-'Cons spec tot e finalizzati'!G109</f>
        <v>1211</v>
      </c>
      <c r="G106" s="44">
        <f>+'Cons spec tot e finalizzati'!H109-'Cons spec tot e finalizzati'!I109</f>
        <v>1149</v>
      </c>
      <c r="H106" s="44">
        <f>+'Cons spec tot e finalizzati'!J109-'Cons spec tot e finalizzati'!K109</f>
        <v>1136</v>
      </c>
      <c r="I106" s="44">
        <f>+'Cons spec tot e finalizzati'!L109-'Cons spec tot e finalizzati'!M109</f>
        <v>1134</v>
      </c>
      <c r="J106" s="44">
        <f>+'Cons spec tot e finalizzati'!N109-'Cons spec tot e finalizzati'!O109</f>
        <v>1134</v>
      </c>
      <c r="K106" s="44">
        <f>+'Cons spec tot e finalizzati'!P109-'Cons spec tot e finalizzati'!Q109</f>
        <v>1053</v>
      </c>
      <c r="L106" s="44">
        <f>+'Cons spec tot e finalizzati'!R109-'Cons spec tot e finalizzati'!S109</f>
        <v>1144</v>
      </c>
      <c r="M106" s="6"/>
      <c r="N106" s="184"/>
      <c r="AB106" s="79"/>
      <c r="AC106" s="80"/>
    </row>
    <row r="107" spans="1:29" s="3" customFormat="1" ht="12.75">
      <c r="A107" s="71"/>
      <c r="B107" s="81"/>
      <c r="C107" s="59" t="s">
        <v>37</v>
      </c>
      <c r="D107" s="24"/>
      <c r="F107" s="44">
        <f>+'Cons spec tot e finalizzati'!F110-'Cons spec tot e finalizzati'!G110</f>
        <v>76</v>
      </c>
      <c r="G107" s="44">
        <f>+'Cons spec tot e finalizzati'!H110-'Cons spec tot e finalizzati'!I110</f>
        <v>84</v>
      </c>
      <c r="H107" s="44">
        <f>+'Cons spec tot e finalizzati'!J110-'Cons spec tot e finalizzati'!K110</f>
        <v>97</v>
      </c>
      <c r="I107" s="44">
        <f>+'Cons spec tot e finalizzati'!L110-'Cons spec tot e finalizzati'!M110</f>
        <v>112</v>
      </c>
      <c r="J107" s="44">
        <f>+'Cons spec tot e finalizzati'!N110-'Cons spec tot e finalizzati'!O110</f>
        <v>134</v>
      </c>
      <c r="K107" s="44">
        <f>+'Cons spec tot e finalizzati'!P110-'Cons spec tot e finalizzati'!Q110</f>
        <v>150</v>
      </c>
      <c r="L107" s="44">
        <f>+'Cons spec tot e finalizzati'!R110-'Cons spec tot e finalizzati'!S110</f>
        <v>151</v>
      </c>
      <c r="M107" s="6"/>
      <c r="N107" s="184"/>
      <c r="AB107" s="82"/>
      <c r="AC107" s="83"/>
    </row>
    <row r="108" spans="1:29" s="3" customFormat="1" ht="12.75">
      <c r="A108" s="71"/>
      <c r="B108" s="81"/>
      <c r="C108" s="59" t="s">
        <v>38</v>
      </c>
      <c r="D108" s="24"/>
      <c r="F108" s="44">
        <f>+'Cons spec tot e finalizzati'!F111-'Cons spec tot e finalizzati'!G111</f>
        <v>134</v>
      </c>
      <c r="G108" s="44">
        <f>+'Cons spec tot e finalizzati'!H111-'Cons spec tot e finalizzati'!I111</f>
        <v>160</v>
      </c>
      <c r="H108" s="44">
        <f>+'Cons spec tot e finalizzati'!J111-'Cons spec tot e finalizzati'!K111</f>
        <v>142</v>
      </c>
      <c r="I108" s="44">
        <f>+'Cons spec tot e finalizzati'!L111-'Cons spec tot e finalizzati'!M111</f>
        <v>212</v>
      </c>
      <c r="J108" s="44">
        <f>+'Cons spec tot e finalizzati'!N111-'Cons spec tot e finalizzati'!O111</f>
        <v>167</v>
      </c>
      <c r="K108" s="44">
        <f>+'Cons spec tot e finalizzati'!P111-'Cons spec tot e finalizzati'!Q111</f>
        <v>177</v>
      </c>
      <c r="L108" s="44">
        <f>+'Cons spec tot e finalizzati'!R111-'Cons spec tot e finalizzati'!S111</f>
        <v>191</v>
      </c>
      <c r="M108" s="6"/>
      <c r="N108" s="184"/>
      <c r="AB108" s="82"/>
      <c r="AC108" s="83"/>
    </row>
    <row r="109" spans="1:29" s="3" customFormat="1" ht="12.75">
      <c r="A109" s="71"/>
      <c r="B109" s="81"/>
      <c r="C109" s="59" t="s">
        <v>165</v>
      </c>
      <c r="D109" s="24"/>
      <c r="F109" s="44">
        <f>+'Cons spec tot e finalizzati'!F112-'Cons spec tot e finalizzati'!G112</f>
        <v>0</v>
      </c>
      <c r="G109" s="44">
        <f>+'Cons spec tot e finalizzati'!H112-'Cons spec tot e finalizzati'!I112</f>
        <v>0</v>
      </c>
      <c r="H109" s="44">
        <f>+'Cons spec tot e finalizzati'!J112-'Cons spec tot e finalizzati'!K112</f>
        <v>0</v>
      </c>
      <c r="I109" s="44">
        <f>+'Cons spec tot e finalizzati'!L112-'Cons spec tot e finalizzati'!M112</f>
        <v>0</v>
      </c>
      <c r="J109" s="44">
        <f>+'Cons spec tot e finalizzati'!N112-'Cons spec tot e finalizzati'!O112</f>
        <v>79</v>
      </c>
      <c r="K109" s="44">
        <f>+'Cons spec tot e finalizzati'!P112-'Cons spec tot e finalizzati'!Q112</f>
        <v>164</v>
      </c>
      <c r="L109" s="44">
        <f>+'Cons spec tot e finalizzati'!R112-'Cons spec tot e finalizzati'!S112</f>
        <v>184</v>
      </c>
      <c r="M109" s="6"/>
      <c r="N109" s="184"/>
      <c r="AB109" s="82"/>
      <c r="AC109" s="83"/>
    </row>
    <row r="110" spans="1:29" s="3" customFormat="1" ht="12.75">
      <c r="A110" s="71"/>
      <c r="B110" s="81"/>
      <c r="C110" s="59" t="s">
        <v>166</v>
      </c>
      <c r="D110" s="24"/>
      <c r="F110" s="44">
        <f>+'Cons spec tot e finalizzati'!F113-'Cons spec tot e finalizzati'!G113</f>
        <v>217</v>
      </c>
      <c r="G110" s="44">
        <f>+'Cons spec tot e finalizzati'!H113-'Cons spec tot e finalizzati'!I113</f>
        <v>175</v>
      </c>
      <c r="H110" s="44">
        <f>+'Cons spec tot e finalizzati'!J113-'Cons spec tot e finalizzati'!K113</f>
        <v>192</v>
      </c>
      <c r="I110" s="44">
        <f>+'Cons spec tot e finalizzati'!L113-'Cons spec tot e finalizzati'!M113</f>
        <v>209</v>
      </c>
      <c r="J110" s="44">
        <f>+'Cons spec tot e finalizzati'!N113-'Cons spec tot e finalizzati'!O113</f>
        <v>174</v>
      </c>
      <c r="K110" s="44">
        <f>+'Cons spec tot e finalizzati'!P113-'Cons spec tot e finalizzati'!Q113</f>
        <v>122</v>
      </c>
      <c r="L110" s="44">
        <f>+'Cons spec tot e finalizzati'!R113-'Cons spec tot e finalizzati'!S113</f>
        <v>99</v>
      </c>
      <c r="M110" s="6"/>
      <c r="N110" s="184"/>
      <c r="AB110" s="82"/>
      <c r="AC110" s="83"/>
    </row>
    <row r="111" spans="1:29" s="3" customFormat="1" ht="12.75">
      <c r="A111" s="71"/>
      <c r="B111" s="168" t="s">
        <v>220</v>
      </c>
      <c r="C111" s="23"/>
      <c r="D111" s="24"/>
      <c r="F111" s="43">
        <f aca="true" t="shared" si="16" ref="F111:L111">SUM(F112:F116)</f>
        <v>936</v>
      </c>
      <c r="G111" s="43">
        <f t="shared" si="16"/>
        <v>1041</v>
      </c>
      <c r="H111" s="43">
        <f t="shared" si="16"/>
        <v>1176</v>
      </c>
      <c r="I111" s="43">
        <f t="shared" si="16"/>
        <v>1663</v>
      </c>
      <c r="J111" s="43">
        <f t="shared" si="16"/>
        <v>1678</v>
      </c>
      <c r="K111" s="43">
        <f t="shared" si="16"/>
        <v>2066</v>
      </c>
      <c r="L111" s="43">
        <f t="shared" si="16"/>
        <v>2427</v>
      </c>
      <c r="M111" s="6"/>
      <c r="N111" s="184"/>
      <c r="AB111" s="82"/>
      <c r="AC111" s="83"/>
    </row>
    <row r="112" spans="1:29" s="3" customFormat="1" ht="12.75">
      <c r="A112" s="71"/>
      <c r="B112" s="81"/>
      <c r="C112" s="19" t="s">
        <v>12</v>
      </c>
      <c r="D112" s="24"/>
      <c r="F112" s="44">
        <f>+'Cons spec tot e finalizzati'!F115-'Cons spec tot e finalizzati'!G115</f>
        <v>0</v>
      </c>
      <c r="G112" s="44">
        <f>+'Cons spec tot e finalizzati'!H115-'Cons spec tot e finalizzati'!I115</f>
        <v>206</v>
      </c>
      <c r="H112" s="44">
        <f>+'Cons spec tot e finalizzati'!J115-'Cons spec tot e finalizzati'!K115</f>
        <v>412</v>
      </c>
      <c r="I112" s="44">
        <f>+'Cons spec tot e finalizzati'!L115-'Cons spec tot e finalizzati'!M115</f>
        <v>502</v>
      </c>
      <c r="J112" s="44">
        <f>+'Cons spec tot e finalizzati'!N115-'Cons spec tot e finalizzati'!O115</f>
        <v>451</v>
      </c>
      <c r="K112" s="44">
        <f>+'Cons spec tot e finalizzati'!P115-'Cons spec tot e finalizzati'!Q115</f>
        <v>391</v>
      </c>
      <c r="L112" s="44">
        <f>+'Cons spec tot e finalizzati'!R115-'Cons spec tot e finalizzati'!S115</f>
        <v>171</v>
      </c>
      <c r="M112" s="6"/>
      <c r="N112" s="184"/>
      <c r="AB112" s="79"/>
      <c r="AC112" s="80"/>
    </row>
    <row r="113" spans="1:29" s="3" customFormat="1" ht="12.75">
      <c r="A113" s="71"/>
      <c r="B113" s="81"/>
      <c r="C113" s="59" t="s">
        <v>179</v>
      </c>
      <c r="D113" s="24"/>
      <c r="F113" s="44">
        <f>+'Cons spec tot e finalizzati'!F116-'Cons spec tot e finalizzati'!G116</f>
        <v>314</v>
      </c>
      <c r="G113" s="44">
        <f>+'Cons spec tot e finalizzati'!H116-'Cons spec tot e finalizzati'!I116</f>
        <v>414</v>
      </c>
      <c r="H113" s="44">
        <f>+'Cons spec tot e finalizzati'!J116-'Cons spec tot e finalizzati'!K116</f>
        <v>362</v>
      </c>
      <c r="I113" s="44">
        <f>+'Cons spec tot e finalizzati'!L116-'Cons spec tot e finalizzati'!M116</f>
        <v>737</v>
      </c>
      <c r="J113" s="44">
        <f>+'Cons spec tot e finalizzati'!N116-'Cons spec tot e finalizzati'!O116</f>
        <v>197</v>
      </c>
      <c r="K113" s="44">
        <f>+'Cons spec tot e finalizzati'!P116-'Cons spec tot e finalizzati'!Q116</f>
        <v>344</v>
      </c>
      <c r="L113" s="44">
        <f>+'Cons spec tot e finalizzati'!R116-'Cons spec tot e finalizzati'!S116</f>
        <v>271</v>
      </c>
      <c r="M113" s="6"/>
      <c r="N113" s="184"/>
      <c r="AB113" s="86"/>
      <c r="AC113" s="87"/>
    </row>
    <row r="114" spans="1:29" s="3" customFormat="1" ht="12.75">
      <c r="A114" s="71"/>
      <c r="B114" s="81"/>
      <c r="C114" s="59" t="s">
        <v>180</v>
      </c>
      <c r="D114" s="24"/>
      <c r="F114" s="44">
        <f>+'Cons spec tot e finalizzati'!F117-'Cons spec tot e finalizzati'!G117</f>
        <v>229</v>
      </c>
      <c r="G114" s="44">
        <f>+'Cons spec tot e finalizzati'!H117-'Cons spec tot e finalizzati'!I117</f>
        <v>18</v>
      </c>
      <c r="H114" s="44">
        <f>+'Cons spec tot e finalizzati'!J117-'Cons spec tot e finalizzati'!K117</f>
        <v>0</v>
      </c>
      <c r="I114" s="44">
        <f>+'Cons spec tot e finalizzati'!L117-'Cons spec tot e finalizzati'!M117</f>
        <v>0</v>
      </c>
      <c r="J114" s="44">
        <f>+'Cons spec tot e finalizzati'!N117-'Cons spec tot e finalizzati'!O117</f>
        <v>0</v>
      </c>
      <c r="K114" s="44">
        <f>+'Cons spec tot e finalizzati'!P117-'Cons spec tot e finalizzati'!Q117</f>
        <v>260</v>
      </c>
      <c r="L114" s="44">
        <f>+'Cons spec tot e finalizzati'!R117-'Cons spec tot e finalizzati'!S117</f>
        <v>319</v>
      </c>
      <c r="M114" s="6"/>
      <c r="N114" s="184"/>
      <c r="AB114" s="82"/>
      <c r="AC114" s="83"/>
    </row>
    <row r="115" spans="1:29" s="3" customFormat="1" ht="12.75">
      <c r="A115" s="71"/>
      <c r="B115" s="81"/>
      <c r="C115" s="59" t="s">
        <v>107</v>
      </c>
      <c r="D115" s="24"/>
      <c r="F115" s="44">
        <f>+'Cons spec tot e finalizzati'!F118-'Cons spec tot e finalizzati'!G118</f>
        <v>0</v>
      </c>
      <c r="G115" s="44">
        <f>+'Cons spec tot e finalizzati'!H118-'Cons spec tot e finalizzati'!I118</f>
        <v>0</v>
      </c>
      <c r="H115" s="44">
        <f>+'Cons spec tot e finalizzati'!J118-'Cons spec tot e finalizzati'!K118</f>
        <v>0</v>
      </c>
      <c r="I115" s="44">
        <f>+'Cons spec tot e finalizzati'!L118-'Cons spec tot e finalizzati'!M118</f>
        <v>0</v>
      </c>
      <c r="J115" s="44">
        <f>+'Cons spec tot e finalizzati'!N118-'Cons spec tot e finalizzati'!O118</f>
        <v>603</v>
      </c>
      <c r="K115" s="44">
        <f>+'Cons spec tot e finalizzati'!P118-'Cons spec tot e finalizzati'!Q118</f>
        <v>636</v>
      </c>
      <c r="L115" s="44">
        <f>+'Cons spec tot e finalizzati'!R118-'Cons spec tot e finalizzati'!S118</f>
        <v>1212</v>
      </c>
      <c r="M115" s="6"/>
      <c r="N115" s="184"/>
      <c r="AB115" s="82"/>
      <c r="AC115" s="83"/>
    </row>
    <row r="116" spans="1:29" s="3" customFormat="1" ht="12.75">
      <c r="A116" s="71"/>
      <c r="B116" s="59"/>
      <c r="C116" s="58" t="s">
        <v>168</v>
      </c>
      <c r="D116" s="72"/>
      <c r="F116" s="44">
        <f>+'Cons spec tot e finalizzati'!F119-'Cons spec tot e finalizzati'!G119</f>
        <v>393</v>
      </c>
      <c r="G116" s="44">
        <f>+'Cons spec tot e finalizzati'!H119-'Cons spec tot e finalizzati'!I119</f>
        <v>403</v>
      </c>
      <c r="H116" s="44">
        <f>+'Cons spec tot e finalizzati'!J119-'Cons spec tot e finalizzati'!K119</f>
        <v>402</v>
      </c>
      <c r="I116" s="44">
        <f>+'Cons spec tot e finalizzati'!L119-'Cons spec tot e finalizzati'!M119</f>
        <v>424</v>
      </c>
      <c r="J116" s="44">
        <f>+'Cons spec tot e finalizzati'!N119-'Cons spec tot e finalizzati'!O119</f>
        <v>427</v>
      </c>
      <c r="K116" s="44">
        <f>+'Cons spec tot e finalizzati'!P119-'Cons spec tot e finalizzati'!Q119</f>
        <v>435</v>
      </c>
      <c r="L116" s="44">
        <f>+'Cons spec tot e finalizzati'!R119-'Cons spec tot e finalizzati'!S119</f>
        <v>454</v>
      </c>
      <c r="M116" s="6"/>
      <c r="N116" s="184"/>
      <c r="AB116" s="82"/>
      <c r="AC116" s="111"/>
    </row>
    <row r="117" spans="1:29" s="3" customFormat="1" ht="12.75">
      <c r="A117" s="71"/>
      <c r="B117" s="168" t="s">
        <v>138</v>
      </c>
      <c r="C117" s="59"/>
      <c r="D117" s="72"/>
      <c r="F117" s="130">
        <f aca="true" t="shared" si="17" ref="F117:K117">SUM(F118:F125)</f>
        <v>4115</v>
      </c>
      <c r="G117" s="130">
        <f t="shared" si="17"/>
        <v>4146</v>
      </c>
      <c r="H117" s="130">
        <f t="shared" si="17"/>
        <v>4324</v>
      </c>
      <c r="I117" s="130">
        <f t="shared" si="17"/>
        <v>4083</v>
      </c>
      <c r="J117" s="130">
        <f t="shared" si="17"/>
        <v>4114</v>
      </c>
      <c r="K117" s="130">
        <f t="shared" si="17"/>
        <v>4346</v>
      </c>
      <c r="L117" s="130">
        <f>SUM(L118:L125)</f>
        <v>3898</v>
      </c>
      <c r="M117" s="6"/>
      <c r="N117" s="184"/>
      <c r="AB117" s="82"/>
      <c r="AC117" s="66"/>
    </row>
    <row r="118" spans="1:29" s="3" customFormat="1" ht="12.75">
      <c r="A118" s="71"/>
      <c r="B118" s="59"/>
      <c r="C118" s="19" t="s">
        <v>12</v>
      </c>
      <c r="D118" s="72"/>
      <c r="E118" s="62"/>
      <c r="F118" s="44">
        <f>+'Cons spec tot e finalizzati'!F121-'Cons spec tot e finalizzati'!G121</f>
        <v>0</v>
      </c>
      <c r="G118" s="44">
        <f>+'Cons spec tot e finalizzati'!H121-'Cons spec tot e finalizzati'!I121</f>
        <v>0</v>
      </c>
      <c r="H118" s="44">
        <f>+'Cons spec tot e finalizzati'!J121-'Cons spec tot e finalizzati'!K121</f>
        <v>0</v>
      </c>
      <c r="I118" s="44">
        <f>+'Cons spec tot e finalizzati'!L121-'Cons spec tot e finalizzati'!M121</f>
        <v>0</v>
      </c>
      <c r="J118" s="44">
        <f>+'Cons spec tot e finalizzati'!N121-'Cons spec tot e finalizzati'!O121</f>
        <v>0</v>
      </c>
      <c r="K118" s="44">
        <f>+'Cons spec tot e finalizzati'!P121-'Cons spec tot e finalizzati'!Q121</f>
        <v>98</v>
      </c>
      <c r="L118" s="44">
        <f>+'Cons spec tot e finalizzati'!R121-'Cons spec tot e finalizzati'!S121</f>
        <v>112</v>
      </c>
      <c r="M118" s="6"/>
      <c r="N118" s="184"/>
      <c r="AB118" s="82"/>
      <c r="AC118" s="66"/>
    </row>
    <row r="119" spans="1:29" s="3" customFormat="1" ht="12.75">
      <c r="A119" s="71"/>
      <c r="B119" s="59"/>
      <c r="C119" s="19" t="s">
        <v>193</v>
      </c>
      <c r="D119" s="72"/>
      <c r="E119" s="62"/>
      <c r="F119" s="44">
        <f>+'Cons spec tot e finalizzati'!F122-'Cons spec tot e finalizzati'!G122</f>
        <v>0</v>
      </c>
      <c r="G119" s="44">
        <f>+'Cons spec tot e finalizzati'!H122-'Cons spec tot e finalizzati'!I122</f>
        <v>0</v>
      </c>
      <c r="H119" s="44">
        <f>+'Cons spec tot e finalizzati'!J122-'Cons spec tot e finalizzati'!K122</f>
        <v>0</v>
      </c>
      <c r="I119" s="44">
        <f>+'Cons spec tot e finalizzati'!L122-'Cons spec tot e finalizzati'!M122</f>
        <v>0</v>
      </c>
      <c r="J119" s="44">
        <f>+'Cons spec tot e finalizzati'!N122-'Cons spec tot e finalizzati'!O122</f>
        <v>0</v>
      </c>
      <c r="K119" s="44">
        <f>+'Cons spec tot e finalizzati'!P122-'Cons spec tot e finalizzati'!Q122</f>
        <v>694</v>
      </c>
      <c r="L119" s="44">
        <f>+'Cons spec tot e finalizzati'!R122-'Cons spec tot e finalizzati'!S122</f>
        <v>576</v>
      </c>
      <c r="M119" s="6"/>
      <c r="N119" s="184"/>
      <c r="AB119" s="82"/>
      <c r="AC119" s="66"/>
    </row>
    <row r="120" spans="1:29" s="3" customFormat="1" ht="12.75">
      <c r="A120" s="71"/>
      <c r="B120" s="59"/>
      <c r="C120" s="19" t="s">
        <v>194</v>
      </c>
      <c r="D120" s="72"/>
      <c r="E120" s="62"/>
      <c r="F120" s="44">
        <f>+'Cons spec tot e finalizzati'!F123-'Cons spec tot e finalizzati'!G123</f>
        <v>0</v>
      </c>
      <c r="G120" s="44">
        <f>+'Cons spec tot e finalizzati'!H123-'Cons spec tot e finalizzati'!I123</f>
        <v>0</v>
      </c>
      <c r="H120" s="44">
        <f>+'Cons spec tot e finalizzati'!J123-'Cons spec tot e finalizzati'!K123</f>
        <v>0</v>
      </c>
      <c r="I120" s="44">
        <f>+'Cons spec tot e finalizzati'!L123-'Cons spec tot e finalizzati'!M123</f>
        <v>0</v>
      </c>
      <c r="J120" s="44">
        <f>+'Cons spec tot e finalizzati'!N123-'Cons spec tot e finalizzati'!O123</f>
        <v>0</v>
      </c>
      <c r="K120" s="44">
        <f>+'Cons spec tot e finalizzati'!P123-'Cons spec tot e finalizzati'!Q123</f>
        <v>484</v>
      </c>
      <c r="L120" s="44">
        <f>+'Cons spec tot e finalizzati'!R123-'Cons spec tot e finalizzati'!S123</f>
        <v>337</v>
      </c>
      <c r="M120" s="6"/>
      <c r="N120" s="184"/>
      <c r="AB120" s="82"/>
      <c r="AC120" s="66"/>
    </row>
    <row r="121" spans="1:29" s="85" customFormat="1" ht="12.75">
      <c r="A121" s="269"/>
      <c r="B121" s="61"/>
      <c r="C121" s="61" t="s">
        <v>169</v>
      </c>
      <c r="D121" s="84"/>
      <c r="F121" s="275">
        <f>+'Cons spec tot e finalizzati'!F124-'Cons spec tot e finalizzati'!G124</f>
        <v>939</v>
      </c>
      <c r="G121" s="275">
        <f>+'Cons spec tot e finalizzati'!H124-'Cons spec tot e finalizzati'!I124</f>
        <v>945</v>
      </c>
      <c r="H121" s="275">
        <f>+'Cons spec tot e finalizzati'!J124-'Cons spec tot e finalizzati'!K124</f>
        <v>924</v>
      </c>
      <c r="I121" s="275">
        <f>+'Cons spec tot e finalizzati'!L124-'Cons spec tot e finalizzati'!M124</f>
        <v>892</v>
      </c>
      <c r="J121" s="275">
        <f>+'Cons spec tot e finalizzati'!N124-'Cons spec tot e finalizzati'!O124</f>
        <v>988</v>
      </c>
      <c r="K121" s="275">
        <f>+'Cons spec tot e finalizzati'!P124-'Cons spec tot e finalizzati'!Q124</f>
        <v>0</v>
      </c>
      <c r="L121" s="275">
        <f>+'Cons spec tot e finalizzati'!R124-'Cons spec tot e finalizzati'!S124</f>
        <v>0</v>
      </c>
      <c r="M121" s="276"/>
      <c r="N121" s="277"/>
      <c r="AB121" s="280"/>
      <c r="AC121" s="281"/>
    </row>
    <row r="122" spans="1:29" s="3" customFormat="1" ht="12.75">
      <c r="A122" s="71"/>
      <c r="B122" s="59"/>
      <c r="C122" s="58" t="s">
        <v>39</v>
      </c>
      <c r="D122" s="72"/>
      <c r="F122" s="44">
        <f>+'Cons spec tot e finalizzati'!F125-'Cons spec tot e finalizzati'!G125</f>
        <v>3101</v>
      </c>
      <c r="G122" s="44">
        <f>+'Cons spec tot e finalizzati'!H125-'Cons spec tot e finalizzati'!I125</f>
        <v>2971</v>
      </c>
      <c r="H122" s="44">
        <f>+'Cons spec tot e finalizzati'!J125-'Cons spec tot e finalizzati'!K125</f>
        <v>3104</v>
      </c>
      <c r="I122" s="44">
        <f>+'Cons spec tot e finalizzati'!L125-'Cons spec tot e finalizzati'!M125</f>
        <v>2996</v>
      </c>
      <c r="J122" s="44">
        <f>+'Cons spec tot e finalizzati'!N125-'Cons spec tot e finalizzati'!O125</f>
        <v>2871</v>
      </c>
      <c r="K122" s="44">
        <f>+'Cons spec tot e finalizzati'!P125-'Cons spec tot e finalizzati'!Q125</f>
        <v>2737</v>
      </c>
      <c r="L122" s="44">
        <f>+'Cons spec tot e finalizzati'!R125-'Cons spec tot e finalizzati'!S125</f>
        <v>2543</v>
      </c>
      <c r="M122" s="6"/>
      <c r="N122" s="184"/>
      <c r="AB122" s="82"/>
      <c r="AC122" s="83"/>
    </row>
    <row r="123" spans="1:29" s="3" customFormat="1" ht="12.75">
      <c r="A123" s="71"/>
      <c r="B123" s="59"/>
      <c r="C123" s="58" t="s">
        <v>195</v>
      </c>
      <c r="D123" s="72"/>
      <c r="F123" s="44">
        <f>+'Cons spec tot e finalizzati'!F126-'Cons spec tot e finalizzati'!G126</f>
        <v>0</v>
      </c>
      <c r="G123" s="44">
        <f>+'Cons spec tot e finalizzati'!H126-'Cons spec tot e finalizzati'!I126</f>
        <v>0</v>
      </c>
      <c r="H123" s="44">
        <f>+'Cons spec tot e finalizzati'!J126-'Cons spec tot e finalizzati'!K126</f>
        <v>0</v>
      </c>
      <c r="I123" s="44">
        <f>+'Cons spec tot e finalizzati'!L126-'Cons spec tot e finalizzati'!M126</f>
        <v>0</v>
      </c>
      <c r="J123" s="44">
        <f>+'Cons spec tot e finalizzati'!N126-'Cons spec tot e finalizzati'!O126</f>
        <v>0</v>
      </c>
      <c r="K123" s="44">
        <f>+'Cons spec tot e finalizzati'!P126-'Cons spec tot e finalizzati'!Q126</f>
        <v>280</v>
      </c>
      <c r="L123" s="44">
        <f>+'Cons spec tot e finalizzati'!R126-'Cons spec tot e finalizzati'!S126</f>
        <v>286</v>
      </c>
      <c r="M123" s="6"/>
      <c r="N123" s="184"/>
      <c r="AB123" s="82"/>
      <c r="AC123" s="83"/>
    </row>
    <row r="124" spans="1:29" s="3" customFormat="1" ht="12.75">
      <c r="A124" s="71"/>
      <c r="B124" s="59"/>
      <c r="C124" s="58" t="s">
        <v>196</v>
      </c>
      <c r="D124" s="72"/>
      <c r="F124" s="44">
        <f>+'Cons spec tot e finalizzati'!F127-'Cons spec tot e finalizzati'!G127</f>
        <v>0</v>
      </c>
      <c r="G124" s="44">
        <f>+'Cons spec tot e finalizzati'!H127-'Cons spec tot e finalizzati'!I127</f>
        <v>0</v>
      </c>
      <c r="H124" s="44">
        <f>+'Cons spec tot e finalizzati'!J127-'Cons spec tot e finalizzati'!K127</f>
        <v>0</v>
      </c>
      <c r="I124" s="44">
        <f>+'Cons spec tot e finalizzati'!L127-'Cons spec tot e finalizzati'!M127</f>
        <v>0</v>
      </c>
      <c r="J124" s="44">
        <f>+'Cons spec tot e finalizzati'!N127-'Cons spec tot e finalizzati'!O127</f>
        <v>0</v>
      </c>
      <c r="K124" s="44">
        <f>+'Cons spec tot e finalizzati'!P127-'Cons spec tot e finalizzati'!Q127</f>
        <v>53</v>
      </c>
      <c r="L124" s="44">
        <f>+'Cons spec tot e finalizzati'!R127-'Cons spec tot e finalizzati'!S127</f>
        <v>44</v>
      </c>
      <c r="M124" s="6"/>
      <c r="N124" s="184"/>
      <c r="AB124" s="82"/>
      <c r="AC124" s="83"/>
    </row>
    <row r="125" spans="1:29" s="85" customFormat="1" ht="12.75">
      <c r="A125" s="270"/>
      <c r="B125" s="178"/>
      <c r="C125" s="178" t="s">
        <v>71</v>
      </c>
      <c r="D125" s="179"/>
      <c r="F125" s="282">
        <f>+'Cons spec tot e finalizzati'!F128-'Cons spec tot e finalizzati'!G128</f>
        <v>75</v>
      </c>
      <c r="G125" s="282">
        <f>+'Cons spec tot e finalizzati'!H128-'Cons spec tot e finalizzati'!I128</f>
        <v>230</v>
      </c>
      <c r="H125" s="282">
        <f>+'Cons spec tot e finalizzati'!J128-'Cons spec tot e finalizzati'!K128</f>
        <v>296</v>
      </c>
      <c r="I125" s="282">
        <f>+'Cons spec tot e finalizzati'!L128-'Cons spec tot e finalizzati'!M128</f>
        <v>195</v>
      </c>
      <c r="J125" s="282">
        <f>+'Cons spec tot e finalizzati'!N128-'Cons spec tot e finalizzati'!O128</f>
        <v>255</v>
      </c>
      <c r="K125" s="282">
        <f>+'Cons spec tot e finalizzati'!P128-'Cons spec tot e finalizzati'!Q128</f>
        <v>0</v>
      </c>
      <c r="L125" s="282">
        <f>+'Cons spec tot e finalizzati'!R128-'Cons spec tot e finalizzati'!S128</f>
        <v>0</v>
      </c>
      <c r="M125" s="276"/>
      <c r="N125" s="277"/>
      <c r="AB125" s="280"/>
      <c r="AC125" s="283"/>
    </row>
    <row r="126" spans="1:29" s="3" customFormat="1" ht="12.75">
      <c r="A126" s="177" t="s">
        <v>139</v>
      </c>
      <c r="B126" s="171"/>
      <c r="C126" s="171"/>
      <c r="D126" s="172"/>
      <c r="F126" s="176">
        <f aca="true" t="shared" si="18" ref="F126:L126">+F127+F128+F135+F146</f>
        <v>18480</v>
      </c>
      <c r="G126" s="176">
        <f t="shared" si="18"/>
        <v>22723</v>
      </c>
      <c r="H126" s="176">
        <f t="shared" si="18"/>
        <v>20403</v>
      </c>
      <c r="I126" s="176">
        <f t="shared" si="18"/>
        <v>20687.5</v>
      </c>
      <c r="J126" s="176">
        <f t="shared" si="18"/>
        <v>19724.117690198163</v>
      </c>
      <c r="K126" s="176">
        <f t="shared" si="18"/>
        <v>22585</v>
      </c>
      <c r="L126" s="176">
        <f t="shared" si="18"/>
        <v>21156</v>
      </c>
      <c r="M126" s="6"/>
      <c r="N126" s="184"/>
      <c r="AB126" s="82"/>
      <c r="AC126" s="96"/>
    </row>
    <row r="127" spans="1:29" s="3" customFormat="1" ht="12.75">
      <c r="A127" s="71"/>
      <c r="B127" s="59"/>
      <c r="C127" s="59" t="s">
        <v>140</v>
      </c>
      <c r="D127" s="72"/>
      <c r="F127" s="44">
        <f>+'Cons spec tot e finalizzati'!F130-'Cons spec tot e finalizzati'!G130</f>
        <v>0</v>
      </c>
      <c r="G127" s="44">
        <f>+'Cons spec tot e finalizzati'!H130-'Cons spec tot e finalizzati'!I130</f>
        <v>0</v>
      </c>
      <c r="H127" s="44">
        <f>+'Cons spec tot e finalizzati'!J130-'Cons spec tot e finalizzati'!K130</f>
        <v>0</v>
      </c>
      <c r="I127" s="44">
        <f>+'Cons spec tot e finalizzati'!L130-'Cons spec tot e finalizzati'!M130</f>
        <v>0</v>
      </c>
      <c r="J127" s="44">
        <f>+'Cons spec tot e finalizzati'!N130-'Cons spec tot e finalizzati'!O130</f>
        <v>0</v>
      </c>
      <c r="K127" s="44">
        <f>+'Cons spec tot e finalizzati'!P130-'Cons spec tot e finalizzati'!Q130</f>
        <v>0</v>
      </c>
      <c r="L127" s="44">
        <f>+'Cons spec tot e finalizzati'!R130-'Cons spec tot e finalizzati'!S130</f>
        <v>0</v>
      </c>
      <c r="M127" s="6"/>
      <c r="N127" s="184"/>
      <c r="AB127" s="82"/>
      <c r="AC127" s="96"/>
    </row>
    <row r="128" spans="1:29" s="3" customFormat="1" ht="12.75">
      <c r="A128" s="71"/>
      <c r="B128" s="81" t="s">
        <v>170</v>
      </c>
      <c r="C128" s="59"/>
      <c r="D128" s="72"/>
      <c r="F128" s="130">
        <f aca="true" t="shared" si="19" ref="F128:K128">SUM(F129:F134)</f>
        <v>3346</v>
      </c>
      <c r="G128" s="130">
        <f t="shared" si="19"/>
        <v>3227</v>
      </c>
      <c r="H128" s="130">
        <f t="shared" si="19"/>
        <v>2986</v>
      </c>
      <c r="I128" s="130">
        <f t="shared" si="19"/>
        <v>2613</v>
      </c>
      <c r="J128" s="130">
        <f t="shared" si="19"/>
        <v>1847</v>
      </c>
      <c r="K128" s="130">
        <f t="shared" si="19"/>
        <v>2734</v>
      </c>
      <c r="L128" s="130">
        <f>SUM(L129:L134)</f>
        <v>2112</v>
      </c>
      <c r="M128" s="6"/>
      <c r="N128" s="184"/>
      <c r="AB128" s="82"/>
      <c r="AC128" s="66"/>
    </row>
    <row r="129" spans="1:29" s="3" customFormat="1" ht="12.75">
      <c r="A129" s="71"/>
      <c r="B129" s="23"/>
      <c r="C129" s="59" t="s">
        <v>42</v>
      </c>
      <c r="D129" s="72"/>
      <c r="F129" s="44">
        <f>+'Cons spec tot e finalizzati'!F132-'Cons spec tot e finalizzati'!G132</f>
        <v>59</v>
      </c>
      <c r="G129" s="44">
        <f>+'Cons spec tot e finalizzati'!H132-'Cons spec tot e finalizzati'!I132</f>
        <v>67</v>
      </c>
      <c r="H129" s="44">
        <f>+'Cons spec tot e finalizzati'!J132-'Cons spec tot e finalizzati'!K132</f>
        <v>171</v>
      </c>
      <c r="I129" s="44">
        <f>+'Cons spec tot e finalizzati'!L132-'Cons spec tot e finalizzati'!M132</f>
        <v>72</v>
      </c>
      <c r="J129" s="44">
        <f>+'Cons spec tot e finalizzati'!N132-'Cons spec tot e finalizzati'!O132</f>
        <v>103</v>
      </c>
      <c r="K129" s="44">
        <f>+'Cons spec tot e finalizzati'!P132-'Cons spec tot e finalizzati'!Q132</f>
        <v>120</v>
      </c>
      <c r="L129" s="44">
        <f>+'Cons spec tot e finalizzati'!R132-'Cons spec tot e finalizzati'!S132</f>
        <v>99</v>
      </c>
      <c r="M129" s="6"/>
      <c r="N129" s="184"/>
      <c r="AB129" s="82"/>
      <c r="AC129" s="38"/>
    </row>
    <row r="130" spans="1:29" s="3" customFormat="1" ht="12.75">
      <c r="A130" s="71"/>
      <c r="B130" s="23"/>
      <c r="C130" s="59" t="s">
        <v>197</v>
      </c>
      <c r="D130" s="72"/>
      <c r="E130" s="81"/>
      <c r="F130" s="44">
        <f>+'Cons spec tot e finalizzati'!F133-'Cons spec tot e finalizzati'!G133</f>
        <v>819</v>
      </c>
      <c r="G130" s="44">
        <f>+'Cons spec tot e finalizzati'!H133-'Cons spec tot e finalizzati'!I133</f>
        <v>948</v>
      </c>
      <c r="H130" s="44">
        <f>+'Cons spec tot e finalizzati'!J133-'Cons spec tot e finalizzati'!K133</f>
        <v>940</v>
      </c>
      <c r="I130" s="44">
        <f>+'Cons spec tot e finalizzati'!L133-'Cons spec tot e finalizzati'!M133</f>
        <v>965</v>
      </c>
      <c r="J130" s="44">
        <f>+'Cons spec tot e finalizzati'!N133-'Cons spec tot e finalizzati'!O133</f>
        <v>498</v>
      </c>
      <c r="K130" s="44">
        <f>+'Cons spec tot e finalizzati'!P133-'Cons spec tot e finalizzati'!Q133</f>
        <v>963</v>
      </c>
      <c r="L130" s="44">
        <f>+'Cons spec tot e finalizzati'!R133-'Cons spec tot e finalizzati'!S133</f>
        <v>935</v>
      </c>
      <c r="M130" s="6"/>
      <c r="N130" s="184"/>
      <c r="AB130" s="79"/>
      <c r="AC130" s="113"/>
    </row>
    <row r="131" spans="1:29" s="3" customFormat="1" ht="12.75">
      <c r="A131" s="71"/>
      <c r="B131" s="23"/>
      <c r="C131" s="59" t="s">
        <v>102</v>
      </c>
      <c r="D131" s="72"/>
      <c r="E131" s="75"/>
      <c r="F131" s="44">
        <f>+'Cons spec tot e finalizzati'!F134-'Cons spec tot e finalizzati'!G134</f>
        <v>16</v>
      </c>
      <c r="G131" s="44">
        <f>+'Cons spec tot e finalizzati'!H134-'Cons spec tot e finalizzati'!I134</f>
        <v>33</v>
      </c>
      <c r="H131" s="44">
        <f>+'Cons spec tot e finalizzati'!J134-'Cons spec tot e finalizzati'!K134</f>
        <v>25</v>
      </c>
      <c r="I131" s="44">
        <f>+'Cons spec tot e finalizzati'!L134-'Cons spec tot e finalizzati'!M134</f>
        <v>0</v>
      </c>
      <c r="J131" s="44">
        <f>+'Cons spec tot e finalizzati'!N134-'Cons spec tot e finalizzati'!O134</f>
        <v>0</v>
      </c>
      <c r="K131" s="44">
        <f>+'Cons spec tot e finalizzati'!P134-'Cons spec tot e finalizzati'!Q134</f>
        <v>0</v>
      </c>
      <c r="L131" s="44">
        <f>+'Cons spec tot e finalizzati'!R134-'Cons spec tot e finalizzati'!S134</f>
        <v>0</v>
      </c>
      <c r="M131" s="6"/>
      <c r="N131" s="184"/>
      <c r="AB131" s="82"/>
      <c r="AC131" s="83"/>
    </row>
    <row r="132" spans="1:29" s="114" customFormat="1" ht="12.75">
      <c r="A132" s="71"/>
      <c r="B132" s="23"/>
      <c r="C132" s="59" t="s">
        <v>198</v>
      </c>
      <c r="D132" s="72"/>
      <c r="E132" s="75"/>
      <c r="F132" s="44">
        <f>+'Cons spec tot e finalizzati'!F135-'Cons spec tot e finalizzati'!G135</f>
        <v>176</v>
      </c>
      <c r="G132" s="44">
        <f>+'Cons spec tot e finalizzati'!H135-'Cons spec tot e finalizzati'!I135</f>
        <v>131</v>
      </c>
      <c r="H132" s="44">
        <f>+'Cons spec tot e finalizzati'!J135-'Cons spec tot e finalizzati'!K135</f>
        <v>350</v>
      </c>
      <c r="I132" s="44">
        <f>+'Cons spec tot e finalizzati'!L135-'Cons spec tot e finalizzati'!M135</f>
        <v>983</v>
      </c>
      <c r="J132" s="44">
        <f>+'Cons spec tot e finalizzati'!N135-'Cons spec tot e finalizzati'!O135</f>
        <v>744</v>
      </c>
      <c r="K132" s="44">
        <f>+'Cons spec tot e finalizzati'!P135-'Cons spec tot e finalizzati'!Q135</f>
        <v>1161</v>
      </c>
      <c r="L132" s="44">
        <f>+'Cons spec tot e finalizzati'!R135-'Cons spec tot e finalizzati'!S135</f>
        <v>644</v>
      </c>
      <c r="M132" s="6"/>
      <c r="N132" s="184"/>
      <c r="AB132" s="115"/>
      <c r="AC132" s="116"/>
    </row>
    <row r="133" spans="1:29" s="3" customFormat="1" ht="12.75">
      <c r="A133" s="71"/>
      <c r="B133" s="23"/>
      <c r="C133" s="59" t="s">
        <v>103</v>
      </c>
      <c r="D133" s="72"/>
      <c r="E133" s="75"/>
      <c r="F133" s="44">
        <f>+'Cons spec tot e finalizzati'!F136-'Cons spec tot e finalizzati'!G136</f>
        <v>2014</v>
      </c>
      <c r="G133" s="44">
        <f>+'Cons spec tot e finalizzati'!H136-'Cons spec tot e finalizzati'!I136</f>
        <v>1813</v>
      </c>
      <c r="H133" s="44">
        <f>+'Cons spec tot e finalizzati'!J136-'Cons spec tot e finalizzati'!K136</f>
        <v>1194</v>
      </c>
      <c r="I133" s="44">
        <f>+'Cons spec tot e finalizzati'!L136-'Cons spec tot e finalizzati'!M136</f>
        <v>213</v>
      </c>
      <c r="J133" s="44">
        <f>+'Cons spec tot e finalizzati'!N136-'Cons spec tot e finalizzati'!O136</f>
        <v>171</v>
      </c>
      <c r="K133" s="44">
        <f>+'Cons spec tot e finalizzati'!P136-'Cons spec tot e finalizzati'!Q136</f>
        <v>155</v>
      </c>
      <c r="L133" s="44">
        <f>+'Cons spec tot e finalizzati'!R136-'Cons spec tot e finalizzati'!S136</f>
        <v>117</v>
      </c>
      <c r="M133" s="6"/>
      <c r="N133" s="184"/>
      <c r="AB133" s="82"/>
      <c r="AC133" s="83"/>
    </row>
    <row r="134" spans="1:29" s="3" customFormat="1" ht="12.75">
      <c r="A134" s="71"/>
      <c r="B134" s="23"/>
      <c r="C134" s="59" t="s">
        <v>48</v>
      </c>
      <c r="D134" s="72"/>
      <c r="E134" s="75"/>
      <c r="F134" s="60">
        <v>262</v>
      </c>
      <c r="G134" s="60">
        <f>+'Cons spec tot e finalizzati'!H137-'Cons spec tot e finalizzati'!I137</f>
        <v>235</v>
      </c>
      <c r="H134" s="60">
        <f>+'Cons spec tot e finalizzati'!J137-'Cons spec tot e finalizzati'!K137</f>
        <v>306</v>
      </c>
      <c r="I134" s="60">
        <f>+'Cons spec tot e finalizzati'!L137-'Cons spec tot e finalizzati'!M137</f>
        <v>380</v>
      </c>
      <c r="J134" s="60">
        <f>+'Cons spec tot e finalizzati'!N137-'Cons spec tot e finalizzati'!O137</f>
        <v>331</v>
      </c>
      <c r="K134" s="60">
        <f>+'Cons spec tot e finalizzati'!P137-'Cons spec tot e finalizzati'!Q137</f>
        <v>335</v>
      </c>
      <c r="L134" s="60">
        <f>+'Cons spec tot e finalizzati'!R137-'Cons spec tot e finalizzati'!S137</f>
        <v>317</v>
      </c>
      <c r="M134" s="6"/>
      <c r="N134" s="184"/>
      <c r="AB134" s="82"/>
      <c r="AC134" s="83"/>
    </row>
    <row r="135" spans="1:29" s="62" customFormat="1" ht="12.75">
      <c r="A135" s="71"/>
      <c r="B135" s="23" t="s">
        <v>141</v>
      </c>
      <c r="C135" s="59"/>
      <c r="D135" s="72"/>
      <c r="E135" s="114"/>
      <c r="F135" s="130">
        <f aca="true" t="shared" si="20" ref="F135:L135">SUM(F136:F145)</f>
        <v>1120</v>
      </c>
      <c r="G135" s="130">
        <f t="shared" si="20"/>
        <v>1008</v>
      </c>
      <c r="H135" s="130">
        <f t="shared" si="20"/>
        <v>1435</v>
      </c>
      <c r="I135" s="130">
        <f t="shared" si="20"/>
        <v>2248.5</v>
      </c>
      <c r="J135" s="130">
        <f t="shared" si="20"/>
        <v>1508</v>
      </c>
      <c r="K135" s="130">
        <f t="shared" si="20"/>
        <v>2596</v>
      </c>
      <c r="L135" s="130">
        <f t="shared" si="20"/>
        <v>2037</v>
      </c>
      <c r="M135" s="6"/>
      <c r="N135" s="184"/>
      <c r="AB135" s="82"/>
      <c r="AC135" s="83"/>
    </row>
    <row r="136" spans="1:29" s="3" customFormat="1" ht="12.75">
      <c r="A136" s="71"/>
      <c r="B136" s="23"/>
      <c r="C136" s="19" t="s">
        <v>172</v>
      </c>
      <c r="D136" s="72"/>
      <c r="E136" s="75"/>
      <c r="F136" s="44">
        <f>+'Cons spec tot e finalizzati'!F139-'Cons spec tot e finalizzati'!G139</f>
        <v>127</v>
      </c>
      <c r="G136" s="44">
        <f>+'Cons spec tot e finalizzati'!H139-'Cons spec tot e finalizzati'!I139</f>
        <v>106</v>
      </c>
      <c r="H136" s="44">
        <f>+'Cons spec tot e finalizzati'!J139-'Cons spec tot e finalizzati'!K139</f>
        <v>144</v>
      </c>
      <c r="I136" s="44">
        <f>+'Cons spec tot e finalizzati'!L139-'Cons spec tot e finalizzati'!M139</f>
        <v>444</v>
      </c>
      <c r="J136" s="44">
        <f>+'Cons spec tot e finalizzati'!N139-'Cons spec tot e finalizzati'!O139</f>
        <v>428</v>
      </c>
      <c r="K136" s="44">
        <f>+'Cons spec tot e finalizzati'!P139-'Cons spec tot e finalizzati'!Q139</f>
        <v>207</v>
      </c>
      <c r="L136" s="44">
        <f>+'Cons spec tot e finalizzati'!R139-'Cons spec tot e finalizzati'!S139</f>
        <v>221</v>
      </c>
      <c r="M136" s="6"/>
      <c r="N136" s="184"/>
      <c r="AB136" s="82"/>
      <c r="AC136" s="83"/>
    </row>
    <row r="137" spans="1:29" s="3" customFormat="1" ht="12.75">
      <c r="A137" s="71"/>
      <c r="B137" s="23"/>
      <c r="C137" s="19" t="s">
        <v>202</v>
      </c>
      <c r="D137" s="72"/>
      <c r="E137" s="75"/>
      <c r="F137" s="44">
        <f>+'Cons spec tot e finalizzati'!F140-'Cons spec tot e finalizzati'!G140</f>
        <v>0</v>
      </c>
      <c r="G137" s="44">
        <f>+'Cons spec tot e finalizzati'!H140-'Cons spec tot e finalizzati'!I140</f>
        <v>0</v>
      </c>
      <c r="H137" s="44">
        <f>+'Cons spec tot e finalizzati'!J140-'Cons spec tot e finalizzati'!K140</f>
        <v>0</v>
      </c>
      <c r="I137" s="44">
        <f>+'Cons spec tot e finalizzati'!L140-'Cons spec tot e finalizzati'!M140</f>
        <v>0</v>
      </c>
      <c r="J137" s="44">
        <f>+'Cons spec tot e finalizzati'!N140-'Cons spec tot e finalizzati'!O140</f>
        <v>0</v>
      </c>
      <c r="K137" s="44">
        <f>+'Cons spec tot e finalizzati'!P140-'Cons spec tot e finalizzati'!Q140</f>
        <v>63</v>
      </c>
      <c r="L137" s="44">
        <f>+'Cons spec tot e finalizzati'!R140-'Cons spec tot e finalizzati'!S140</f>
        <v>34</v>
      </c>
      <c r="M137" s="6"/>
      <c r="N137" s="184"/>
      <c r="AB137" s="82"/>
      <c r="AC137" s="83"/>
    </row>
    <row r="138" spans="1:29" s="3" customFormat="1" ht="12.75">
      <c r="A138" s="71"/>
      <c r="B138" s="23"/>
      <c r="C138" s="59" t="s">
        <v>199</v>
      </c>
      <c r="D138" s="72"/>
      <c r="E138" s="75"/>
      <c r="F138" s="44">
        <f>+'Cons spec tot e finalizzati'!F141-'Cons spec tot e finalizzati'!G141</f>
        <v>141</v>
      </c>
      <c r="G138" s="44">
        <f>+'Cons spec tot e finalizzati'!H141-'Cons spec tot e finalizzati'!I141</f>
        <v>39</v>
      </c>
      <c r="H138" s="44">
        <f>+'Cons spec tot e finalizzati'!J141-'Cons spec tot e finalizzati'!K141</f>
        <v>15</v>
      </c>
      <c r="I138" s="44">
        <f>+'Cons spec tot e finalizzati'!L141-'Cons spec tot e finalizzati'!M141</f>
        <v>49</v>
      </c>
      <c r="J138" s="44">
        <f>+'Cons spec tot e finalizzati'!N141-'Cons spec tot e finalizzati'!O141</f>
        <v>17</v>
      </c>
      <c r="K138" s="44">
        <f>+'Cons spec tot e finalizzati'!P141-'Cons spec tot e finalizzati'!Q141</f>
        <v>1</v>
      </c>
      <c r="L138" s="44">
        <f>+'Cons spec tot e finalizzati'!R141-'Cons spec tot e finalizzati'!S141</f>
        <v>12</v>
      </c>
      <c r="M138" s="6"/>
      <c r="N138" s="184"/>
      <c r="AB138" s="82"/>
      <c r="AC138" s="83"/>
    </row>
    <row r="139" spans="1:29" s="3" customFormat="1" ht="12.75">
      <c r="A139" s="71"/>
      <c r="B139" s="23"/>
      <c r="C139" s="59" t="s">
        <v>201</v>
      </c>
      <c r="D139" s="72"/>
      <c r="E139" s="75"/>
      <c r="F139" s="44">
        <f>+'Cons spec tot e finalizzati'!F142-'Cons spec tot e finalizzati'!G142</f>
        <v>0</v>
      </c>
      <c r="G139" s="44">
        <f>+'Cons spec tot e finalizzati'!H142-'Cons spec tot e finalizzati'!I142</f>
        <v>0</v>
      </c>
      <c r="H139" s="44">
        <f>+'Cons spec tot e finalizzati'!J142-'Cons spec tot e finalizzati'!K142</f>
        <v>0</v>
      </c>
      <c r="I139" s="44">
        <f>+'Cons spec tot e finalizzati'!L142-'Cons spec tot e finalizzati'!M142</f>
        <v>131</v>
      </c>
      <c r="J139" s="44">
        <f>+'Cons spec tot e finalizzati'!N142-'Cons spec tot e finalizzati'!O142</f>
        <v>81</v>
      </c>
      <c r="K139" s="44">
        <f>+'Cons spec tot e finalizzati'!P142-'Cons spec tot e finalizzati'!Q142</f>
        <v>331</v>
      </c>
      <c r="L139" s="44">
        <f>+'Cons spec tot e finalizzati'!R142-'Cons spec tot e finalizzati'!S142</f>
        <v>245</v>
      </c>
      <c r="M139" s="6"/>
      <c r="N139" s="184"/>
      <c r="AB139" s="82"/>
      <c r="AC139" s="83"/>
    </row>
    <row r="140" spans="1:29" s="3" customFormat="1" ht="12.75">
      <c r="A140" s="71"/>
      <c r="B140" s="23"/>
      <c r="C140" s="59" t="s">
        <v>203</v>
      </c>
      <c r="D140" s="72"/>
      <c r="E140" s="75"/>
      <c r="F140" s="44">
        <f>+'Cons spec tot e finalizzati'!F143-'Cons spec tot e finalizzati'!G143</f>
        <v>0</v>
      </c>
      <c r="G140" s="44">
        <f>+'Cons spec tot e finalizzati'!H143-'Cons spec tot e finalizzati'!I143</f>
        <v>0</v>
      </c>
      <c r="H140" s="44">
        <f>+'Cons spec tot e finalizzati'!J143-'Cons spec tot e finalizzati'!K143</f>
        <v>0</v>
      </c>
      <c r="I140" s="44">
        <f>+'Cons spec tot e finalizzati'!L143-'Cons spec tot e finalizzati'!M143</f>
        <v>0</v>
      </c>
      <c r="J140" s="44">
        <f>+'Cons spec tot e finalizzati'!N143-'Cons spec tot e finalizzati'!O143</f>
        <v>0</v>
      </c>
      <c r="K140" s="44">
        <f>+'Cons spec tot e finalizzati'!P143-'Cons spec tot e finalizzati'!Q143</f>
        <v>27</v>
      </c>
      <c r="L140" s="44">
        <f>+'Cons spec tot e finalizzati'!R143-'Cons spec tot e finalizzati'!S143</f>
        <v>45</v>
      </c>
      <c r="M140" s="6"/>
      <c r="N140" s="184"/>
      <c r="AB140" s="82"/>
      <c r="AC140" s="83"/>
    </row>
    <row r="141" spans="1:29" s="3" customFormat="1" ht="12.75">
      <c r="A141" s="71"/>
      <c r="B141" s="23"/>
      <c r="C141" s="59" t="s">
        <v>204</v>
      </c>
      <c r="D141" s="72"/>
      <c r="E141" s="75"/>
      <c r="F141" s="44">
        <f>+'Cons spec tot e finalizzati'!F144-'Cons spec tot e finalizzati'!G144</f>
        <v>0</v>
      </c>
      <c r="G141" s="44">
        <f>+'Cons spec tot e finalizzati'!H144-'Cons spec tot e finalizzati'!I144</f>
        <v>0</v>
      </c>
      <c r="H141" s="44">
        <f>+'Cons spec tot e finalizzati'!J144-'Cons spec tot e finalizzati'!K144</f>
        <v>0</v>
      </c>
      <c r="I141" s="44">
        <f>+'Cons spec tot e finalizzati'!L144-'Cons spec tot e finalizzati'!M144</f>
        <v>0</v>
      </c>
      <c r="J141" s="44">
        <f>+'Cons spec tot e finalizzati'!N144-'Cons spec tot e finalizzati'!O144</f>
        <v>0</v>
      </c>
      <c r="K141" s="44">
        <f>+'Cons spec tot e finalizzati'!P144-'Cons spec tot e finalizzati'!Q144</f>
        <v>1820</v>
      </c>
      <c r="L141" s="44">
        <f>+'Cons spec tot e finalizzati'!R144-'Cons spec tot e finalizzati'!S144</f>
        <v>1187</v>
      </c>
      <c r="M141" s="6"/>
      <c r="N141" s="184"/>
      <c r="AB141" s="82"/>
      <c r="AC141" s="83"/>
    </row>
    <row r="142" spans="1:29" s="105" customFormat="1" ht="12.75">
      <c r="A142" s="71"/>
      <c r="B142" s="23"/>
      <c r="C142" s="58" t="s">
        <v>200</v>
      </c>
      <c r="D142" s="72"/>
      <c r="E142" s="75"/>
      <c r="F142" s="44">
        <f>+'Cons spec tot e finalizzati'!F145-'Cons spec tot e finalizzati'!G145</f>
        <v>0</v>
      </c>
      <c r="G142" s="44">
        <f>+'Cons spec tot e finalizzati'!H145-'Cons spec tot e finalizzati'!I145</f>
        <v>0</v>
      </c>
      <c r="H142" s="44">
        <f>+'Cons spec tot e finalizzati'!J145-'Cons spec tot e finalizzati'!K145</f>
        <v>0</v>
      </c>
      <c r="I142" s="44">
        <f>+'Cons spec tot e finalizzati'!L145-'Cons spec tot e finalizzati'!M145</f>
        <v>0</v>
      </c>
      <c r="J142" s="44">
        <f>+'Cons spec tot e finalizzati'!N145-'Cons spec tot e finalizzati'!O145</f>
        <v>178</v>
      </c>
      <c r="K142" s="44">
        <f>+'Cons spec tot e finalizzati'!P145-'Cons spec tot e finalizzati'!Q145</f>
        <v>147</v>
      </c>
      <c r="L142" s="44">
        <f>+'Cons spec tot e finalizzati'!R145-'Cons spec tot e finalizzati'!S145</f>
        <v>293</v>
      </c>
      <c r="M142" s="6"/>
      <c r="N142" s="184"/>
      <c r="AB142" s="117"/>
      <c r="AC142" s="118"/>
    </row>
    <row r="143" spans="1:29" s="85" customFormat="1" ht="12.75">
      <c r="A143" s="269"/>
      <c r="B143" s="271"/>
      <c r="C143" s="61" t="s">
        <v>106</v>
      </c>
      <c r="D143" s="84"/>
      <c r="F143" s="275">
        <f>+'Cons spec tot e finalizzati'!F146-'Cons spec tot e finalizzati'!G146</f>
        <v>168</v>
      </c>
      <c r="G143" s="275">
        <f>+'Cons spec tot e finalizzati'!H146-'Cons spec tot e finalizzati'!I146</f>
        <v>155</v>
      </c>
      <c r="H143" s="275">
        <f>+'Cons spec tot e finalizzati'!J146-'Cons spec tot e finalizzati'!K146</f>
        <v>284</v>
      </c>
      <c r="I143" s="275">
        <f>+'Cons spec tot e finalizzati'!L146-'Cons spec tot e finalizzati'!M146</f>
        <v>262</v>
      </c>
      <c r="J143" s="275">
        <f>+'Cons spec tot e finalizzati'!N146-'Cons spec tot e finalizzati'!O146</f>
        <v>48</v>
      </c>
      <c r="K143" s="275">
        <f>+'Cons spec tot e finalizzati'!P146-'Cons spec tot e finalizzati'!Q146</f>
        <v>0</v>
      </c>
      <c r="L143" s="275">
        <f>+'Cons spec tot e finalizzati'!R146-'Cons spec tot e finalizzati'!S146</f>
        <v>0</v>
      </c>
      <c r="M143" s="276"/>
      <c r="N143" s="277"/>
      <c r="AB143" s="280"/>
      <c r="AC143" s="279"/>
    </row>
    <row r="144" spans="1:29" s="85" customFormat="1" ht="12.75">
      <c r="A144" s="269"/>
      <c r="B144" s="271"/>
      <c r="C144" s="61" t="s">
        <v>40</v>
      </c>
      <c r="D144" s="84"/>
      <c r="F144" s="275">
        <f>+'Cons spec tot e finalizzati'!F147-'Cons spec tot e finalizzati'!G147</f>
        <v>663</v>
      </c>
      <c r="G144" s="275">
        <f>+'Cons spec tot e finalizzati'!H147-'Cons spec tot e finalizzati'!I147</f>
        <v>708</v>
      </c>
      <c r="H144" s="275">
        <f>+'Cons spec tot e finalizzati'!J147-'Cons spec tot e finalizzati'!K147</f>
        <v>727</v>
      </c>
      <c r="I144" s="275">
        <f>+'Cons spec tot e finalizzati'!L147-'Cons spec tot e finalizzati'!M147</f>
        <v>1362.5</v>
      </c>
      <c r="J144" s="275">
        <f>+'Cons spec tot e finalizzati'!N147-'Cons spec tot e finalizzati'!O147</f>
        <v>756</v>
      </c>
      <c r="K144" s="275">
        <f>+'Cons spec tot e finalizzati'!P147-'Cons spec tot e finalizzati'!Q147</f>
        <v>0</v>
      </c>
      <c r="L144" s="275">
        <f>+'Cons spec tot e finalizzati'!R147-'Cons spec tot e finalizzati'!S147</f>
        <v>0</v>
      </c>
      <c r="M144" s="276"/>
      <c r="N144" s="277"/>
      <c r="AB144" s="280"/>
      <c r="AC144" s="283"/>
    </row>
    <row r="145" spans="1:29" s="85" customFormat="1" ht="12.75">
      <c r="A145" s="269"/>
      <c r="B145" s="61"/>
      <c r="C145" s="61" t="s">
        <v>96</v>
      </c>
      <c r="D145" s="84"/>
      <c r="F145" s="275">
        <f>+'Cons spec tot e finalizzati'!F148-'Cons spec tot e finalizzati'!G148</f>
        <v>21</v>
      </c>
      <c r="G145" s="275">
        <f>+'Cons spec tot e finalizzati'!H148-'Cons spec tot e finalizzati'!I148</f>
        <v>0</v>
      </c>
      <c r="H145" s="275">
        <f>+'Cons spec tot e finalizzati'!J148-'Cons spec tot e finalizzati'!K148</f>
        <v>265</v>
      </c>
      <c r="I145" s="275">
        <f>+'Cons spec tot e finalizzati'!L148-'Cons spec tot e finalizzati'!M148</f>
        <v>0</v>
      </c>
      <c r="J145" s="275">
        <f>+'Cons spec tot e finalizzati'!N148-'Cons spec tot e finalizzati'!O148</f>
        <v>0</v>
      </c>
      <c r="K145" s="275">
        <f>+'Cons spec tot e finalizzati'!P148-'Cons spec tot e finalizzati'!Q148</f>
        <v>0</v>
      </c>
      <c r="L145" s="275">
        <f>+'Cons spec tot e finalizzati'!R148-'Cons spec tot e finalizzati'!S148</f>
        <v>0</v>
      </c>
      <c r="M145" s="276"/>
      <c r="N145" s="277"/>
      <c r="AB145" s="280"/>
      <c r="AC145" s="283"/>
    </row>
    <row r="146" spans="1:29" s="3" customFormat="1" ht="12.75">
      <c r="A146" s="71"/>
      <c r="B146" s="81" t="s">
        <v>142</v>
      </c>
      <c r="C146" s="58"/>
      <c r="D146" s="72"/>
      <c r="F146" s="182">
        <f aca="true" t="shared" si="21" ref="F146:K146">SUM(F147:F156)</f>
        <v>14014</v>
      </c>
      <c r="G146" s="182">
        <f t="shared" si="21"/>
        <v>18488</v>
      </c>
      <c r="H146" s="182">
        <f t="shared" si="21"/>
        <v>15982</v>
      </c>
      <c r="I146" s="182">
        <f t="shared" si="21"/>
        <v>15826</v>
      </c>
      <c r="J146" s="182">
        <f t="shared" si="21"/>
        <v>16369.117690198163</v>
      </c>
      <c r="K146" s="182">
        <f t="shared" si="21"/>
        <v>17255</v>
      </c>
      <c r="L146" s="182">
        <f>SUM(L147:L156)</f>
        <v>17007</v>
      </c>
      <c r="M146" s="6"/>
      <c r="N146" s="184"/>
      <c r="AB146" s="86"/>
      <c r="AC146" s="87"/>
    </row>
    <row r="147" spans="1:29" s="3" customFormat="1" ht="12.75">
      <c r="A147" s="71"/>
      <c r="B147" s="59"/>
      <c r="C147" s="19" t="s">
        <v>22</v>
      </c>
      <c r="D147" s="72"/>
      <c r="F147" s="44">
        <f>+'Cons spec tot e finalizzati'!F150-'Cons spec tot e finalizzati'!G150</f>
        <v>0</v>
      </c>
      <c r="G147" s="44">
        <f>+'Cons spec tot e finalizzati'!H150-'Cons spec tot e finalizzati'!I150</f>
        <v>0</v>
      </c>
      <c r="H147" s="44">
        <f>+'Cons spec tot e finalizzati'!J150-'Cons spec tot e finalizzati'!K150</f>
        <v>0</v>
      </c>
      <c r="I147" s="44">
        <f>+'Cons spec tot e finalizzati'!L150-'Cons spec tot e finalizzati'!M150</f>
        <v>0</v>
      </c>
      <c r="J147" s="44">
        <f>+'Cons spec tot e finalizzati'!N150-'Cons spec tot e finalizzati'!O150</f>
        <v>0</v>
      </c>
      <c r="K147" s="44">
        <f>+'Cons spec tot e finalizzati'!P150-'Cons spec tot e finalizzati'!Q150</f>
        <v>0</v>
      </c>
      <c r="L147" s="44">
        <f>+'Cons spec tot e finalizzati'!R150-'Cons spec tot e finalizzati'!S150</f>
        <v>197</v>
      </c>
      <c r="M147" s="6"/>
      <c r="N147" s="184"/>
      <c r="AB147" s="79"/>
      <c r="AC147" s="113"/>
    </row>
    <row r="148" spans="1:29" s="85" customFormat="1" ht="12.75">
      <c r="A148" s="269"/>
      <c r="B148" s="61"/>
      <c r="C148" s="272" t="s">
        <v>23</v>
      </c>
      <c r="D148" s="84"/>
      <c r="F148" s="275">
        <f>+'Cons spec tot e finalizzati'!F151-'Cons spec tot e finalizzati'!G151</f>
        <v>2996</v>
      </c>
      <c r="G148" s="275">
        <f>+'Cons spec tot e finalizzati'!H151-'Cons spec tot e finalizzati'!I151</f>
        <v>3782</v>
      </c>
      <c r="H148" s="275">
        <f>+'Cons spec tot e finalizzati'!J151-'Cons spec tot e finalizzati'!K151</f>
        <v>3318</v>
      </c>
      <c r="I148" s="275">
        <f>+'Cons spec tot e finalizzati'!L151-'Cons spec tot e finalizzati'!M151</f>
        <v>2177</v>
      </c>
      <c r="J148" s="275">
        <f>+'Cons spec tot e finalizzati'!N151-'Cons spec tot e finalizzati'!O151</f>
        <v>2440.8248384781045</v>
      </c>
      <c r="K148" s="275">
        <f>+'Cons spec tot e finalizzati'!P151-'Cons spec tot e finalizzati'!Q151</f>
        <v>1698</v>
      </c>
      <c r="L148" s="275">
        <f>+'Cons spec tot e finalizzati'!R151-'Cons spec tot e finalizzati'!S151</f>
        <v>0</v>
      </c>
      <c r="M148" s="276"/>
      <c r="N148" s="277"/>
      <c r="AB148" s="280"/>
      <c r="AC148" s="283"/>
    </row>
    <row r="149" spans="1:29" s="3" customFormat="1" ht="12.75">
      <c r="A149" s="71"/>
      <c r="B149" s="59"/>
      <c r="C149" s="19" t="s">
        <v>205</v>
      </c>
      <c r="D149" s="72"/>
      <c r="F149" s="44">
        <f>+'Cons spec tot e finalizzati'!F152-'Cons spec tot e finalizzati'!G152</f>
        <v>0</v>
      </c>
      <c r="G149" s="44">
        <f>+'Cons spec tot e finalizzati'!H152-'Cons spec tot e finalizzati'!I152</f>
        <v>0</v>
      </c>
      <c r="H149" s="44">
        <f>+'Cons spec tot e finalizzati'!J152-'Cons spec tot e finalizzati'!K152</f>
        <v>0</v>
      </c>
      <c r="I149" s="44">
        <f>+'Cons spec tot e finalizzati'!L152-'Cons spec tot e finalizzati'!M152</f>
        <v>0</v>
      </c>
      <c r="J149" s="44">
        <f>+'Cons spec tot e finalizzati'!N152-'Cons spec tot e finalizzati'!O152</f>
        <v>0</v>
      </c>
      <c r="K149" s="44">
        <f>+'Cons spec tot e finalizzati'!P152-'Cons spec tot e finalizzati'!Q152</f>
        <v>0</v>
      </c>
      <c r="L149" s="44">
        <f>+'Cons spec tot e finalizzati'!R152-'Cons spec tot e finalizzati'!S152</f>
        <v>2629</v>
      </c>
      <c r="M149" s="6"/>
      <c r="N149" s="184"/>
      <c r="AB149" s="119"/>
      <c r="AC149" s="120"/>
    </row>
    <row r="150" spans="1:29" s="3" customFormat="1" ht="12.75">
      <c r="A150" s="71"/>
      <c r="B150" s="59"/>
      <c r="C150" s="19" t="s">
        <v>24</v>
      </c>
      <c r="D150" s="72"/>
      <c r="F150" s="44">
        <f>+'Cons spec tot e finalizzati'!F153-'Cons spec tot e finalizzati'!G153</f>
        <v>3623</v>
      </c>
      <c r="G150" s="44">
        <f>+'Cons spec tot e finalizzati'!H153-'Cons spec tot e finalizzati'!I153</f>
        <v>4642</v>
      </c>
      <c r="H150" s="44">
        <f>+'Cons spec tot e finalizzati'!J153-'Cons spec tot e finalizzati'!K153</f>
        <v>4359</v>
      </c>
      <c r="I150" s="44">
        <f>+'Cons spec tot e finalizzati'!L153-'Cons spec tot e finalizzati'!M153</f>
        <v>3698</v>
      </c>
      <c r="J150" s="44">
        <f>+'Cons spec tot e finalizzati'!N153-'Cons spec tot e finalizzati'!O153</f>
        <v>3969</v>
      </c>
      <c r="K150" s="44">
        <f>+'Cons spec tot e finalizzati'!P153-'Cons spec tot e finalizzati'!Q153</f>
        <v>4994</v>
      </c>
      <c r="L150" s="44">
        <f>+'Cons spec tot e finalizzati'!R153-'Cons spec tot e finalizzati'!S153</f>
        <v>4210</v>
      </c>
      <c r="M150" s="6"/>
      <c r="N150" s="184"/>
      <c r="AB150" s="119"/>
      <c r="AC150" s="121"/>
    </row>
    <row r="151" spans="1:29" s="3" customFormat="1" ht="12.75">
      <c r="A151" s="71"/>
      <c r="B151" s="59"/>
      <c r="C151" s="19" t="s">
        <v>206</v>
      </c>
      <c r="D151" s="72"/>
      <c r="F151" s="44">
        <f>+'Cons spec tot e finalizzati'!F154-'Cons spec tot e finalizzati'!G154</f>
        <v>0</v>
      </c>
      <c r="G151" s="44">
        <f>+'Cons spec tot e finalizzati'!H154-'Cons spec tot e finalizzati'!I154</f>
        <v>0</v>
      </c>
      <c r="H151" s="44">
        <f>+'Cons spec tot e finalizzati'!J154-'Cons spec tot e finalizzati'!K154</f>
        <v>0</v>
      </c>
      <c r="I151" s="44">
        <f>+'Cons spec tot e finalizzati'!L154-'Cons spec tot e finalizzati'!M154</f>
        <v>0</v>
      </c>
      <c r="J151" s="44">
        <f>+'Cons spec tot e finalizzati'!N154-'Cons spec tot e finalizzati'!O154</f>
        <v>0</v>
      </c>
      <c r="K151" s="44">
        <f>+'Cons spec tot e finalizzati'!P154-'Cons spec tot e finalizzati'!Q154</f>
        <v>0</v>
      </c>
      <c r="L151" s="44">
        <f>+'Cons spec tot e finalizzati'!R154-'Cons spec tot e finalizzati'!S154</f>
        <v>1372</v>
      </c>
      <c r="M151" s="6"/>
      <c r="N151" s="184"/>
      <c r="AB151" s="119"/>
      <c r="AC151" s="121"/>
    </row>
    <row r="152" spans="1:29" s="3" customFormat="1" ht="12.75">
      <c r="A152" s="71"/>
      <c r="B152" s="59"/>
      <c r="C152" s="19" t="s">
        <v>207</v>
      </c>
      <c r="D152" s="72"/>
      <c r="F152" s="44">
        <f>+'Cons spec tot e finalizzati'!F155-'Cons spec tot e finalizzati'!G155</f>
        <v>0</v>
      </c>
      <c r="G152" s="44">
        <f>+'Cons spec tot e finalizzati'!H155-'Cons spec tot e finalizzati'!I155</f>
        <v>0</v>
      </c>
      <c r="H152" s="44">
        <f>+'Cons spec tot e finalizzati'!J155-'Cons spec tot e finalizzati'!K155</f>
        <v>0</v>
      </c>
      <c r="I152" s="44">
        <f>+'Cons spec tot e finalizzati'!L155-'Cons spec tot e finalizzati'!M155</f>
        <v>0</v>
      </c>
      <c r="J152" s="44">
        <f>+'Cons spec tot e finalizzati'!N155-'Cons spec tot e finalizzati'!O155</f>
        <v>0</v>
      </c>
      <c r="K152" s="44">
        <f>+'Cons spec tot e finalizzati'!P155-'Cons spec tot e finalizzati'!Q155</f>
        <v>0</v>
      </c>
      <c r="L152" s="44">
        <f>+'Cons spec tot e finalizzati'!R155-'Cons spec tot e finalizzati'!S155</f>
        <v>3435</v>
      </c>
      <c r="M152" s="6"/>
      <c r="N152" s="184"/>
      <c r="AB152" s="119"/>
      <c r="AC152" s="121"/>
    </row>
    <row r="153" spans="1:29" s="85" customFormat="1" ht="12.75">
      <c r="A153" s="269"/>
      <c r="B153" s="61"/>
      <c r="C153" s="272" t="s">
        <v>25</v>
      </c>
      <c r="D153" s="84"/>
      <c r="F153" s="275">
        <f>+'Cons spec tot e finalizzati'!F156-'Cons spec tot e finalizzati'!G156</f>
        <v>4522</v>
      </c>
      <c r="G153" s="275">
        <f>+'Cons spec tot e finalizzati'!H156-'Cons spec tot e finalizzati'!I156</f>
        <v>6464</v>
      </c>
      <c r="H153" s="275">
        <f>+'Cons spec tot e finalizzati'!J156-'Cons spec tot e finalizzati'!K156</f>
        <v>5020</v>
      </c>
      <c r="I153" s="275">
        <f>+'Cons spec tot e finalizzati'!L156-'Cons spec tot e finalizzati'!M156</f>
        <v>6466</v>
      </c>
      <c r="J153" s="275">
        <f>+'Cons spec tot e finalizzati'!N156-'Cons spec tot e finalizzati'!O156</f>
        <v>4471.29285172006</v>
      </c>
      <c r="K153" s="275">
        <f>+'Cons spec tot e finalizzati'!P156-'Cons spec tot e finalizzati'!Q156</f>
        <v>4221</v>
      </c>
      <c r="L153" s="275">
        <f>+'Cons spec tot e finalizzati'!R156-'Cons spec tot e finalizzati'!S156</f>
        <v>0</v>
      </c>
      <c r="M153" s="276"/>
      <c r="N153" s="277"/>
      <c r="AB153" s="280"/>
      <c r="AC153" s="284"/>
    </row>
    <row r="154" spans="1:29" s="85" customFormat="1" ht="12.75">
      <c r="A154" s="269"/>
      <c r="B154" s="61"/>
      <c r="C154" s="272" t="s">
        <v>26</v>
      </c>
      <c r="D154" s="84"/>
      <c r="F154" s="275">
        <f>+'Cons spec tot e finalizzati'!F157-'Cons spec tot e finalizzati'!G157</f>
        <v>1667</v>
      </c>
      <c r="G154" s="275">
        <f>+'Cons spec tot e finalizzati'!H157-'Cons spec tot e finalizzati'!I157</f>
        <v>1979</v>
      </c>
      <c r="H154" s="275">
        <f>+'Cons spec tot e finalizzati'!J157-'Cons spec tot e finalizzati'!K157</f>
        <v>1770</v>
      </c>
      <c r="I154" s="275">
        <f>+'Cons spec tot e finalizzati'!L157-'Cons spec tot e finalizzati'!M157</f>
        <v>1708</v>
      </c>
      <c r="J154" s="275">
        <f>+'Cons spec tot e finalizzati'!N157-'Cons spec tot e finalizzati'!O157</f>
        <v>190</v>
      </c>
      <c r="K154" s="275">
        <f>+'Cons spec tot e finalizzati'!P157-'Cons spec tot e finalizzati'!Q157</f>
        <v>154</v>
      </c>
      <c r="L154" s="275">
        <f>+'Cons spec tot e finalizzati'!R157-'Cons spec tot e finalizzati'!S157</f>
        <v>0</v>
      </c>
      <c r="M154" s="276"/>
      <c r="N154" s="277"/>
      <c r="AB154" s="280"/>
      <c r="AC154" s="284"/>
    </row>
    <row r="155" spans="1:29" s="85" customFormat="1" ht="12.75">
      <c r="A155" s="269"/>
      <c r="B155" s="61"/>
      <c r="C155" s="272" t="s">
        <v>27</v>
      </c>
      <c r="D155" s="84"/>
      <c r="F155" s="275">
        <f>+'Cons spec tot e finalizzati'!F158-'Cons spec tot e finalizzati'!G158</f>
        <v>1206</v>
      </c>
      <c r="G155" s="275">
        <f>+'Cons spec tot e finalizzati'!H158-'Cons spec tot e finalizzati'!I158</f>
        <v>1621</v>
      </c>
      <c r="H155" s="275">
        <f>+'Cons spec tot e finalizzati'!J158-'Cons spec tot e finalizzati'!K158</f>
        <v>1515</v>
      </c>
      <c r="I155" s="275">
        <f>+'Cons spec tot e finalizzati'!L158-'Cons spec tot e finalizzati'!M158</f>
        <v>1777</v>
      </c>
      <c r="J155" s="275">
        <f>+'Cons spec tot e finalizzati'!N158-'Cons spec tot e finalizzati'!O158</f>
        <v>1394</v>
      </c>
      <c r="K155" s="275">
        <f>+'Cons spec tot e finalizzati'!P158-'Cons spec tot e finalizzati'!Q158</f>
        <v>1277</v>
      </c>
      <c r="L155" s="275">
        <f>+'Cons spec tot e finalizzati'!R158-'Cons spec tot e finalizzati'!S158</f>
        <v>0</v>
      </c>
      <c r="M155" s="276"/>
      <c r="N155" s="277"/>
      <c r="AB155" s="280"/>
      <c r="AC155" s="284"/>
    </row>
    <row r="156" spans="1:29" s="3" customFormat="1" ht="12.75">
      <c r="A156" s="100"/>
      <c r="B156" s="101"/>
      <c r="C156" s="101" t="s">
        <v>68</v>
      </c>
      <c r="D156" s="102"/>
      <c r="F156" s="45">
        <f>+'Cons spec tot e finalizzati'!F159-'Cons spec tot e finalizzati'!G159</f>
        <v>0</v>
      </c>
      <c r="G156" s="45">
        <f>+'Cons spec tot e finalizzati'!H159-'Cons spec tot e finalizzati'!I159</f>
        <v>0</v>
      </c>
      <c r="H156" s="45">
        <f>+'Cons spec tot e finalizzati'!J159-'Cons spec tot e finalizzati'!K159</f>
        <v>0</v>
      </c>
      <c r="I156" s="45">
        <f>+'Cons spec tot e finalizzati'!L159-'Cons spec tot e finalizzati'!M159</f>
        <v>0</v>
      </c>
      <c r="J156" s="45">
        <f>+'Cons spec tot e finalizzati'!N159-'Cons spec tot e finalizzati'!O159</f>
        <v>3904</v>
      </c>
      <c r="K156" s="45">
        <f>+'Cons spec tot e finalizzati'!P159-'Cons spec tot e finalizzati'!Q159</f>
        <v>4911</v>
      </c>
      <c r="L156" s="45">
        <f>+'Cons spec tot e finalizzati'!R159-'Cons spec tot e finalizzati'!S159</f>
        <v>5164</v>
      </c>
      <c r="M156" s="6"/>
      <c r="N156" s="184"/>
      <c r="AB156" s="119"/>
      <c r="AC156" s="121"/>
    </row>
    <row r="157" spans="1:29" s="3" customFormat="1" ht="12.75">
      <c r="A157" s="177" t="s">
        <v>143</v>
      </c>
      <c r="B157" s="171"/>
      <c r="C157" s="171"/>
      <c r="D157" s="172"/>
      <c r="F157" s="176">
        <f aca="true" t="shared" si="22" ref="F157:L157">+F158+F164+F168</f>
        <v>1829</v>
      </c>
      <c r="G157" s="176">
        <f t="shared" si="22"/>
        <v>1616</v>
      </c>
      <c r="H157" s="176">
        <f t="shared" si="22"/>
        <v>2176</v>
      </c>
      <c r="I157" s="176">
        <f t="shared" si="22"/>
        <v>1904</v>
      </c>
      <c r="J157" s="176">
        <f t="shared" si="22"/>
        <v>2369.4806457777067</v>
      </c>
      <c r="K157" s="176">
        <f t="shared" si="22"/>
        <v>2733</v>
      </c>
      <c r="L157" s="176">
        <f t="shared" si="22"/>
        <v>2566</v>
      </c>
      <c r="M157" s="6"/>
      <c r="N157" s="184"/>
      <c r="AB157" s="119"/>
      <c r="AC157" s="121"/>
    </row>
    <row r="158" spans="1:29" s="3" customFormat="1" ht="12.75">
      <c r="A158" s="71"/>
      <c r="B158" s="81" t="s">
        <v>144</v>
      </c>
      <c r="C158" s="58"/>
      <c r="D158" s="72"/>
      <c r="F158" s="182">
        <f aca="true" t="shared" si="23" ref="F158:L158">SUM(F159:F163)</f>
        <v>1141</v>
      </c>
      <c r="G158" s="182">
        <f t="shared" si="23"/>
        <v>1106</v>
      </c>
      <c r="H158" s="182">
        <f t="shared" si="23"/>
        <v>1402</v>
      </c>
      <c r="I158" s="182">
        <f t="shared" si="23"/>
        <v>1380</v>
      </c>
      <c r="J158" s="182">
        <f t="shared" si="23"/>
        <v>1451.769603412747</v>
      </c>
      <c r="K158" s="182">
        <f t="shared" si="23"/>
        <v>1079</v>
      </c>
      <c r="L158" s="182">
        <f t="shared" si="23"/>
        <v>1020</v>
      </c>
      <c r="M158" s="6"/>
      <c r="N158" s="184"/>
      <c r="AB158" s="119"/>
      <c r="AC158" s="121"/>
    </row>
    <row r="159" spans="1:29" s="3" customFormat="1" ht="12.75">
      <c r="A159" s="18"/>
      <c r="B159" s="19"/>
      <c r="C159" s="19" t="s">
        <v>12</v>
      </c>
      <c r="D159" s="36"/>
      <c r="F159" s="44">
        <f>+'Cons spec tot e finalizzati'!F162-'Cons spec tot e finalizzati'!G162</f>
        <v>790</v>
      </c>
      <c r="G159" s="44">
        <f>+'Cons spec tot e finalizzati'!H162-'Cons spec tot e finalizzati'!I162</f>
        <v>891</v>
      </c>
      <c r="H159" s="44">
        <f>+'Cons spec tot e finalizzati'!J162-'Cons spec tot e finalizzati'!K162</f>
        <v>1127</v>
      </c>
      <c r="I159" s="44">
        <f>+'Cons spec tot e finalizzati'!L162-'Cons spec tot e finalizzati'!M162</f>
        <v>604</v>
      </c>
      <c r="J159" s="44">
        <f>+'Cons spec tot e finalizzati'!N162-'Cons spec tot e finalizzati'!O162</f>
        <v>559</v>
      </c>
      <c r="K159" s="44">
        <f>+'Cons spec tot e finalizzati'!P162-'Cons spec tot e finalizzati'!Q162</f>
        <v>254</v>
      </c>
      <c r="L159" s="44">
        <f>+'Cons spec tot e finalizzati'!R162-'Cons spec tot e finalizzati'!S162</f>
        <v>163</v>
      </c>
      <c r="M159" s="6"/>
      <c r="N159" s="184"/>
      <c r="AB159" s="119"/>
      <c r="AC159" s="121"/>
    </row>
    <row r="160" spans="1:29" s="3" customFormat="1" ht="12.75">
      <c r="A160" s="18"/>
      <c r="B160" s="10"/>
      <c r="C160" s="19" t="s">
        <v>208</v>
      </c>
      <c r="D160" s="36"/>
      <c r="F160" s="44">
        <f>+'Cons spec tot e finalizzati'!F163-'Cons spec tot e finalizzati'!G163</f>
        <v>0</v>
      </c>
      <c r="G160" s="44">
        <f>+'Cons spec tot e finalizzati'!H163-'Cons spec tot e finalizzati'!I163</f>
        <v>0</v>
      </c>
      <c r="H160" s="44">
        <f>+'Cons spec tot e finalizzati'!J163-'Cons spec tot e finalizzati'!K163</f>
        <v>0</v>
      </c>
      <c r="I160" s="44">
        <f>+'Cons spec tot e finalizzati'!L163-'Cons spec tot e finalizzati'!M163</f>
        <v>491</v>
      </c>
      <c r="J160" s="44">
        <f>+'Cons spec tot e finalizzati'!N163-'Cons spec tot e finalizzati'!O163</f>
        <v>694.7696034127472</v>
      </c>
      <c r="K160" s="44">
        <f>+'Cons spec tot e finalizzati'!P163-'Cons spec tot e finalizzati'!Q163</f>
        <v>653</v>
      </c>
      <c r="L160" s="44">
        <f>+'Cons spec tot e finalizzati'!R163-'Cons spec tot e finalizzati'!S163</f>
        <v>587</v>
      </c>
      <c r="M160" s="6"/>
      <c r="N160" s="184"/>
      <c r="AB160" s="119"/>
      <c r="AC160" s="121"/>
    </row>
    <row r="161" spans="1:29" s="3" customFormat="1" ht="12.75">
      <c r="A161" s="18"/>
      <c r="B161" s="10"/>
      <c r="C161" s="59" t="s">
        <v>49</v>
      </c>
      <c r="D161" s="36"/>
      <c r="F161" s="44">
        <f>+'Cons spec tot e finalizzati'!F164-'Cons spec tot e finalizzati'!G164</f>
        <v>193</v>
      </c>
      <c r="G161" s="44">
        <f>+'Cons spec tot e finalizzati'!H164-'Cons spec tot e finalizzati'!I164</f>
        <v>187</v>
      </c>
      <c r="H161" s="44">
        <f>+'Cons spec tot e finalizzati'!J164-'Cons spec tot e finalizzati'!K164</f>
        <v>262</v>
      </c>
      <c r="I161" s="44">
        <f>+'Cons spec tot e finalizzati'!L164-'Cons spec tot e finalizzati'!M164</f>
        <v>275</v>
      </c>
      <c r="J161" s="44">
        <f>+'Cons spec tot e finalizzati'!N164-'Cons spec tot e finalizzati'!O164</f>
        <v>187</v>
      </c>
      <c r="K161" s="44">
        <f>+'Cons spec tot e finalizzati'!P164-'Cons spec tot e finalizzati'!Q164</f>
        <v>113</v>
      </c>
      <c r="L161" s="44">
        <f>+'Cons spec tot e finalizzati'!R164-'Cons spec tot e finalizzati'!S164</f>
        <v>95</v>
      </c>
      <c r="M161" s="6"/>
      <c r="N161" s="184"/>
      <c r="AB161" s="119"/>
      <c r="AC161" s="121"/>
    </row>
    <row r="162" spans="1:29" s="3" customFormat="1" ht="12.75">
      <c r="A162" s="18"/>
      <c r="B162" s="10"/>
      <c r="C162" s="59" t="s">
        <v>50</v>
      </c>
      <c r="D162" s="36"/>
      <c r="F162" s="44">
        <f>+'Cons spec tot e finalizzati'!F165-'Cons spec tot e finalizzati'!G165</f>
        <v>10</v>
      </c>
      <c r="G162" s="44">
        <f>+'Cons spec tot e finalizzati'!H165-'Cons spec tot e finalizzati'!I165</f>
        <v>11</v>
      </c>
      <c r="H162" s="44">
        <f>+'Cons spec tot e finalizzati'!J165-'Cons spec tot e finalizzati'!K165</f>
        <v>13</v>
      </c>
      <c r="I162" s="44">
        <f>+'Cons spec tot e finalizzati'!L165-'Cons spec tot e finalizzati'!M165</f>
        <v>10</v>
      </c>
      <c r="J162" s="44">
        <f>+'Cons spec tot e finalizzati'!N165-'Cons spec tot e finalizzati'!O165</f>
        <v>11</v>
      </c>
      <c r="K162" s="44">
        <f>+'Cons spec tot e finalizzati'!P165-'Cons spec tot e finalizzati'!Q165</f>
        <v>7</v>
      </c>
      <c r="L162" s="44">
        <f>+'Cons spec tot e finalizzati'!R165-'Cons spec tot e finalizzati'!S165</f>
        <v>7</v>
      </c>
      <c r="M162" s="6"/>
      <c r="N162" s="184"/>
      <c r="AB162" s="119"/>
      <c r="AC162" s="121"/>
    </row>
    <row r="163" spans="1:29" s="3" customFormat="1" ht="12.75">
      <c r="A163" s="18"/>
      <c r="B163" s="10"/>
      <c r="C163" s="59" t="s">
        <v>209</v>
      </c>
      <c r="D163" s="36"/>
      <c r="F163" s="44">
        <f>+'Cons spec tot e finalizzati'!F166-'Cons spec tot e finalizzati'!G166</f>
        <v>148</v>
      </c>
      <c r="G163" s="44">
        <f>+'Cons spec tot e finalizzati'!H166-'Cons spec tot e finalizzati'!I166</f>
        <v>17</v>
      </c>
      <c r="H163" s="44">
        <f>+'Cons spec tot e finalizzati'!J166-'Cons spec tot e finalizzati'!K166</f>
        <v>0</v>
      </c>
      <c r="I163" s="44">
        <f>+'Cons spec tot e finalizzati'!L166-'Cons spec tot e finalizzati'!M166</f>
        <v>0</v>
      </c>
      <c r="J163" s="44">
        <f>+'Cons spec tot e finalizzati'!N166-'Cons spec tot e finalizzati'!O166</f>
        <v>0</v>
      </c>
      <c r="K163" s="44">
        <f>+'Cons spec tot e finalizzati'!P166-'Cons spec tot e finalizzati'!Q166</f>
        <v>52</v>
      </c>
      <c r="L163" s="44">
        <f>+'Cons spec tot e finalizzati'!R166-'Cons spec tot e finalizzati'!S166</f>
        <v>168</v>
      </c>
      <c r="M163" s="6"/>
      <c r="N163" s="184"/>
      <c r="AB163" s="119"/>
      <c r="AC163" s="120"/>
    </row>
    <row r="164" spans="1:29" s="3" customFormat="1" ht="12.75">
      <c r="A164" s="18"/>
      <c r="B164" s="23" t="s">
        <v>145</v>
      </c>
      <c r="C164" s="10"/>
      <c r="D164" s="36"/>
      <c r="F164" s="158">
        <f aca="true" t="shared" si="24" ref="F164:L164">SUM(F165:F167)</f>
        <v>0</v>
      </c>
      <c r="G164" s="158">
        <f t="shared" si="24"/>
        <v>0</v>
      </c>
      <c r="H164" s="158">
        <f t="shared" si="24"/>
        <v>0</v>
      </c>
      <c r="I164" s="158">
        <f t="shared" si="24"/>
        <v>0</v>
      </c>
      <c r="J164" s="158">
        <f t="shared" si="24"/>
        <v>0</v>
      </c>
      <c r="K164" s="158">
        <f t="shared" si="24"/>
        <v>228</v>
      </c>
      <c r="L164" s="158">
        <f t="shared" si="24"/>
        <v>162</v>
      </c>
      <c r="M164" s="6"/>
      <c r="N164" s="184"/>
      <c r="AB164" s="119"/>
      <c r="AC164" s="121"/>
    </row>
    <row r="165" spans="1:29" s="3" customFormat="1" ht="12.75">
      <c r="A165" s="18"/>
      <c r="B165" s="23"/>
      <c r="C165" s="59" t="s">
        <v>12</v>
      </c>
      <c r="D165" s="36"/>
      <c r="F165" s="44">
        <f>+'Cons spec tot e finalizzati'!F168-'Cons spec tot e finalizzati'!G168</f>
        <v>0</v>
      </c>
      <c r="G165" s="44">
        <f>+'Cons spec tot e finalizzati'!H168-'Cons spec tot e finalizzati'!I168</f>
        <v>0</v>
      </c>
      <c r="H165" s="44">
        <f>+'Cons spec tot e finalizzati'!J168-'Cons spec tot e finalizzati'!K168</f>
        <v>0</v>
      </c>
      <c r="I165" s="44">
        <f>+'Cons spec tot e finalizzati'!L168-'Cons spec tot e finalizzati'!M168</f>
        <v>0</v>
      </c>
      <c r="J165" s="44">
        <f>+'Cons spec tot e finalizzati'!N168-'Cons spec tot e finalizzati'!O168</f>
        <v>0</v>
      </c>
      <c r="K165" s="44">
        <f>+'Cons spec tot e finalizzati'!P168-'Cons spec tot e finalizzati'!Q168</f>
        <v>190</v>
      </c>
      <c r="L165" s="44">
        <f>+'Cons spec tot e finalizzati'!R168-'Cons spec tot e finalizzati'!S168</f>
        <v>80</v>
      </c>
      <c r="M165" s="6"/>
      <c r="N165" s="184"/>
      <c r="AB165" s="119"/>
      <c r="AC165" s="121"/>
    </row>
    <row r="166" spans="1:29" s="3" customFormat="1" ht="12.75">
      <c r="A166" s="18"/>
      <c r="B166" s="23"/>
      <c r="C166" s="59" t="s">
        <v>210</v>
      </c>
      <c r="D166" s="36"/>
      <c r="F166" s="44">
        <f>+'Cons spec tot e finalizzati'!F169-'Cons spec tot e finalizzati'!G169</f>
        <v>0</v>
      </c>
      <c r="G166" s="44">
        <f>+'Cons spec tot e finalizzati'!H169-'Cons spec tot e finalizzati'!I169</f>
        <v>0</v>
      </c>
      <c r="H166" s="44">
        <f>+'Cons spec tot e finalizzati'!J169-'Cons spec tot e finalizzati'!K169</f>
        <v>0</v>
      </c>
      <c r="I166" s="44">
        <f>+'Cons spec tot e finalizzati'!L169-'Cons spec tot e finalizzati'!M169</f>
        <v>0</v>
      </c>
      <c r="J166" s="44">
        <f>+'Cons spec tot e finalizzati'!N169-'Cons spec tot e finalizzati'!O169</f>
        <v>0</v>
      </c>
      <c r="K166" s="44">
        <f>+'Cons spec tot e finalizzati'!P169-'Cons spec tot e finalizzati'!Q169</f>
        <v>15</v>
      </c>
      <c r="L166" s="44">
        <f>+'Cons spec tot e finalizzati'!R169-'Cons spec tot e finalizzati'!S169</f>
        <v>77</v>
      </c>
      <c r="M166" s="6"/>
      <c r="N166" s="184"/>
      <c r="AB166" s="119"/>
      <c r="AC166" s="121"/>
    </row>
    <row r="167" spans="1:29" s="3" customFormat="1" ht="12.75">
      <c r="A167" s="18"/>
      <c r="B167" s="23"/>
      <c r="C167" s="59" t="s">
        <v>211</v>
      </c>
      <c r="D167" s="36"/>
      <c r="F167" s="44">
        <f>+'Cons spec tot e finalizzati'!F170-'Cons spec tot e finalizzati'!G170</f>
        <v>0</v>
      </c>
      <c r="G167" s="44">
        <f>+'Cons spec tot e finalizzati'!H170-'Cons spec tot e finalizzati'!I170</f>
        <v>0</v>
      </c>
      <c r="H167" s="44">
        <f>+'Cons spec tot e finalizzati'!J170-'Cons spec tot e finalizzati'!K170</f>
        <v>0</v>
      </c>
      <c r="I167" s="44">
        <f>+'Cons spec tot e finalizzati'!L170-'Cons spec tot e finalizzati'!M170</f>
        <v>0</v>
      </c>
      <c r="J167" s="44">
        <f>+'Cons spec tot e finalizzati'!N170-'Cons spec tot e finalizzati'!O170</f>
        <v>0</v>
      </c>
      <c r="K167" s="44">
        <f>+'Cons spec tot e finalizzati'!P170-'Cons spec tot e finalizzati'!Q170</f>
        <v>23</v>
      </c>
      <c r="L167" s="44">
        <f>+'Cons spec tot e finalizzati'!R170-'Cons spec tot e finalizzati'!S170</f>
        <v>5</v>
      </c>
      <c r="M167" s="6"/>
      <c r="N167" s="184"/>
      <c r="AB167" s="119"/>
      <c r="AC167" s="121"/>
    </row>
    <row r="168" spans="1:44" s="3" customFormat="1" ht="12.75">
      <c r="A168" s="18"/>
      <c r="B168" s="23" t="s">
        <v>146</v>
      </c>
      <c r="C168" s="10"/>
      <c r="D168" s="36"/>
      <c r="E168"/>
      <c r="F168" s="212">
        <f>+'Cons spec tot e finalizzati'!F171-'Cons spec tot e finalizzati'!G171</f>
        <v>688</v>
      </c>
      <c r="G168" s="261">
        <f>+'Cons spec tot e finalizzati'!H171-'Cons spec tot e finalizzati'!I171</f>
        <v>510</v>
      </c>
      <c r="H168" s="212">
        <f>+'Cons spec tot e finalizzati'!J171-'Cons spec tot e finalizzati'!K171</f>
        <v>774</v>
      </c>
      <c r="I168" s="261">
        <f>+'Cons spec tot e finalizzati'!L171-'Cons spec tot e finalizzati'!M171</f>
        <v>524</v>
      </c>
      <c r="J168" s="212">
        <f>+'Cons spec tot e finalizzati'!N171-'Cons spec tot e finalizzati'!O171</f>
        <v>917.7110423649594</v>
      </c>
      <c r="K168" s="261">
        <f>SUM(K169:K173)</f>
        <v>1426</v>
      </c>
      <c r="L168" s="261">
        <f>SUM(L169:L173)</f>
        <v>1384</v>
      </c>
      <c r="M168" s="224"/>
      <c r="N168" s="212"/>
      <c r="O168" s="224"/>
      <c r="P168" s="212"/>
      <c r="Q168" s="274"/>
      <c r="R168" s="212"/>
      <c r="S168" s="224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</row>
    <row r="169" spans="1:29" s="3" customFormat="1" ht="13.5" customHeight="1">
      <c r="A169" s="18"/>
      <c r="B169" s="23"/>
      <c r="C169" s="59" t="s">
        <v>12</v>
      </c>
      <c r="D169" s="36"/>
      <c r="F169" s="44">
        <f>+'Cons spec tot e finalizzati'!F172-'Cons spec tot e finalizzati'!G172</f>
        <v>0</v>
      </c>
      <c r="G169" s="44">
        <f>+'Cons spec tot e finalizzati'!H172-'Cons spec tot e finalizzati'!I172</f>
        <v>0</v>
      </c>
      <c r="H169" s="44">
        <f>+'Cons spec tot e finalizzati'!J172-'Cons spec tot e finalizzati'!K172</f>
        <v>0</v>
      </c>
      <c r="I169" s="44">
        <f>+'Cons spec tot e finalizzati'!L172-'Cons spec tot e finalizzati'!M172</f>
        <v>0</v>
      </c>
      <c r="J169" s="44">
        <f>+'Cons spec tot e finalizzati'!N172-'Cons spec tot e finalizzati'!O172</f>
        <v>0</v>
      </c>
      <c r="K169" s="44">
        <f>+'Cons spec tot e finalizzati'!P172-'Cons spec tot e finalizzati'!Q172</f>
        <v>222</v>
      </c>
      <c r="L169" s="44">
        <f>+'Cons spec tot e finalizzati'!R172-'Cons spec tot e finalizzati'!S172</f>
        <v>45</v>
      </c>
      <c r="M169" s="6"/>
      <c r="N169" s="184"/>
      <c r="AB169" s="119"/>
      <c r="AC169" s="121"/>
    </row>
    <row r="170" spans="1:29" s="3" customFormat="1" ht="13.5" customHeight="1">
      <c r="A170" s="18"/>
      <c r="B170" s="23"/>
      <c r="C170" s="59" t="s">
        <v>212</v>
      </c>
      <c r="D170" s="36"/>
      <c r="F170" s="44">
        <f>+'Cons spec tot e finalizzati'!F173-'Cons spec tot e finalizzati'!G173</f>
        <v>0</v>
      </c>
      <c r="G170" s="44">
        <f>+'Cons spec tot e finalizzati'!H173-'Cons spec tot e finalizzati'!I173</f>
        <v>0</v>
      </c>
      <c r="H170" s="44">
        <f>+'Cons spec tot e finalizzati'!J173-'Cons spec tot e finalizzati'!K173</f>
        <v>0</v>
      </c>
      <c r="I170" s="44">
        <f>+'Cons spec tot e finalizzati'!L173-'Cons spec tot e finalizzati'!M173</f>
        <v>0</v>
      </c>
      <c r="J170" s="44">
        <f>+'Cons spec tot e finalizzati'!N173-'Cons spec tot e finalizzati'!O173</f>
        <v>0</v>
      </c>
      <c r="K170" s="44">
        <f>+'Cons spec tot e finalizzati'!P173-'Cons spec tot e finalizzati'!Q173</f>
        <v>190</v>
      </c>
      <c r="L170" s="44">
        <f>+'Cons spec tot e finalizzati'!R173-'Cons spec tot e finalizzati'!S173</f>
        <v>431</v>
      </c>
      <c r="M170" s="6"/>
      <c r="N170" s="184"/>
      <c r="AB170" s="119"/>
      <c r="AC170" s="121"/>
    </row>
    <row r="171" spans="1:29" s="3" customFormat="1" ht="13.5" customHeight="1">
      <c r="A171" s="18"/>
      <c r="B171" s="23"/>
      <c r="C171" s="59" t="s">
        <v>213</v>
      </c>
      <c r="D171" s="36"/>
      <c r="F171" s="44">
        <f>+'Cons spec tot e finalizzati'!F174-'Cons spec tot e finalizzati'!G174</f>
        <v>0</v>
      </c>
      <c r="G171" s="44">
        <f>+'Cons spec tot e finalizzati'!H174-'Cons spec tot e finalizzati'!I174</f>
        <v>0</v>
      </c>
      <c r="H171" s="44">
        <f>+'Cons spec tot e finalizzati'!J174-'Cons spec tot e finalizzati'!K174</f>
        <v>0</v>
      </c>
      <c r="I171" s="44">
        <f>+'Cons spec tot e finalizzati'!L174-'Cons spec tot e finalizzati'!M174</f>
        <v>0</v>
      </c>
      <c r="J171" s="44">
        <f>+'Cons spec tot e finalizzati'!N174-'Cons spec tot e finalizzati'!O174</f>
        <v>0</v>
      </c>
      <c r="K171" s="44">
        <f>+'Cons spec tot e finalizzati'!P174-'Cons spec tot e finalizzati'!Q174</f>
        <v>479</v>
      </c>
      <c r="L171" s="44">
        <f>+'Cons spec tot e finalizzati'!R174-'Cons spec tot e finalizzati'!S174</f>
        <v>393</v>
      </c>
      <c r="M171" s="6"/>
      <c r="N171" s="184"/>
      <c r="AB171" s="119"/>
      <c r="AC171" s="121"/>
    </row>
    <row r="172" spans="1:29" s="3" customFormat="1" ht="13.5" customHeight="1">
      <c r="A172" s="18"/>
      <c r="B172" s="23"/>
      <c r="C172" s="59" t="s">
        <v>214</v>
      </c>
      <c r="D172" s="36"/>
      <c r="F172" s="44">
        <f>+'Cons spec tot e finalizzati'!F175-'Cons spec tot e finalizzati'!G175</f>
        <v>0</v>
      </c>
      <c r="G172" s="44">
        <f>+'Cons spec tot e finalizzati'!H175-'Cons spec tot e finalizzati'!I175</f>
        <v>0</v>
      </c>
      <c r="H172" s="44">
        <f>+'Cons spec tot e finalizzati'!J175-'Cons spec tot e finalizzati'!K175</f>
        <v>0</v>
      </c>
      <c r="I172" s="44">
        <f>+'Cons spec tot e finalizzati'!L175-'Cons spec tot e finalizzati'!M175</f>
        <v>0</v>
      </c>
      <c r="J172" s="44">
        <f>+'Cons spec tot e finalizzati'!N175-'Cons spec tot e finalizzati'!O175</f>
        <v>0</v>
      </c>
      <c r="K172" s="44">
        <f>+'Cons spec tot e finalizzati'!P175-'Cons spec tot e finalizzati'!Q175</f>
        <v>52</v>
      </c>
      <c r="L172" s="44">
        <f>+'Cons spec tot e finalizzati'!R175-'Cons spec tot e finalizzati'!S175</f>
        <v>69</v>
      </c>
      <c r="M172" s="6"/>
      <c r="N172" s="184"/>
      <c r="AB172" s="119"/>
      <c r="AC172" s="121"/>
    </row>
    <row r="173" spans="1:29" s="3" customFormat="1" ht="13.5" customHeight="1">
      <c r="A173" s="18"/>
      <c r="B173" s="23"/>
      <c r="C173" s="59" t="s">
        <v>215</v>
      </c>
      <c r="D173" s="36"/>
      <c r="F173" s="45">
        <f>+'Cons spec tot e finalizzati'!F176-'Cons spec tot e finalizzati'!G176</f>
        <v>0</v>
      </c>
      <c r="G173" s="45">
        <f>+'Cons spec tot e finalizzati'!H176-'Cons spec tot e finalizzati'!I176</f>
        <v>0</v>
      </c>
      <c r="H173" s="45">
        <f>+'Cons spec tot e finalizzati'!J176-'Cons spec tot e finalizzati'!K176</f>
        <v>0</v>
      </c>
      <c r="I173" s="45">
        <f>+'Cons spec tot e finalizzati'!L176-'Cons spec tot e finalizzati'!M176</f>
        <v>0</v>
      </c>
      <c r="J173" s="45">
        <f>+'Cons spec tot e finalizzati'!N176-'Cons spec tot e finalizzati'!O176</f>
        <v>0</v>
      </c>
      <c r="K173" s="45">
        <f>+'Cons spec tot e finalizzati'!P176-'Cons spec tot e finalizzati'!Q176</f>
        <v>483</v>
      </c>
      <c r="L173" s="45">
        <f>+'Cons spec tot e finalizzati'!R176-'Cons spec tot e finalizzati'!S176</f>
        <v>446</v>
      </c>
      <c r="M173" s="6"/>
      <c r="N173" s="184"/>
      <c r="AB173" s="119"/>
      <c r="AC173" s="121"/>
    </row>
    <row r="174" spans="1:29" s="3" customFormat="1" ht="13.5" customHeight="1">
      <c r="A174" s="47" t="s">
        <v>41</v>
      </c>
      <c r="B174" s="53"/>
      <c r="C174" s="48"/>
      <c r="D174" s="49"/>
      <c r="F174" s="57">
        <f>SUM(F175:F179)</f>
        <v>1757</v>
      </c>
      <c r="G174" s="57">
        <f>SUM(G175:G179)</f>
        <v>2208</v>
      </c>
      <c r="H174" s="57">
        <f>SUM(H175:H179)</f>
        <v>2376</v>
      </c>
      <c r="I174" s="57">
        <f>SUM(I175:I179)-1</f>
        <v>3220</v>
      </c>
      <c r="J174" s="57">
        <f>SUM(J175:J179)</f>
        <v>2986</v>
      </c>
      <c r="K174" s="57">
        <f>SUM(K175:K179)</f>
        <v>2237</v>
      </c>
      <c r="L174" s="57">
        <f>SUM(L175:L179)</f>
        <v>3430</v>
      </c>
      <c r="M174" s="6"/>
      <c r="N174" s="184"/>
      <c r="AB174" s="119"/>
      <c r="AC174" s="120"/>
    </row>
    <row r="175" spans="1:29" s="3" customFormat="1" ht="12.75">
      <c r="A175" s="140"/>
      <c r="B175" s="19" t="s">
        <v>42</v>
      </c>
      <c r="C175" s="20"/>
      <c r="D175" s="21"/>
      <c r="F175" s="44">
        <f>+'Cons spec tot e finalizzati'!F178-'Cons spec tot e finalizzati'!G178</f>
        <v>529</v>
      </c>
      <c r="G175" s="44">
        <f>+'Cons spec tot e finalizzati'!H178-'Cons spec tot e finalizzati'!I178</f>
        <v>969</v>
      </c>
      <c r="H175" s="44">
        <f>+'Cons spec tot e finalizzati'!J178-'Cons spec tot e finalizzati'!K178</f>
        <v>754</v>
      </c>
      <c r="I175" s="44">
        <f>+'Cons spec tot e finalizzati'!L178-'Cons spec tot e finalizzati'!M178</f>
        <v>711</v>
      </c>
      <c r="J175" s="44">
        <f>+'Cons spec tot e finalizzati'!N178-'Cons spec tot e finalizzati'!O178</f>
        <v>1413</v>
      </c>
      <c r="K175" s="44">
        <f>+'Cons spec tot e finalizzati'!P178-'Cons spec tot e finalizzati'!Q178</f>
        <v>1010</v>
      </c>
      <c r="L175" s="44">
        <f>+'Cons spec tot e finalizzati'!R178-'Cons spec tot e finalizzati'!S178</f>
        <v>1281</v>
      </c>
      <c r="M175" s="6"/>
      <c r="N175" s="184"/>
      <c r="AB175" s="119"/>
      <c r="AC175" s="121"/>
    </row>
    <row r="176" spans="1:29" s="3" customFormat="1" ht="12.75">
      <c r="A176" s="29"/>
      <c r="B176" s="19" t="s">
        <v>43</v>
      </c>
      <c r="C176" s="20"/>
      <c r="D176" s="21"/>
      <c r="F176" s="44">
        <f>+'Cons spec tot e finalizzati'!F179-'Cons spec tot e finalizzati'!G179</f>
        <v>0</v>
      </c>
      <c r="G176" s="44">
        <f>+'Cons spec tot e finalizzati'!H179-'Cons spec tot e finalizzati'!I179</f>
        <v>0</v>
      </c>
      <c r="H176" s="44">
        <f>+'Cons spec tot e finalizzati'!J179-'Cons spec tot e finalizzati'!K179</f>
        <v>0</v>
      </c>
      <c r="I176" s="44">
        <f>+'Cons spec tot e finalizzati'!L179-'Cons spec tot e finalizzati'!M179</f>
        <v>0</v>
      </c>
      <c r="J176" s="44">
        <f>+'Cons spec tot e finalizzati'!N179-'Cons spec tot e finalizzati'!O179</f>
        <v>0</v>
      </c>
      <c r="K176" s="44">
        <f>+'Cons spec tot e finalizzati'!P179-'Cons spec tot e finalizzati'!Q179</f>
        <v>0</v>
      </c>
      <c r="L176" s="44">
        <f>+'Cons spec tot e finalizzati'!R179-'Cons spec tot e finalizzati'!S179</f>
        <v>0</v>
      </c>
      <c r="M176" s="6"/>
      <c r="N176" s="184"/>
      <c r="AB176" s="119"/>
      <c r="AC176" s="121"/>
    </row>
    <row r="177" spans="1:29" s="3" customFormat="1" ht="12.75">
      <c r="A177" s="29"/>
      <c r="B177" s="19" t="s">
        <v>216</v>
      </c>
      <c r="C177" s="20"/>
      <c r="D177" s="21"/>
      <c r="F177" s="44">
        <f>+'Cons spec tot e finalizzati'!F180-'Cons spec tot e finalizzati'!G180</f>
        <v>0</v>
      </c>
      <c r="G177" s="44">
        <f>+'Cons spec tot e finalizzati'!H180-'Cons spec tot e finalizzati'!I180</f>
        <v>0</v>
      </c>
      <c r="H177" s="44">
        <f>+'Cons spec tot e finalizzati'!J180-'Cons spec tot e finalizzati'!K180</f>
        <v>0</v>
      </c>
      <c r="I177" s="44">
        <f>+'Cons spec tot e finalizzati'!L180-'Cons spec tot e finalizzati'!M180</f>
        <v>0</v>
      </c>
      <c r="J177" s="44">
        <f>+'Cons spec tot e finalizzati'!N180-'Cons spec tot e finalizzati'!O180</f>
        <v>0</v>
      </c>
      <c r="K177" s="44">
        <f>+'Cons spec tot e finalizzati'!P180-'Cons spec tot e finalizzati'!Q180</f>
        <v>142</v>
      </c>
      <c r="L177" s="44">
        <f>+'Cons spec tot e finalizzati'!R180-'Cons spec tot e finalizzati'!S180</f>
        <v>77</v>
      </c>
      <c r="M177" s="6"/>
      <c r="N177" s="184"/>
      <c r="AB177" s="119"/>
      <c r="AC177" s="121"/>
    </row>
    <row r="178" spans="1:29" s="3" customFormat="1" ht="12.75">
      <c r="A178" s="29"/>
      <c r="B178" s="59" t="s">
        <v>217</v>
      </c>
      <c r="C178" s="20"/>
      <c r="D178" s="21"/>
      <c r="F178" s="44">
        <f>+'Cons spec tot e finalizzati'!F181-'Cons spec tot e finalizzati'!G181</f>
        <v>0</v>
      </c>
      <c r="G178" s="44">
        <f>+'Cons spec tot e finalizzati'!H181-'Cons spec tot e finalizzati'!I181</f>
        <v>723</v>
      </c>
      <c r="H178" s="44">
        <f>+'Cons spec tot e finalizzati'!J181-'Cons spec tot e finalizzati'!K181</f>
        <v>1163</v>
      </c>
      <c r="I178" s="44">
        <f>+'Cons spec tot e finalizzati'!L181-'Cons spec tot e finalizzati'!M181</f>
        <v>1963</v>
      </c>
      <c r="J178" s="44">
        <f>+'Cons spec tot e finalizzati'!N181-'Cons spec tot e finalizzati'!O181</f>
        <v>659</v>
      </c>
      <c r="K178" s="44">
        <f>+'Cons spec tot e finalizzati'!P181-'Cons spec tot e finalizzati'!Q181</f>
        <v>1085</v>
      </c>
      <c r="L178" s="44">
        <f>+'Cons spec tot e finalizzati'!R181-'Cons spec tot e finalizzati'!S181</f>
        <v>2072</v>
      </c>
      <c r="M178" s="6"/>
      <c r="N178" s="184"/>
      <c r="AB178" s="119"/>
      <c r="AC178" s="121"/>
    </row>
    <row r="179" spans="1:29" s="3" customFormat="1" ht="12.75">
      <c r="A179" s="68"/>
      <c r="B179" s="101" t="s">
        <v>218</v>
      </c>
      <c r="C179" s="69"/>
      <c r="D179" s="70"/>
      <c r="E179" s="112"/>
      <c r="F179" s="44">
        <f>+'Cons spec tot e finalizzati'!F182-'Cons spec tot e finalizzati'!G182</f>
        <v>1228</v>
      </c>
      <c r="G179" s="44">
        <f>+'Cons spec tot e finalizzati'!H182-'Cons spec tot e finalizzati'!I182</f>
        <v>516</v>
      </c>
      <c r="H179" s="44">
        <f>+'Cons spec tot e finalizzati'!J182-'Cons spec tot e finalizzati'!K182</f>
        <v>459</v>
      </c>
      <c r="I179" s="44">
        <f>+'Cons spec tot e finalizzati'!L182-'Cons spec tot e finalizzati'!M182</f>
        <v>547</v>
      </c>
      <c r="J179" s="44">
        <f>+'Cons spec tot e finalizzati'!N182-'Cons spec tot e finalizzati'!O182</f>
        <v>914</v>
      </c>
      <c r="K179" s="44">
        <f>+'Cons spec tot e finalizzati'!P182-'Cons spec tot e finalizzati'!Q182</f>
        <v>0</v>
      </c>
      <c r="L179" s="44">
        <f>+'Cons spec tot e finalizzati'!R182-'Cons spec tot e finalizzati'!S182</f>
        <v>0</v>
      </c>
      <c r="M179" s="6"/>
      <c r="N179" s="184"/>
      <c r="AB179" s="119"/>
      <c r="AC179" s="121"/>
    </row>
    <row r="180" spans="1:29" s="3" customFormat="1" ht="12.75">
      <c r="A180" s="47" t="s">
        <v>147</v>
      </c>
      <c r="B180" s="48"/>
      <c r="C180" s="48"/>
      <c r="D180" s="49"/>
      <c r="F180" s="50">
        <f aca="true" t="shared" si="25" ref="F180:K180">+F181+F192+F203+F214+F225+F236+F247+F258+F269</f>
        <v>20865</v>
      </c>
      <c r="G180" s="50">
        <f t="shared" si="25"/>
        <v>23377</v>
      </c>
      <c r="H180" s="50">
        <f t="shared" si="25"/>
        <v>25259</v>
      </c>
      <c r="I180" s="50">
        <f t="shared" si="25"/>
        <v>26872.5</v>
      </c>
      <c r="J180" s="50">
        <f t="shared" si="25"/>
        <v>28608.891094733688</v>
      </c>
      <c r="K180" s="50">
        <f t="shared" si="25"/>
        <v>30082</v>
      </c>
      <c r="L180" s="50">
        <f>+L181+L192+L203+L214+L225+L236+L247+L258+L269</f>
        <v>31729</v>
      </c>
      <c r="M180" s="6"/>
      <c r="N180" s="184"/>
      <c r="AB180" s="119"/>
      <c r="AC180" s="121"/>
    </row>
    <row r="181" spans="1:29" s="3" customFormat="1" ht="12.75">
      <c r="A181" s="28"/>
      <c r="B181" s="22" t="s">
        <v>51</v>
      </c>
      <c r="C181" s="19"/>
      <c r="D181" s="26"/>
      <c r="F181" s="135">
        <f aca="true" t="shared" si="26" ref="F181:K181">SUM(F182:F191)</f>
        <v>1315</v>
      </c>
      <c r="G181" s="135">
        <f t="shared" si="26"/>
        <v>1477</v>
      </c>
      <c r="H181" s="135">
        <f t="shared" si="26"/>
        <v>1496</v>
      </c>
      <c r="I181" s="135">
        <f t="shared" si="26"/>
        <v>1577</v>
      </c>
      <c r="J181" s="135">
        <f t="shared" si="26"/>
        <v>1656</v>
      </c>
      <c r="K181" s="135">
        <f t="shared" si="26"/>
        <v>1762</v>
      </c>
      <c r="L181" s="135">
        <f>SUM(L182:L191)</f>
        <v>1864</v>
      </c>
      <c r="M181" s="6"/>
      <c r="N181" s="184"/>
      <c r="AB181" s="119"/>
      <c r="AC181" s="121"/>
    </row>
    <row r="182" spans="1:29" s="3" customFormat="1" ht="12.75">
      <c r="A182" s="28"/>
      <c r="B182" s="19"/>
      <c r="C182" s="19" t="s">
        <v>52</v>
      </c>
      <c r="D182" s="26"/>
      <c r="F182" s="44">
        <f>+'Cons spec tot e finalizzati'!F185-'Cons spec tot e finalizzati'!G185</f>
        <v>50</v>
      </c>
      <c r="G182" s="44">
        <f>+'Cons spec tot e finalizzati'!H185-'Cons spec tot e finalizzati'!I185</f>
        <v>146</v>
      </c>
      <c r="H182" s="44">
        <f>+'Cons spec tot e finalizzati'!J185-'Cons spec tot e finalizzati'!K185</f>
        <v>156</v>
      </c>
      <c r="I182" s="44">
        <f>+'Cons spec tot e finalizzati'!L185-'Cons spec tot e finalizzati'!M185</f>
        <v>245</v>
      </c>
      <c r="J182" s="44">
        <f>+'Cons spec tot e finalizzati'!N185-'Cons spec tot e finalizzati'!O185</f>
        <v>262</v>
      </c>
      <c r="K182" s="44">
        <f>+'Cons spec tot e finalizzati'!P185-'Cons spec tot e finalizzati'!Q185</f>
        <v>280</v>
      </c>
      <c r="L182" s="44">
        <f>+'Cons spec tot e finalizzati'!R185-'Cons spec tot e finalizzati'!S185</f>
        <v>230</v>
      </c>
      <c r="M182" s="6"/>
      <c r="N182" s="184"/>
      <c r="AB182" s="119"/>
      <c r="AC182" s="121"/>
    </row>
    <row r="183" spans="1:29" s="3" customFormat="1" ht="12.75">
      <c r="A183" s="28"/>
      <c r="B183" s="19"/>
      <c r="C183" s="19" t="s">
        <v>53</v>
      </c>
      <c r="D183" s="26"/>
      <c r="F183" s="44">
        <f>+'Cons spec tot e finalizzati'!F186-'Cons spec tot e finalizzati'!G186</f>
        <v>951</v>
      </c>
      <c r="G183" s="44">
        <f>+'Cons spec tot e finalizzati'!H186-'Cons spec tot e finalizzati'!I186</f>
        <v>972</v>
      </c>
      <c r="H183" s="44">
        <f>+'Cons spec tot e finalizzati'!J186-'Cons spec tot e finalizzati'!K186</f>
        <v>965</v>
      </c>
      <c r="I183" s="44">
        <f>+'Cons spec tot e finalizzati'!L186-'Cons spec tot e finalizzati'!M186</f>
        <v>943</v>
      </c>
      <c r="J183" s="44">
        <f>+'Cons spec tot e finalizzati'!N186-'Cons spec tot e finalizzati'!O186</f>
        <v>947</v>
      </c>
      <c r="K183" s="44">
        <f>+'Cons spec tot e finalizzati'!P186-'Cons spec tot e finalizzati'!Q186</f>
        <v>959</v>
      </c>
      <c r="L183" s="44">
        <f>+'Cons spec tot e finalizzati'!R186-'Cons spec tot e finalizzati'!S186</f>
        <v>1092</v>
      </c>
      <c r="M183" s="6"/>
      <c r="N183" s="184"/>
      <c r="AB183" s="124"/>
      <c r="AC183" s="125"/>
    </row>
    <row r="184" spans="1:29" s="3" customFormat="1" ht="12.75">
      <c r="A184" s="28"/>
      <c r="B184" s="19"/>
      <c r="C184" s="19" t="s">
        <v>54</v>
      </c>
      <c r="D184" s="26"/>
      <c r="F184" s="44">
        <f>+'Cons spec tot e finalizzati'!F187-'Cons spec tot e finalizzati'!G187</f>
        <v>0</v>
      </c>
      <c r="G184" s="44">
        <f>+'Cons spec tot e finalizzati'!H187-'Cons spec tot e finalizzati'!I187</f>
        <v>0</v>
      </c>
      <c r="H184" s="44">
        <f>+'Cons spec tot e finalizzati'!J187-'Cons spec tot e finalizzati'!K187</f>
        <v>0</v>
      </c>
      <c r="I184" s="44">
        <f>+'Cons spec tot e finalizzati'!L187-'Cons spec tot e finalizzati'!M187</f>
        <v>0</v>
      </c>
      <c r="J184" s="44">
        <f>+'Cons spec tot e finalizzati'!N187-'Cons spec tot e finalizzati'!O187</f>
        <v>0</v>
      </c>
      <c r="K184" s="44">
        <f>+'Cons spec tot e finalizzati'!P187-'Cons spec tot e finalizzati'!Q187</f>
        <v>0</v>
      </c>
      <c r="L184" s="44">
        <f>+'Cons spec tot e finalizzati'!R187-'Cons spec tot e finalizzati'!S187</f>
        <v>0</v>
      </c>
      <c r="M184" s="6"/>
      <c r="N184" s="184"/>
      <c r="AB184" s="119"/>
      <c r="AC184" s="120"/>
    </row>
    <row r="185" spans="1:29" s="3" customFormat="1" ht="12.75">
      <c r="A185" s="28"/>
      <c r="B185" s="19"/>
      <c r="C185" s="19" t="s">
        <v>55</v>
      </c>
      <c r="D185" s="26"/>
      <c r="F185" s="44">
        <f>+'Cons spec tot e finalizzati'!F188-'Cons spec tot e finalizzati'!G188</f>
        <v>0</v>
      </c>
      <c r="G185" s="44">
        <f>+'Cons spec tot e finalizzati'!H188-'Cons spec tot e finalizzati'!I188</f>
        <v>0</v>
      </c>
      <c r="H185" s="44">
        <f>+'Cons spec tot e finalizzati'!J188-'Cons spec tot e finalizzati'!K188</f>
        <v>0</v>
      </c>
      <c r="I185" s="44">
        <f>+'Cons spec tot e finalizzati'!L188-'Cons spec tot e finalizzati'!M188</f>
        <v>0</v>
      </c>
      <c r="J185" s="44">
        <f>+'Cons spec tot e finalizzati'!N188-'Cons spec tot e finalizzati'!O188</f>
        <v>0</v>
      </c>
      <c r="K185" s="44">
        <f>+'Cons spec tot e finalizzati'!P188-'Cons spec tot e finalizzati'!Q188</f>
        <v>0</v>
      </c>
      <c r="L185" s="44">
        <f>+'Cons spec tot e finalizzati'!R188-'Cons spec tot e finalizzati'!S188</f>
        <v>0</v>
      </c>
      <c r="M185" s="6"/>
      <c r="N185" s="184"/>
      <c r="AB185" s="119"/>
      <c r="AC185" s="121"/>
    </row>
    <row r="186" spans="1:29" s="3" customFormat="1" ht="12.75">
      <c r="A186" s="28"/>
      <c r="B186" s="19"/>
      <c r="C186" s="19" t="s">
        <v>56</v>
      </c>
      <c r="D186" s="26"/>
      <c r="F186" s="44">
        <f>+'Cons spec tot e finalizzati'!F189-'Cons spec tot e finalizzati'!G189</f>
        <v>13</v>
      </c>
      <c r="G186" s="44">
        <f>+'Cons spec tot e finalizzati'!H189-'Cons spec tot e finalizzati'!I189</f>
        <v>3</v>
      </c>
      <c r="H186" s="44">
        <f>+'Cons spec tot e finalizzati'!J189-'Cons spec tot e finalizzati'!K189</f>
        <v>18</v>
      </c>
      <c r="I186" s="44">
        <f>+'Cons spec tot e finalizzati'!L189-'Cons spec tot e finalizzati'!M189</f>
        <v>14</v>
      </c>
      <c r="J186" s="44">
        <f>+'Cons spec tot e finalizzati'!N189-'Cons spec tot e finalizzati'!O189</f>
        <v>15</v>
      </c>
      <c r="K186" s="44">
        <f>+'Cons spec tot e finalizzati'!P189-'Cons spec tot e finalizzati'!Q189</f>
        <v>15</v>
      </c>
      <c r="L186" s="44">
        <f>+'Cons spec tot e finalizzati'!R189-'Cons spec tot e finalizzati'!S189</f>
        <v>63</v>
      </c>
      <c r="M186" s="6"/>
      <c r="N186" s="184"/>
      <c r="AB186" s="119"/>
      <c r="AC186" s="121"/>
    </row>
    <row r="187" spans="1:29" s="3" customFormat="1" ht="12.75">
      <c r="A187" s="28"/>
      <c r="B187" s="19"/>
      <c r="C187" s="19" t="s">
        <v>57</v>
      </c>
      <c r="D187" s="26"/>
      <c r="F187" s="44">
        <f>+'Cons spec tot e finalizzati'!F190-'Cons spec tot e finalizzati'!G190</f>
        <v>0</v>
      </c>
      <c r="G187" s="44">
        <f>+'Cons spec tot e finalizzati'!H190-'Cons spec tot e finalizzati'!I190</f>
        <v>0</v>
      </c>
      <c r="H187" s="44">
        <f>+'Cons spec tot e finalizzati'!J190-'Cons spec tot e finalizzati'!K190</f>
        <v>0</v>
      </c>
      <c r="I187" s="44">
        <f>+'Cons spec tot e finalizzati'!L190-'Cons spec tot e finalizzati'!M190</f>
        <v>0</v>
      </c>
      <c r="J187" s="44">
        <f>+'Cons spec tot e finalizzati'!N190-'Cons spec tot e finalizzati'!O190</f>
        <v>0</v>
      </c>
      <c r="K187" s="44">
        <f>+'Cons spec tot e finalizzati'!P190-'Cons spec tot e finalizzati'!Q190</f>
        <v>0</v>
      </c>
      <c r="L187" s="44">
        <f>+'Cons spec tot e finalizzati'!R190-'Cons spec tot e finalizzati'!S190</f>
        <v>0</v>
      </c>
      <c r="M187" s="6"/>
      <c r="N187" s="184"/>
      <c r="AB187" s="119"/>
      <c r="AC187" s="121"/>
    </row>
    <row r="188" spans="1:29" s="3" customFormat="1" ht="12.75">
      <c r="A188" s="28"/>
      <c r="B188" s="19"/>
      <c r="C188" s="19" t="s">
        <v>58</v>
      </c>
      <c r="D188" s="26"/>
      <c r="F188" s="44">
        <f>+'Cons spec tot e finalizzati'!F191-'Cons spec tot e finalizzati'!G191</f>
        <v>253</v>
      </c>
      <c r="G188" s="44">
        <f>+'Cons spec tot e finalizzati'!H191-'Cons spec tot e finalizzati'!I191</f>
        <v>282</v>
      </c>
      <c r="H188" s="44">
        <f>+'Cons spec tot e finalizzati'!J191-'Cons spec tot e finalizzati'!K191</f>
        <v>290</v>
      </c>
      <c r="I188" s="44">
        <f>+'Cons spec tot e finalizzati'!L191-'Cons spec tot e finalizzati'!M191</f>
        <v>297</v>
      </c>
      <c r="J188" s="44">
        <f>+'Cons spec tot e finalizzati'!N191-'Cons spec tot e finalizzati'!O191</f>
        <v>343</v>
      </c>
      <c r="K188" s="44">
        <f>+'Cons spec tot e finalizzati'!P191-'Cons spec tot e finalizzati'!Q191</f>
        <v>269</v>
      </c>
      <c r="L188" s="44">
        <f>+'Cons spec tot e finalizzati'!R191-'Cons spec tot e finalizzati'!S191</f>
        <v>263</v>
      </c>
      <c r="M188" s="6"/>
      <c r="N188" s="184"/>
      <c r="AB188" s="119"/>
      <c r="AC188" s="121"/>
    </row>
    <row r="189" spans="1:29" s="3" customFormat="1" ht="12.75">
      <c r="A189" s="28"/>
      <c r="B189" s="19"/>
      <c r="C189" s="19" t="s">
        <v>39</v>
      </c>
      <c r="D189" s="26"/>
      <c r="E189" s="112"/>
      <c r="F189" s="44">
        <f>+'Cons spec tot e finalizzati'!F192-'Cons spec tot e finalizzati'!G192</f>
        <v>4</v>
      </c>
      <c r="G189" s="44">
        <f>+'Cons spec tot e finalizzati'!H192-'Cons spec tot e finalizzati'!I192</f>
        <v>4</v>
      </c>
      <c r="H189" s="44">
        <f>+'Cons spec tot e finalizzati'!J192-'Cons spec tot e finalizzati'!K192</f>
        <v>18</v>
      </c>
      <c r="I189" s="44">
        <f>+'Cons spec tot e finalizzati'!L192-'Cons spec tot e finalizzati'!M192</f>
        <v>7</v>
      </c>
      <c r="J189" s="44">
        <f>+'Cons spec tot e finalizzati'!N192-'Cons spec tot e finalizzati'!O192</f>
        <v>7</v>
      </c>
      <c r="K189" s="44">
        <f>+'Cons spec tot e finalizzati'!P192-'Cons spec tot e finalizzati'!Q192</f>
        <v>137</v>
      </c>
      <c r="L189" s="44">
        <f>+'Cons spec tot e finalizzati'!R192-'Cons spec tot e finalizzati'!S192</f>
        <v>129</v>
      </c>
      <c r="M189" s="6"/>
      <c r="N189" s="184"/>
      <c r="AB189" s="119"/>
      <c r="AC189" s="121"/>
    </row>
    <row r="190" spans="1:29" s="3" customFormat="1" ht="12.75">
      <c r="A190" s="28"/>
      <c r="B190" s="19"/>
      <c r="C190" s="19" t="s">
        <v>72</v>
      </c>
      <c r="D190" s="26"/>
      <c r="F190" s="44">
        <f>+'Cons spec tot e finalizzati'!F193-'Cons spec tot e finalizzati'!G193</f>
        <v>44</v>
      </c>
      <c r="G190" s="44">
        <f>+'Cons spec tot e finalizzati'!H193-'Cons spec tot e finalizzati'!I193</f>
        <v>70</v>
      </c>
      <c r="H190" s="44">
        <f>+'Cons spec tot e finalizzati'!J193-'Cons spec tot e finalizzati'!K193</f>
        <v>49</v>
      </c>
      <c r="I190" s="44">
        <f>+'Cons spec tot e finalizzati'!L193-'Cons spec tot e finalizzati'!M193</f>
        <v>71</v>
      </c>
      <c r="J190" s="44">
        <f>+'Cons spec tot e finalizzati'!N193-'Cons spec tot e finalizzati'!O193</f>
        <v>82</v>
      </c>
      <c r="K190" s="44">
        <f>+'Cons spec tot e finalizzati'!P193-'Cons spec tot e finalizzati'!Q193</f>
        <v>102</v>
      </c>
      <c r="L190" s="44">
        <f>+'Cons spec tot e finalizzati'!R193-'Cons spec tot e finalizzati'!S193</f>
        <v>87</v>
      </c>
      <c r="M190" s="6"/>
      <c r="N190" s="184"/>
      <c r="AB190" s="119"/>
      <c r="AC190" s="121"/>
    </row>
    <row r="191" spans="1:29" s="3" customFormat="1" ht="12.75">
      <c r="A191" s="141"/>
      <c r="B191" s="34"/>
      <c r="C191" s="34" t="s">
        <v>59</v>
      </c>
      <c r="D191" s="142"/>
      <c r="F191" s="44">
        <f>+'Cons spec tot e finalizzati'!F194-'Cons spec tot e finalizzati'!G194</f>
        <v>0</v>
      </c>
      <c r="G191" s="44">
        <f>+'Cons spec tot e finalizzati'!H194-'Cons spec tot e finalizzati'!I194</f>
        <v>0</v>
      </c>
      <c r="H191" s="44">
        <f>+'Cons spec tot e finalizzati'!J194-'Cons spec tot e finalizzati'!K194</f>
        <v>0</v>
      </c>
      <c r="I191" s="44">
        <f>+'Cons spec tot e finalizzati'!L194-'Cons spec tot e finalizzati'!M194</f>
        <v>0</v>
      </c>
      <c r="J191" s="44">
        <f>+'Cons spec tot e finalizzati'!N194-'Cons spec tot e finalizzati'!O194</f>
        <v>0</v>
      </c>
      <c r="K191" s="44">
        <f>+'Cons spec tot e finalizzati'!P194-'Cons spec tot e finalizzati'!Q194</f>
        <v>0</v>
      </c>
      <c r="L191" s="44">
        <f>+'Cons spec tot e finalizzati'!R194-'Cons spec tot e finalizzati'!S194</f>
        <v>0</v>
      </c>
      <c r="M191" s="6"/>
      <c r="N191" s="184"/>
      <c r="AB191" s="119"/>
      <c r="AC191" s="121"/>
    </row>
    <row r="192" spans="1:29" s="3" customFormat="1" ht="12.75">
      <c r="A192" s="143"/>
      <c r="B192" s="144" t="s">
        <v>60</v>
      </c>
      <c r="C192" s="145"/>
      <c r="D192" s="146"/>
      <c r="F192" s="147">
        <f aca="true" t="shared" si="27" ref="F192:K192">SUM(F193:F202)</f>
        <v>3348</v>
      </c>
      <c r="G192" s="147">
        <f t="shared" si="27"/>
        <v>3704</v>
      </c>
      <c r="H192" s="147">
        <f t="shared" si="27"/>
        <v>4133</v>
      </c>
      <c r="I192" s="147">
        <f t="shared" si="27"/>
        <v>4395</v>
      </c>
      <c r="J192" s="147">
        <f t="shared" si="27"/>
        <v>4774.384801706374</v>
      </c>
      <c r="K192" s="147">
        <f t="shared" si="27"/>
        <v>5164</v>
      </c>
      <c r="L192" s="147">
        <f>SUM(L193:L202)</f>
        <v>5396</v>
      </c>
      <c r="M192" s="6"/>
      <c r="N192" s="184"/>
      <c r="AB192" s="119"/>
      <c r="AC192" s="121"/>
    </row>
    <row r="193" spans="1:29" s="3" customFormat="1" ht="12.75">
      <c r="A193" s="28"/>
      <c r="B193" s="19"/>
      <c r="C193" s="19" t="s">
        <v>52</v>
      </c>
      <c r="D193" s="26"/>
      <c r="F193" s="44">
        <f>+'Cons spec tot e finalizzati'!F196-'Cons spec tot e finalizzati'!G196</f>
        <v>97</v>
      </c>
      <c r="G193" s="44">
        <f>+'Cons spec tot e finalizzati'!H196-'Cons spec tot e finalizzati'!I196</f>
        <v>178</v>
      </c>
      <c r="H193" s="44">
        <f>+'Cons spec tot e finalizzati'!J196-'Cons spec tot e finalizzati'!K196</f>
        <v>233</v>
      </c>
      <c r="I193" s="44">
        <f>+'Cons spec tot e finalizzati'!L196-'Cons spec tot e finalizzati'!M196</f>
        <v>194</v>
      </c>
      <c r="J193" s="44">
        <f>+'Cons spec tot e finalizzati'!N196-'Cons spec tot e finalizzati'!O196</f>
        <v>264.3848017063736</v>
      </c>
      <c r="K193" s="44">
        <f>+'Cons spec tot e finalizzati'!P196-'Cons spec tot e finalizzati'!Q196</f>
        <v>205</v>
      </c>
      <c r="L193" s="44">
        <f>+'Cons spec tot e finalizzati'!R196-'Cons spec tot e finalizzati'!S196</f>
        <v>157</v>
      </c>
      <c r="M193" s="6"/>
      <c r="N193" s="184"/>
      <c r="AB193" s="119"/>
      <c r="AC193" s="121"/>
    </row>
    <row r="194" spans="1:29" s="3" customFormat="1" ht="12.75">
      <c r="A194" s="28"/>
      <c r="B194" s="19"/>
      <c r="C194" s="19" t="s">
        <v>53</v>
      </c>
      <c r="D194" s="26"/>
      <c r="F194" s="44">
        <f>+'Cons spec tot e finalizzati'!F197-'Cons spec tot e finalizzati'!G197</f>
        <v>2500</v>
      </c>
      <c r="G194" s="44">
        <f>+'Cons spec tot e finalizzati'!H197-'Cons spec tot e finalizzati'!I197</f>
        <v>2723</v>
      </c>
      <c r="H194" s="44">
        <f>+'Cons spec tot e finalizzati'!J197-'Cons spec tot e finalizzati'!K197</f>
        <v>2837</v>
      </c>
      <c r="I194" s="44">
        <f>+'Cons spec tot e finalizzati'!L197-'Cons spec tot e finalizzati'!M197</f>
        <v>3173</v>
      </c>
      <c r="J194" s="44">
        <f>+'Cons spec tot e finalizzati'!N197-'Cons spec tot e finalizzati'!O197</f>
        <v>3300</v>
      </c>
      <c r="K194" s="44">
        <f>+'Cons spec tot e finalizzati'!P197-'Cons spec tot e finalizzati'!Q197</f>
        <v>3244</v>
      </c>
      <c r="L194" s="44">
        <f>+'Cons spec tot e finalizzati'!R197-'Cons spec tot e finalizzati'!S197</f>
        <v>3392</v>
      </c>
      <c r="M194" s="6"/>
      <c r="N194" s="184"/>
      <c r="AB194" s="119"/>
      <c r="AC194" s="121"/>
    </row>
    <row r="195" spans="1:29" s="3" customFormat="1" ht="12.75">
      <c r="A195" s="28"/>
      <c r="B195" s="19"/>
      <c r="C195" s="19" t="s">
        <v>54</v>
      </c>
      <c r="D195" s="26"/>
      <c r="F195" s="44">
        <f>+'Cons spec tot e finalizzati'!F198-'Cons spec tot e finalizzati'!G198</f>
        <v>0</v>
      </c>
      <c r="G195" s="44">
        <f>+'Cons spec tot e finalizzati'!H198-'Cons spec tot e finalizzati'!I198</f>
        <v>0</v>
      </c>
      <c r="H195" s="44">
        <f>+'Cons spec tot e finalizzati'!J198-'Cons spec tot e finalizzati'!K198</f>
        <v>0</v>
      </c>
      <c r="I195" s="44">
        <f>+'Cons spec tot e finalizzati'!L198-'Cons spec tot e finalizzati'!M198</f>
        <v>0</v>
      </c>
      <c r="J195" s="44">
        <f>+'Cons spec tot e finalizzati'!N198-'Cons spec tot e finalizzati'!O198</f>
        <v>0</v>
      </c>
      <c r="K195" s="44">
        <f>+'Cons spec tot e finalizzati'!P198-'Cons spec tot e finalizzati'!Q198</f>
        <v>22</v>
      </c>
      <c r="L195" s="44">
        <f>+'Cons spec tot e finalizzati'!R198-'Cons spec tot e finalizzati'!S198</f>
        <v>0</v>
      </c>
      <c r="M195" s="6"/>
      <c r="N195" s="184"/>
      <c r="AB195" s="119"/>
      <c r="AC195" s="37"/>
    </row>
    <row r="196" spans="1:29" s="3" customFormat="1" ht="12.75">
      <c r="A196" s="28"/>
      <c r="B196" s="19"/>
      <c r="C196" s="19" t="s">
        <v>55</v>
      </c>
      <c r="D196" s="26"/>
      <c r="F196" s="44">
        <f>+'Cons spec tot e finalizzati'!F199-'Cons spec tot e finalizzati'!G199</f>
        <v>0</v>
      </c>
      <c r="G196" s="44">
        <f>+'Cons spec tot e finalizzati'!H199-'Cons spec tot e finalizzati'!I199</f>
        <v>0</v>
      </c>
      <c r="H196" s="44">
        <f>+'Cons spec tot e finalizzati'!J199-'Cons spec tot e finalizzati'!K199</f>
        <v>0</v>
      </c>
      <c r="I196" s="44">
        <f>+'Cons spec tot e finalizzati'!L199-'Cons spec tot e finalizzati'!M199</f>
        <v>0</v>
      </c>
      <c r="J196" s="44">
        <f>+'Cons spec tot e finalizzati'!N199-'Cons spec tot e finalizzati'!O199</f>
        <v>0</v>
      </c>
      <c r="K196" s="44">
        <f>+'Cons spec tot e finalizzati'!P199-'Cons spec tot e finalizzati'!Q199</f>
        <v>0</v>
      </c>
      <c r="L196" s="44">
        <f>+'Cons spec tot e finalizzati'!R199-'Cons spec tot e finalizzati'!S199</f>
        <v>0</v>
      </c>
      <c r="M196" s="6"/>
      <c r="N196" s="184"/>
      <c r="AB196" s="119"/>
      <c r="AC196" s="121"/>
    </row>
    <row r="197" spans="1:29" s="3" customFormat="1" ht="12.75">
      <c r="A197" s="28"/>
      <c r="B197" s="19"/>
      <c r="C197" s="19" t="s">
        <v>56</v>
      </c>
      <c r="D197" s="26"/>
      <c r="F197" s="44">
        <f>+'Cons spec tot e finalizzati'!F200-'Cons spec tot e finalizzati'!G200</f>
        <v>46</v>
      </c>
      <c r="G197" s="44">
        <f>+'Cons spec tot e finalizzati'!H200-'Cons spec tot e finalizzati'!I200</f>
        <v>11</v>
      </c>
      <c r="H197" s="44">
        <f>+'Cons spec tot e finalizzati'!J200-'Cons spec tot e finalizzati'!K200</f>
        <v>61</v>
      </c>
      <c r="I197" s="44">
        <f>+'Cons spec tot e finalizzati'!L200-'Cons spec tot e finalizzati'!M200</f>
        <v>51</v>
      </c>
      <c r="J197" s="44">
        <f>+'Cons spec tot e finalizzati'!N200-'Cons spec tot e finalizzati'!O200</f>
        <v>51</v>
      </c>
      <c r="K197" s="44">
        <f>+'Cons spec tot e finalizzati'!P200-'Cons spec tot e finalizzati'!Q200</f>
        <v>97</v>
      </c>
      <c r="L197" s="44">
        <f>+'Cons spec tot e finalizzati'!R200-'Cons spec tot e finalizzati'!S200</f>
        <v>66</v>
      </c>
      <c r="M197" s="6"/>
      <c r="N197" s="184"/>
      <c r="AB197" s="119"/>
      <c r="AC197" s="126"/>
    </row>
    <row r="198" spans="1:29" s="3" customFormat="1" ht="12.75">
      <c r="A198" s="28"/>
      <c r="B198" s="19"/>
      <c r="C198" s="19" t="s">
        <v>57</v>
      </c>
      <c r="D198" s="26"/>
      <c r="F198" s="44">
        <f>+'Cons spec tot e finalizzati'!F201-'Cons spec tot e finalizzati'!G201</f>
        <v>0</v>
      </c>
      <c r="G198" s="44">
        <f>+'Cons spec tot e finalizzati'!H201-'Cons spec tot e finalizzati'!I201</f>
        <v>0</v>
      </c>
      <c r="H198" s="44">
        <f>+'Cons spec tot e finalizzati'!J201-'Cons spec tot e finalizzati'!K201</f>
        <v>0</v>
      </c>
      <c r="I198" s="44">
        <f>+'Cons spec tot e finalizzati'!L201-'Cons spec tot e finalizzati'!M201</f>
        <v>0</v>
      </c>
      <c r="J198" s="44">
        <f>+'Cons spec tot e finalizzati'!N201-'Cons spec tot e finalizzati'!O201</f>
        <v>0</v>
      </c>
      <c r="K198" s="44">
        <f>+'Cons spec tot e finalizzati'!P201-'Cons spec tot e finalizzati'!Q201</f>
        <v>0</v>
      </c>
      <c r="L198" s="44">
        <f>+'Cons spec tot e finalizzati'!R201-'Cons spec tot e finalizzati'!S201</f>
        <v>0</v>
      </c>
      <c r="M198" s="6"/>
      <c r="N198" s="184"/>
      <c r="AB198" s="119"/>
      <c r="AC198" s="121"/>
    </row>
    <row r="199" spans="1:29" s="3" customFormat="1" ht="12.75">
      <c r="A199" s="28"/>
      <c r="B199" s="19"/>
      <c r="C199" s="19" t="s">
        <v>58</v>
      </c>
      <c r="D199" s="26"/>
      <c r="F199" s="44">
        <f>+'Cons spec tot e finalizzati'!F202-'Cons spec tot e finalizzati'!G202</f>
        <v>666</v>
      </c>
      <c r="G199" s="44">
        <f>+'Cons spec tot e finalizzati'!H202-'Cons spec tot e finalizzati'!I202</f>
        <v>731</v>
      </c>
      <c r="H199" s="44">
        <f>+'Cons spec tot e finalizzati'!J202-'Cons spec tot e finalizzati'!K202</f>
        <v>855</v>
      </c>
      <c r="I199" s="44">
        <f>+'Cons spec tot e finalizzati'!L202-'Cons spec tot e finalizzati'!M202</f>
        <v>798</v>
      </c>
      <c r="J199" s="44">
        <f>+'Cons spec tot e finalizzati'!N202-'Cons spec tot e finalizzati'!O202</f>
        <v>948</v>
      </c>
      <c r="K199" s="44">
        <f>+'Cons spec tot e finalizzati'!P202-'Cons spec tot e finalizzati'!Q202</f>
        <v>1085</v>
      </c>
      <c r="L199" s="44">
        <f>+'Cons spec tot e finalizzati'!R202-'Cons spec tot e finalizzati'!S202</f>
        <v>1153</v>
      </c>
      <c r="M199" s="6"/>
      <c r="N199" s="184"/>
      <c r="AB199" s="119"/>
      <c r="AC199" s="121"/>
    </row>
    <row r="200" spans="1:29" s="3" customFormat="1" ht="12.75">
      <c r="A200" s="28"/>
      <c r="B200" s="19"/>
      <c r="C200" s="19" t="s">
        <v>39</v>
      </c>
      <c r="D200" s="26"/>
      <c r="E200" s="112"/>
      <c r="F200" s="44">
        <f>+'Cons spec tot e finalizzati'!F203-'Cons spec tot e finalizzati'!G203</f>
        <v>8</v>
      </c>
      <c r="G200" s="44">
        <f>+'Cons spec tot e finalizzati'!H203-'Cons spec tot e finalizzati'!I203</f>
        <v>8</v>
      </c>
      <c r="H200" s="44">
        <f>+'Cons spec tot e finalizzati'!J203-'Cons spec tot e finalizzati'!K203</f>
        <v>101</v>
      </c>
      <c r="I200" s="44">
        <f>+'Cons spec tot e finalizzati'!L203-'Cons spec tot e finalizzati'!M203</f>
        <v>106</v>
      </c>
      <c r="J200" s="44">
        <f>+'Cons spec tot e finalizzati'!N203-'Cons spec tot e finalizzati'!O203</f>
        <v>121</v>
      </c>
      <c r="K200" s="44">
        <f>+'Cons spec tot e finalizzati'!P203-'Cons spec tot e finalizzati'!Q203</f>
        <v>444</v>
      </c>
      <c r="L200" s="44">
        <f>+'Cons spec tot e finalizzati'!R203-'Cons spec tot e finalizzati'!S203</f>
        <v>546</v>
      </c>
      <c r="M200" s="6"/>
      <c r="N200" s="184"/>
      <c r="AB200" s="119"/>
      <c r="AC200" s="121"/>
    </row>
    <row r="201" spans="1:29" s="3" customFormat="1" ht="12.75">
      <c r="A201" s="28"/>
      <c r="B201" s="19"/>
      <c r="C201" s="19" t="s">
        <v>72</v>
      </c>
      <c r="D201" s="26"/>
      <c r="F201" s="44">
        <f>+'Cons spec tot e finalizzati'!F204-'Cons spec tot e finalizzati'!G204</f>
        <v>31</v>
      </c>
      <c r="G201" s="44">
        <f>+'Cons spec tot e finalizzati'!H204-'Cons spec tot e finalizzati'!I204</f>
        <v>53</v>
      </c>
      <c r="H201" s="44">
        <f>+'Cons spec tot e finalizzati'!J204-'Cons spec tot e finalizzati'!K204</f>
        <v>46</v>
      </c>
      <c r="I201" s="44">
        <f>+'Cons spec tot e finalizzati'!L204-'Cons spec tot e finalizzati'!M204</f>
        <v>73</v>
      </c>
      <c r="J201" s="44">
        <f>+'Cons spec tot e finalizzati'!N204-'Cons spec tot e finalizzati'!O204</f>
        <v>90</v>
      </c>
      <c r="K201" s="44">
        <f>+'Cons spec tot e finalizzati'!P204-'Cons spec tot e finalizzati'!Q204</f>
        <v>67</v>
      </c>
      <c r="L201" s="44">
        <f>+'Cons spec tot e finalizzati'!R204-'Cons spec tot e finalizzati'!S204</f>
        <v>82</v>
      </c>
      <c r="M201" s="6"/>
      <c r="N201" s="184"/>
      <c r="AB201" s="119"/>
      <c r="AC201" s="121"/>
    </row>
    <row r="202" spans="1:29" s="3" customFormat="1" ht="12.75">
      <c r="A202" s="141"/>
      <c r="B202" s="34"/>
      <c r="C202" s="34" t="s">
        <v>59</v>
      </c>
      <c r="D202" s="142"/>
      <c r="F202" s="44">
        <f>+'Cons spec tot e finalizzati'!F205-'Cons spec tot e finalizzati'!G205</f>
        <v>0</v>
      </c>
      <c r="G202" s="44">
        <f>+'Cons spec tot e finalizzati'!H205-'Cons spec tot e finalizzati'!I205</f>
        <v>0</v>
      </c>
      <c r="H202" s="44">
        <f>+'Cons spec tot e finalizzati'!J205-'Cons spec tot e finalizzati'!K205</f>
        <v>0</v>
      </c>
      <c r="I202" s="44">
        <f>+'Cons spec tot e finalizzati'!L205-'Cons spec tot e finalizzati'!M205</f>
        <v>0</v>
      </c>
      <c r="J202" s="44">
        <f>+'Cons spec tot e finalizzati'!N205-'Cons spec tot e finalizzati'!O205</f>
        <v>0</v>
      </c>
      <c r="K202" s="44">
        <f>+'Cons spec tot e finalizzati'!P205-'Cons spec tot e finalizzati'!Q205</f>
        <v>0</v>
      </c>
      <c r="L202" s="44">
        <f>+'Cons spec tot e finalizzati'!R205-'Cons spec tot e finalizzati'!S205</f>
        <v>0</v>
      </c>
      <c r="M202" s="6"/>
      <c r="N202" s="184"/>
      <c r="AB202" s="119"/>
      <c r="AC202" s="121"/>
    </row>
    <row r="203" spans="1:29" s="3" customFormat="1" ht="12.75">
      <c r="A203" s="143"/>
      <c r="B203" s="144" t="s">
        <v>61</v>
      </c>
      <c r="C203" s="145"/>
      <c r="D203" s="146"/>
      <c r="F203" s="147">
        <f aca="true" t="shared" si="28" ref="F203:K203">SUM(F204:F213)</f>
        <v>2080</v>
      </c>
      <c r="G203" s="147">
        <f t="shared" si="28"/>
        <v>2417</v>
      </c>
      <c r="H203" s="147">
        <f t="shared" si="28"/>
        <v>2523</v>
      </c>
      <c r="I203" s="147">
        <f t="shared" si="28"/>
        <v>2656</v>
      </c>
      <c r="J203" s="147">
        <f t="shared" si="28"/>
        <v>2762</v>
      </c>
      <c r="K203" s="147">
        <f t="shared" si="28"/>
        <v>2844</v>
      </c>
      <c r="L203" s="147">
        <f>SUM(L204:L213)</f>
        <v>2847</v>
      </c>
      <c r="M203" s="6"/>
      <c r="N203" s="184"/>
      <c r="AB203" s="119"/>
      <c r="AC203" s="121"/>
    </row>
    <row r="204" spans="1:29" s="3" customFormat="1" ht="12.75">
      <c r="A204" s="28"/>
      <c r="B204" s="19"/>
      <c r="C204" s="19" t="s">
        <v>52</v>
      </c>
      <c r="D204" s="26"/>
      <c r="F204" s="44">
        <f>+'Cons spec tot e finalizzati'!F207-'Cons spec tot e finalizzati'!G207</f>
        <v>44</v>
      </c>
      <c r="G204" s="44">
        <f>+'Cons spec tot e finalizzati'!H207-'Cons spec tot e finalizzati'!I207</f>
        <v>107</v>
      </c>
      <c r="H204" s="44">
        <f>+'Cons spec tot e finalizzati'!J207-'Cons spec tot e finalizzati'!K207</f>
        <v>153</v>
      </c>
      <c r="I204" s="44">
        <f>+'Cons spec tot e finalizzati'!L207-'Cons spec tot e finalizzati'!M207</f>
        <v>244</v>
      </c>
      <c r="J204" s="44">
        <f>+'Cons spec tot e finalizzati'!N207-'Cons spec tot e finalizzati'!O207</f>
        <v>244</v>
      </c>
      <c r="K204" s="44">
        <f>+'Cons spec tot e finalizzati'!P207-'Cons spec tot e finalizzati'!Q207</f>
        <v>170</v>
      </c>
      <c r="L204" s="44">
        <f>+'Cons spec tot e finalizzati'!R207-'Cons spec tot e finalizzati'!S207</f>
        <v>179</v>
      </c>
      <c r="M204" s="6"/>
      <c r="N204" s="184"/>
      <c r="AB204" s="119"/>
      <c r="AC204" s="121"/>
    </row>
    <row r="205" spans="1:29" s="3" customFormat="1" ht="12.75">
      <c r="A205" s="28"/>
      <c r="B205" s="19"/>
      <c r="C205" s="19" t="s">
        <v>53</v>
      </c>
      <c r="D205" s="26"/>
      <c r="F205" s="44">
        <f>+'Cons spec tot e finalizzati'!F208-'Cons spec tot e finalizzati'!G208</f>
        <v>1762</v>
      </c>
      <c r="G205" s="44">
        <f>+'Cons spec tot e finalizzati'!H208-'Cons spec tot e finalizzati'!I208</f>
        <v>1928</v>
      </c>
      <c r="H205" s="44">
        <f>+'Cons spec tot e finalizzati'!J208-'Cons spec tot e finalizzati'!K208</f>
        <v>1927</v>
      </c>
      <c r="I205" s="44">
        <f>+'Cons spec tot e finalizzati'!L208-'Cons spec tot e finalizzati'!M208</f>
        <v>1954</v>
      </c>
      <c r="J205" s="44">
        <f>+'Cons spec tot e finalizzati'!N208-'Cons spec tot e finalizzati'!O208</f>
        <v>2005</v>
      </c>
      <c r="K205" s="44">
        <f>+'Cons spec tot e finalizzati'!P208-'Cons spec tot e finalizzati'!Q208</f>
        <v>2041</v>
      </c>
      <c r="L205" s="44">
        <f>+'Cons spec tot e finalizzati'!R208-'Cons spec tot e finalizzati'!S208</f>
        <v>1975</v>
      </c>
      <c r="M205" s="6"/>
      <c r="N205" s="184"/>
      <c r="AB205" s="119"/>
      <c r="AC205" s="121"/>
    </row>
    <row r="206" spans="1:29" s="3" customFormat="1" ht="12.75">
      <c r="A206" s="28"/>
      <c r="B206" s="19"/>
      <c r="C206" s="19" t="s">
        <v>54</v>
      </c>
      <c r="D206" s="26"/>
      <c r="F206" s="44">
        <f>+'Cons spec tot e finalizzati'!F209-'Cons spec tot e finalizzati'!G209</f>
        <v>0</v>
      </c>
      <c r="G206" s="44">
        <f>+'Cons spec tot e finalizzati'!H209-'Cons spec tot e finalizzati'!I209</f>
        <v>0</v>
      </c>
      <c r="H206" s="44">
        <f>+'Cons spec tot e finalizzati'!J209-'Cons spec tot e finalizzati'!K209</f>
        <v>0</v>
      </c>
      <c r="I206" s="44">
        <f>+'Cons spec tot e finalizzati'!L209-'Cons spec tot e finalizzati'!M209</f>
        <v>0</v>
      </c>
      <c r="J206" s="44">
        <f>+'Cons spec tot e finalizzati'!N209-'Cons spec tot e finalizzati'!O209</f>
        <v>0</v>
      </c>
      <c r="K206" s="44">
        <f>+'Cons spec tot e finalizzati'!P209-'Cons spec tot e finalizzati'!Q209</f>
        <v>26</v>
      </c>
      <c r="L206" s="44">
        <f>+'Cons spec tot e finalizzati'!R209-'Cons spec tot e finalizzati'!S209</f>
        <v>0</v>
      </c>
      <c r="M206" s="6"/>
      <c r="N206" s="184"/>
      <c r="AB206" s="119"/>
      <c r="AC206" s="120"/>
    </row>
    <row r="207" spans="1:29" s="3" customFormat="1" ht="12.75">
      <c r="A207" s="28"/>
      <c r="B207" s="19"/>
      <c r="C207" s="19" t="s">
        <v>55</v>
      </c>
      <c r="D207" s="26"/>
      <c r="F207" s="44">
        <f>+'Cons spec tot e finalizzati'!F210-'Cons spec tot e finalizzati'!G210</f>
        <v>0</v>
      </c>
      <c r="G207" s="44">
        <f>+'Cons spec tot e finalizzati'!H210-'Cons spec tot e finalizzati'!I210</f>
        <v>0</v>
      </c>
      <c r="H207" s="44">
        <f>+'Cons spec tot e finalizzati'!J210-'Cons spec tot e finalizzati'!K210</f>
        <v>0</v>
      </c>
      <c r="I207" s="44">
        <f>+'Cons spec tot e finalizzati'!L210-'Cons spec tot e finalizzati'!M210</f>
        <v>0</v>
      </c>
      <c r="J207" s="44">
        <f>+'Cons spec tot e finalizzati'!N210-'Cons spec tot e finalizzati'!O210</f>
        <v>0</v>
      </c>
      <c r="K207" s="44">
        <f>+'Cons spec tot e finalizzati'!P210-'Cons spec tot e finalizzati'!Q210</f>
        <v>0</v>
      </c>
      <c r="L207" s="44">
        <f>+'Cons spec tot e finalizzati'!R210-'Cons spec tot e finalizzati'!S210</f>
        <v>0</v>
      </c>
      <c r="M207" s="6"/>
      <c r="N207" s="184"/>
      <c r="AB207" s="119"/>
      <c r="AC207" s="121"/>
    </row>
    <row r="208" spans="1:29" s="3" customFormat="1" ht="12.75">
      <c r="A208" s="28"/>
      <c r="B208" s="19"/>
      <c r="C208" s="19" t="s">
        <v>56</v>
      </c>
      <c r="D208" s="26"/>
      <c r="F208" s="44">
        <f>+'Cons spec tot e finalizzati'!F211-'Cons spec tot e finalizzati'!G211</f>
        <v>44</v>
      </c>
      <c r="G208" s="44">
        <f>+'Cons spec tot e finalizzati'!H211-'Cons spec tot e finalizzati'!I211</f>
        <v>10</v>
      </c>
      <c r="H208" s="44">
        <f>+'Cons spec tot e finalizzati'!J211-'Cons spec tot e finalizzati'!K211</f>
        <v>52</v>
      </c>
      <c r="I208" s="44">
        <f>+'Cons spec tot e finalizzati'!L211-'Cons spec tot e finalizzati'!M211</f>
        <v>42</v>
      </c>
      <c r="J208" s="44">
        <f>+'Cons spec tot e finalizzati'!N211-'Cons spec tot e finalizzati'!O211</f>
        <v>51</v>
      </c>
      <c r="K208" s="44">
        <f>+'Cons spec tot e finalizzati'!P211-'Cons spec tot e finalizzati'!Q211</f>
        <v>50</v>
      </c>
      <c r="L208" s="44">
        <f>+'Cons spec tot e finalizzati'!R211-'Cons spec tot e finalizzati'!S211</f>
        <v>60</v>
      </c>
      <c r="M208" s="6"/>
      <c r="N208" s="184"/>
      <c r="AB208" s="119"/>
      <c r="AC208" s="127"/>
    </row>
    <row r="209" spans="1:29" s="3" customFormat="1" ht="12.75">
      <c r="A209" s="28"/>
      <c r="B209" s="19"/>
      <c r="C209" s="19" t="s">
        <v>57</v>
      </c>
      <c r="D209" s="26"/>
      <c r="F209" s="44">
        <f>+'Cons spec tot e finalizzati'!F212-'Cons spec tot e finalizzati'!G212</f>
        <v>0</v>
      </c>
      <c r="G209" s="44">
        <f>+'Cons spec tot e finalizzati'!H212-'Cons spec tot e finalizzati'!I212</f>
        <v>0</v>
      </c>
      <c r="H209" s="44">
        <f>+'Cons spec tot e finalizzati'!J212-'Cons spec tot e finalizzati'!K212</f>
        <v>0</v>
      </c>
      <c r="I209" s="44">
        <f>+'Cons spec tot e finalizzati'!L212-'Cons spec tot e finalizzati'!M212</f>
        <v>0</v>
      </c>
      <c r="J209" s="44">
        <f>+'Cons spec tot e finalizzati'!N212-'Cons spec tot e finalizzati'!O212</f>
        <v>0</v>
      </c>
      <c r="K209" s="44">
        <f>+'Cons spec tot e finalizzati'!P212-'Cons spec tot e finalizzati'!Q212</f>
        <v>0</v>
      </c>
      <c r="L209" s="44">
        <f>+'Cons spec tot e finalizzati'!R212-'Cons spec tot e finalizzati'!S212</f>
        <v>0</v>
      </c>
      <c r="M209" s="6"/>
      <c r="N209" s="184"/>
      <c r="AB209" s="119"/>
      <c r="AC209" s="121"/>
    </row>
    <row r="210" spans="1:29" s="3" customFormat="1" ht="12.75">
      <c r="A210" s="28"/>
      <c r="B210" s="19"/>
      <c r="C210" s="19" t="s">
        <v>58</v>
      </c>
      <c r="D210" s="26"/>
      <c r="F210" s="44">
        <f>+'Cons spec tot e finalizzati'!F213-'Cons spec tot e finalizzati'!G213</f>
        <v>191</v>
      </c>
      <c r="G210" s="44">
        <f>+'Cons spec tot e finalizzati'!H213-'Cons spec tot e finalizzati'!I213</f>
        <v>250</v>
      </c>
      <c r="H210" s="44">
        <f>+'Cons spec tot e finalizzati'!J213-'Cons spec tot e finalizzati'!K213</f>
        <v>269</v>
      </c>
      <c r="I210" s="44">
        <f>+'Cons spec tot e finalizzati'!L213-'Cons spec tot e finalizzati'!M213</f>
        <v>270</v>
      </c>
      <c r="J210" s="44">
        <f>+'Cons spec tot e finalizzati'!N213-'Cons spec tot e finalizzati'!O213</f>
        <v>338</v>
      </c>
      <c r="K210" s="44">
        <f>+'Cons spec tot e finalizzati'!P213-'Cons spec tot e finalizzati'!Q213</f>
        <v>387</v>
      </c>
      <c r="L210" s="44">
        <f>+'Cons spec tot e finalizzati'!R213-'Cons spec tot e finalizzati'!S213</f>
        <v>443</v>
      </c>
      <c r="M210" s="6"/>
      <c r="N210" s="184"/>
      <c r="AB210" s="119"/>
      <c r="AC210" s="121"/>
    </row>
    <row r="211" spans="1:29" s="3" customFormat="1" ht="12.75">
      <c r="A211" s="28"/>
      <c r="B211" s="19"/>
      <c r="C211" s="19" t="s">
        <v>39</v>
      </c>
      <c r="D211" s="26"/>
      <c r="E211" s="112"/>
      <c r="F211" s="44">
        <f>+'Cons spec tot e finalizzati'!F214-'Cons spec tot e finalizzati'!G214</f>
        <v>2</v>
      </c>
      <c r="G211" s="44">
        <f>+'Cons spec tot e finalizzati'!H214-'Cons spec tot e finalizzati'!I214</f>
        <v>89</v>
      </c>
      <c r="H211" s="44">
        <f>+'Cons spec tot e finalizzati'!J214-'Cons spec tot e finalizzati'!K214</f>
        <v>99</v>
      </c>
      <c r="I211" s="44">
        <f>+'Cons spec tot e finalizzati'!L214-'Cons spec tot e finalizzati'!M214</f>
        <v>90</v>
      </c>
      <c r="J211" s="44">
        <f>+'Cons spec tot e finalizzati'!N214-'Cons spec tot e finalizzati'!O214</f>
        <v>62</v>
      </c>
      <c r="K211" s="44">
        <f>+'Cons spec tot e finalizzati'!P214-'Cons spec tot e finalizzati'!Q214</f>
        <v>94</v>
      </c>
      <c r="L211" s="44">
        <f>+'Cons spec tot e finalizzati'!R214-'Cons spec tot e finalizzati'!S214</f>
        <v>82</v>
      </c>
      <c r="M211" s="6"/>
      <c r="N211" s="184"/>
      <c r="AB211" s="119"/>
      <c r="AC211" s="121"/>
    </row>
    <row r="212" spans="1:29" s="3" customFormat="1" ht="12.75">
      <c r="A212" s="28"/>
      <c r="B212" s="19"/>
      <c r="C212" s="19" t="s">
        <v>72</v>
      </c>
      <c r="D212" s="26"/>
      <c r="F212" s="44">
        <f>+'Cons spec tot e finalizzati'!F215-'Cons spec tot e finalizzati'!G215</f>
        <v>37</v>
      </c>
      <c r="G212" s="44">
        <f>+'Cons spec tot e finalizzati'!H215-'Cons spec tot e finalizzati'!I215</f>
        <v>33</v>
      </c>
      <c r="H212" s="44">
        <f>+'Cons spec tot e finalizzati'!J215-'Cons spec tot e finalizzati'!K215</f>
        <v>23</v>
      </c>
      <c r="I212" s="44">
        <f>+'Cons spec tot e finalizzati'!L215-'Cons spec tot e finalizzati'!M215</f>
        <v>56</v>
      </c>
      <c r="J212" s="44">
        <f>+'Cons spec tot e finalizzati'!N215-'Cons spec tot e finalizzati'!O215</f>
        <v>62</v>
      </c>
      <c r="K212" s="44">
        <f>+'Cons spec tot e finalizzati'!P215-'Cons spec tot e finalizzati'!Q215</f>
        <v>76</v>
      </c>
      <c r="L212" s="44">
        <f>+'Cons spec tot e finalizzati'!R215-'Cons spec tot e finalizzati'!S215</f>
        <v>108</v>
      </c>
      <c r="M212" s="6"/>
      <c r="N212" s="184"/>
      <c r="AB212" s="119"/>
      <c r="AC212" s="121"/>
    </row>
    <row r="213" spans="1:29" s="3" customFormat="1" ht="12.75">
      <c r="A213" s="141"/>
      <c r="B213" s="34"/>
      <c r="C213" s="34" t="s">
        <v>59</v>
      </c>
      <c r="D213" s="142"/>
      <c r="F213" s="44">
        <f>+'Cons spec tot e finalizzati'!F216-'Cons spec tot e finalizzati'!G216</f>
        <v>0</v>
      </c>
      <c r="G213" s="44">
        <f>+'Cons spec tot e finalizzati'!H216-'Cons spec tot e finalizzati'!I216</f>
        <v>0</v>
      </c>
      <c r="H213" s="44">
        <f>+'Cons spec tot e finalizzati'!J216-'Cons spec tot e finalizzati'!K216</f>
        <v>0</v>
      </c>
      <c r="I213" s="44">
        <f>+'Cons spec tot e finalizzati'!L216-'Cons spec tot e finalizzati'!M216</f>
        <v>0</v>
      </c>
      <c r="J213" s="44">
        <f>+'Cons spec tot e finalizzati'!N216-'Cons spec tot e finalizzati'!O216</f>
        <v>0</v>
      </c>
      <c r="K213" s="44">
        <f>+'Cons spec tot e finalizzati'!P216-'Cons spec tot e finalizzati'!Q216</f>
        <v>0</v>
      </c>
      <c r="L213" s="44">
        <f>+'Cons spec tot e finalizzati'!R216-'Cons spec tot e finalizzati'!S216</f>
        <v>0</v>
      </c>
      <c r="M213" s="6"/>
      <c r="N213" s="184"/>
      <c r="AB213" s="119"/>
      <c r="AC213" s="121"/>
    </row>
    <row r="214" spans="1:29" s="3" customFormat="1" ht="12.75">
      <c r="A214" s="143"/>
      <c r="B214" s="144" t="s">
        <v>62</v>
      </c>
      <c r="C214" s="145"/>
      <c r="D214" s="146"/>
      <c r="F214" s="147">
        <f aca="true" t="shared" si="29" ref="F214:K214">SUM(F215:F224)</f>
        <v>1334</v>
      </c>
      <c r="G214" s="147">
        <f t="shared" si="29"/>
        <v>1937</v>
      </c>
      <c r="H214" s="147">
        <f t="shared" si="29"/>
        <v>2061</v>
      </c>
      <c r="I214" s="147">
        <f t="shared" si="29"/>
        <v>2175</v>
      </c>
      <c r="J214" s="147">
        <f t="shared" si="29"/>
        <v>2365</v>
      </c>
      <c r="K214" s="147">
        <f t="shared" si="29"/>
        <v>2542</v>
      </c>
      <c r="L214" s="147">
        <f>SUM(L215:L224)</f>
        <v>2821</v>
      </c>
      <c r="M214" s="6"/>
      <c r="N214" s="184"/>
      <c r="AB214" s="119"/>
      <c r="AC214" s="121"/>
    </row>
    <row r="215" spans="1:29" s="3" customFormat="1" ht="12.75">
      <c r="A215" s="28"/>
      <c r="B215" s="19"/>
      <c r="C215" s="19" t="s">
        <v>52</v>
      </c>
      <c r="D215" s="26"/>
      <c r="F215" s="44">
        <f>+'Cons spec tot e finalizzati'!F218-'Cons spec tot e finalizzati'!G218</f>
        <v>56</v>
      </c>
      <c r="G215" s="44">
        <f>+'Cons spec tot e finalizzati'!H218-'Cons spec tot e finalizzati'!I218</f>
        <v>123</v>
      </c>
      <c r="H215" s="44">
        <f>+'Cons spec tot e finalizzati'!J218-'Cons spec tot e finalizzati'!K218</f>
        <v>80</v>
      </c>
      <c r="I215" s="44">
        <f>+'Cons spec tot e finalizzati'!L218-'Cons spec tot e finalizzati'!M218</f>
        <v>104</v>
      </c>
      <c r="J215" s="44">
        <f>+'Cons spec tot e finalizzati'!N218-'Cons spec tot e finalizzati'!O218</f>
        <v>102</v>
      </c>
      <c r="K215" s="44">
        <f>+'Cons spec tot e finalizzati'!P218-'Cons spec tot e finalizzati'!Q218</f>
        <v>159</v>
      </c>
      <c r="L215" s="44">
        <f>+'Cons spec tot e finalizzati'!R218-'Cons spec tot e finalizzati'!S218</f>
        <v>114</v>
      </c>
      <c r="M215" s="6"/>
      <c r="N215" s="184"/>
      <c r="AB215" s="119"/>
      <c r="AC215" s="121"/>
    </row>
    <row r="216" spans="1:29" s="3" customFormat="1" ht="12.75">
      <c r="A216" s="28"/>
      <c r="B216" s="19"/>
      <c r="C216" s="19" t="s">
        <v>53</v>
      </c>
      <c r="D216" s="26"/>
      <c r="F216" s="44">
        <f>+'Cons spec tot e finalizzati'!F219-'Cons spec tot e finalizzati'!G219</f>
        <v>983</v>
      </c>
      <c r="G216" s="44">
        <f>+'Cons spec tot e finalizzati'!H219-'Cons spec tot e finalizzati'!I219</f>
        <v>1195</v>
      </c>
      <c r="H216" s="44">
        <f>+'Cons spec tot e finalizzati'!J219-'Cons spec tot e finalizzati'!K219</f>
        <v>1307</v>
      </c>
      <c r="I216" s="44">
        <f>+'Cons spec tot e finalizzati'!L219-'Cons spec tot e finalizzati'!M219</f>
        <v>1402</v>
      </c>
      <c r="J216" s="44">
        <f>+'Cons spec tot e finalizzati'!N219-'Cons spec tot e finalizzati'!O219</f>
        <v>1526</v>
      </c>
      <c r="K216" s="44">
        <f>+'Cons spec tot e finalizzati'!P219-'Cons spec tot e finalizzati'!Q219</f>
        <v>1516</v>
      </c>
      <c r="L216" s="44">
        <f>+'Cons spec tot e finalizzati'!R219-'Cons spec tot e finalizzati'!S219</f>
        <v>1708</v>
      </c>
      <c r="M216" s="6"/>
      <c r="N216" s="184"/>
      <c r="AB216" s="124"/>
      <c r="AC216" s="125"/>
    </row>
    <row r="217" spans="1:29" s="3" customFormat="1" ht="12.75">
      <c r="A217" s="28"/>
      <c r="B217" s="19"/>
      <c r="C217" s="19" t="s">
        <v>54</v>
      </c>
      <c r="D217" s="26"/>
      <c r="F217" s="44">
        <f>+'Cons spec tot e finalizzati'!F220-'Cons spec tot e finalizzati'!G220</f>
        <v>0</v>
      </c>
      <c r="G217" s="44">
        <f>+'Cons spec tot e finalizzati'!H220-'Cons spec tot e finalizzati'!I220</f>
        <v>0</v>
      </c>
      <c r="H217" s="44">
        <f>+'Cons spec tot e finalizzati'!J220-'Cons spec tot e finalizzati'!K220</f>
        <v>0</v>
      </c>
      <c r="I217" s="44">
        <f>+'Cons spec tot e finalizzati'!L220-'Cons spec tot e finalizzati'!M220</f>
        <v>0</v>
      </c>
      <c r="J217" s="44">
        <f>+'Cons spec tot e finalizzati'!N220-'Cons spec tot e finalizzati'!O220</f>
        <v>0</v>
      </c>
      <c r="K217" s="44">
        <f>+'Cons spec tot e finalizzati'!P220-'Cons spec tot e finalizzati'!Q220</f>
        <v>26</v>
      </c>
      <c r="L217" s="44">
        <f>+'Cons spec tot e finalizzati'!R220-'Cons spec tot e finalizzati'!S220</f>
        <v>0</v>
      </c>
      <c r="M217" s="6"/>
      <c r="N217" s="184"/>
      <c r="AB217" s="119"/>
      <c r="AC217" s="120"/>
    </row>
    <row r="218" spans="1:29" s="3" customFormat="1" ht="14.25" customHeight="1">
      <c r="A218" s="28"/>
      <c r="B218" s="19"/>
      <c r="C218" s="19" t="s">
        <v>55</v>
      </c>
      <c r="D218" s="26"/>
      <c r="F218" s="44">
        <f>+'Cons spec tot e finalizzati'!F221-'Cons spec tot e finalizzati'!G221</f>
        <v>0</v>
      </c>
      <c r="G218" s="44">
        <f>+'Cons spec tot e finalizzati'!H221-'Cons spec tot e finalizzati'!I221</f>
        <v>0</v>
      </c>
      <c r="H218" s="44">
        <f>+'Cons spec tot e finalizzati'!J221-'Cons spec tot e finalizzati'!K221</f>
        <v>0</v>
      </c>
      <c r="I218" s="44">
        <f>+'Cons spec tot e finalizzati'!L221-'Cons spec tot e finalizzati'!M221</f>
        <v>0</v>
      </c>
      <c r="J218" s="44">
        <f>+'Cons spec tot e finalizzati'!N221-'Cons spec tot e finalizzati'!O221</f>
        <v>0</v>
      </c>
      <c r="K218" s="44">
        <f>+'Cons spec tot e finalizzati'!P221-'Cons spec tot e finalizzati'!Q221</f>
        <v>0</v>
      </c>
      <c r="L218" s="44">
        <f>+'Cons spec tot e finalizzati'!R221-'Cons spec tot e finalizzati'!S221</f>
        <v>0</v>
      </c>
      <c r="M218" s="6"/>
      <c r="N218" s="184"/>
      <c r="AB218" s="119"/>
      <c r="AC218" s="121"/>
    </row>
    <row r="219" spans="1:29" s="3" customFormat="1" ht="12.75">
      <c r="A219" s="28"/>
      <c r="B219" s="19"/>
      <c r="C219" s="19" t="s">
        <v>56</v>
      </c>
      <c r="D219" s="26"/>
      <c r="F219" s="44">
        <f>+'Cons spec tot e finalizzati'!F222-'Cons spec tot e finalizzati'!G222</f>
        <v>19</v>
      </c>
      <c r="G219" s="44">
        <f>+'Cons spec tot e finalizzati'!H222-'Cons spec tot e finalizzati'!I222</f>
        <v>6</v>
      </c>
      <c r="H219" s="44">
        <f>+'Cons spec tot e finalizzati'!J222-'Cons spec tot e finalizzati'!K222</f>
        <v>35</v>
      </c>
      <c r="I219" s="44">
        <f>+'Cons spec tot e finalizzati'!L222-'Cons spec tot e finalizzati'!M222</f>
        <v>29</v>
      </c>
      <c r="J219" s="44">
        <f>+'Cons spec tot e finalizzati'!N222-'Cons spec tot e finalizzati'!O222</f>
        <v>29</v>
      </c>
      <c r="K219" s="44">
        <f>+'Cons spec tot e finalizzati'!P222-'Cons spec tot e finalizzati'!Q222</f>
        <v>29</v>
      </c>
      <c r="L219" s="44">
        <f>+'Cons spec tot e finalizzati'!R222-'Cons spec tot e finalizzati'!S222</f>
        <v>35</v>
      </c>
      <c r="M219" s="6"/>
      <c r="N219" s="184"/>
      <c r="AB219" s="119"/>
      <c r="AC219" s="121"/>
    </row>
    <row r="220" spans="1:29" s="3" customFormat="1" ht="12.75">
      <c r="A220" s="28"/>
      <c r="B220" s="19"/>
      <c r="C220" s="19" t="s">
        <v>57</v>
      </c>
      <c r="D220" s="26"/>
      <c r="F220" s="44">
        <f>+'Cons spec tot e finalizzati'!F223-'Cons spec tot e finalizzati'!G223</f>
        <v>0</v>
      </c>
      <c r="G220" s="44">
        <f>+'Cons spec tot e finalizzati'!H223-'Cons spec tot e finalizzati'!I223</f>
        <v>0</v>
      </c>
      <c r="H220" s="44">
        <f>+'Cons spec tot e finalizzati'!J223-'Cons spec tot e finalizzati'!K223</f>
        <v>0</v>
      </c>
      <c r="I220" s="44">
        <f>+'Cons spec tot e finalizzati'!L223-'Cons spec tot e finalizzati'!M223</f>
        <v>0</v>
      </c>
      <c r="J220" s="44">
        <f>+'Cons spec tot e finalizzati'!N223-'Cons spec tot e finalizzati'!O223</f>
        <v>0</v>
      </c>
      <c r="K220" s="44">
        <f>+'Cons spec tot e finalizzati'!P223-'Cons spec tot e finalizzati'!Q223</f>
        <v>0</v>
      </c>
      <c r="L220" s="44">
        <f>+'Cons spec tot e finalizzati'!R223-'Cons spec tot e finalizzati'!S223</f>
        <v>0</v>
      </c>
      <c r="M220" s="6"/>
      <c r="N220" s="184"/>
      <c r="AB220" s="119"/>
      <c r="AC220" s="121"/>
    </row>
    <row r="221" spans="1:29" s="3" customFormat="1" ht="12.75">
      <c r="A221" s="28"/>
      <c r="B221" s="19"/>
      <c r="C221" s="19" t="s">
        <v>58</v>
      </c>
      <c r="D221" s="26"/>
      <c r="F221" s="44">
        <f>+'Cons spec tot e finalizzati'!F224-'Cons spec tot e finalizzati'!G224</f>
        <v>244</v>
      </c>
      <c r="G221" s="44">
        <f>+'Cons spec tot e finalizzati'!H224-'Cons spec tot e finalizzati'!I224</f>
        <v>348</v>
      </c>
      <c r="H221" s="44">
        <f>+'Cons spec tot e finalizzati'!J224-'Cons spec tot e finalizzati'!K224</f>
        <v>325</v>
      </c>
      <c r="I221" s="44">
        <f>+'Cons spec tot e finalizzati'!L224-'Cons spec tot e finalizzati'!M224</f>
        <v>329</v>
      </c>
      <c r="J221" s="44">
        <f>+'Cons spec tot e finalizzati'!N224-'Cons spec tot e finalizzati'!O224</f>
        <v>393</v>
      </c>
      <c r="K221" s="44">
        <f>+'Cons spec tot e finalizzati'!P224-'Cons spec tot e finalizzati'!Q224</f>
        <v>441</v>
      </c>
      <c r="L221" s="44">
        <f>+'Cons spec tot e finalizzati'!R224-'Cons spec tot e finalizzati'!S224</f>
        <v>441</v>
      </c>
      <c r="M221" s="6"/>
      <c r="N221" s="184"/>
      <c r="AB221" s="119"/>
      <c r="AC221" s="121"/>
    </row>
    <row r="222" spans="1:29" s="3" customFormat="1" ht="12.75">
      <c r="A222" s="28"/>
      <c r="B222" s="19"/>
      <c r="C222" s="19" t="s">
        <v>39</v>
      </c>
      <c r="D222" s="26"/>
      <c r="E222" s="112"/>
      <c r="F222" s="44">
        <f>+'Cons spec tot e finalizzati'!F225-'Cons spec tot e finalizzati'!G225</f>
        <v>1</v>
      </c>
      <c r="G222" s="44">
        <f>+'Cons spec tot e finalizzati'!H225-'Cons spec tot e finalizzati'!I225</f>
        <v>227</v>
      </c>
      <c r="H222" s="44">
        <f>+'Cons spec tot e finalizzati'!J225-'Cons spec tot e finalizzati'!K225</f>
        <v>289</v>
      </c>
      <c r="I222" s="44">
        <f>+'Cons spec tot e finalizzati'!L225-'Cons spec tot e finalizzati'!M225</f>
        <v>272</v>
      </c>
      <c r="J222" s="44">
        <f>+'Cons spec tot e finalizzati'!N225-'Cons spec tot e finalizzati'!O225</f>
        <v>257</v>
      </c>
      <c r="K222" s="44">
        <f>+'Cons spec tot e finalizzati'!P225-'Cons spec tot e finalizzati'!Q225</f>
        <v>328</v>
      </c>
      <c r="L222" s="44">
        <f>+'Cons spec tot e finalizzati'!R225-'Cons spec tot e finalizzati'!S225</f>
        <v>417</v>
      </c>
      <c r="M222" s="6"/>
      <c r="N222" s="184"/>
      <c r="AB222" s="119"/>
      <c r="AC222" s="121"/>
    </row>
    <row r="223" spans="1:29" s="3" customFormat="1" ht="12.75">
      <c r="A223" s="28"/>
      <c r="B223" s="19"/>
      <c r="C223" s="19" t="s">
        <v>72</v>
      </c>
      <c r="D223" s="26"/>
      <c r="F223" s="44">
        <f>+'Cons spec tot e finalizzati'!F226-'Cons spec tot e finalizzati'!G226</f>
        <v>31</v>
      </c>
      <c r="G223" s="44">
        <f>+'Cons spec tot e finalizzati'!H226-'Cons spec tot e finalizzati'!I226</f>
        <v>38</v>
      </c>
      <c r="H223" s="44">
        <f>+'Cons spec tot e finalizzati'!J226-'Cons spec tot e finalizzati'!K226</f>
        <v>25</v>
      </c>
      <c r="I223" s="44">
        <f>+'Cons spec tot e finalizzati'!L226-'Cons spec tot e finalizzati'!M226</f>
        <v>39</v>
      </c>
      <c r="J223" s="44">
        <f>+'Cons spec tot e finalizzati'!N226-'Cons spec tot e finalizzati'!O226</f>
        <v>58</v>
      </c>
      <c r="K223" s="44">
        <f>+'Cons spec tot e finalizzati'!P226-'Cons spec tot e finalizzati'!Q226</f>
        <v>43</v>
      </c>
      <c r="L223" s="44">
        <f>+'Cons spec tot e finalizzati'!R226-'Cons spec tot e finalizzati'!S226</f>
        <v>106</v>
      </c>
      <c r="M223" s="6"/>
      <c r="N223" s="184"/>
      <c r="AB223" s="119"/>
      <c r="AC223" s="121"/>
    </row>
    <row r="224" spans="1:29" s="3" customFormat="1" ht="12.75">
      <c r="A224" s="141"/>
      <c r="B224" s="34"/>
      <c r="C224" s="34" t="s">
        <v>59</v>
      </c>
      <c r="D224" s="142"/>
      <c r="F224" s="44">
        <f>+'Cons spec tot e finalizzati'!F227-'Cons spec tot e finalizzati'!G227</f>
        <v>0</v>
      </c>
      <c r="G224" s="44">
        <f>+'Cons spec tot e finalizzati'!H227-'Cons spec tot e finalizzati'!I227</f>
        <v>0</v>
      </c>
      <c r="H224" s="44">
        <f>+'Cons spec tot e finalizzati'!J227-'Cons spec tot e finalizzati'!K227</f>
        <v>0</v>
      </c>
      <c r="I224" s="44">
        <f>+'Cons spec tot e finalizzati'!L227-'Cons spec tot e finalizzati'!M227</f>
        <v>0</v>
      </c>
      <c r="J224" s="44">
        <f>+'Cons spec tot e finalizzati'!N227-'Cons spec tot e finalizzati'!O227</f>
        <v>0</v>
      </c>
      <c r="K224" s="44">
        <f>+'Cons spec tot e finalizzati'!P227-'Cons spec tot e finalizzati'!Q227</f>
        <v>0</v>
      </c>
      <c r="L224" s="44">
        <f>+'Cons spec tot e finalizzati'!R227-'Cons spec tot e finalizzati'!S227</f>
        <v>0</v>
      </c>
      <c r="M224" s="6"/>
      <c r="N224" s="184"/>
      <c r="AB224" s="119"/>
      <c r="AC224" s="121"/>
    </row>
    <row r="225" spans="1:29" s="3" customFormat="1" ht="12.75">
      <c r="A225" s="143"/>
      <c r="B225" s="144" t="s">
        <v>63</v>
      </c>
      <c r="C225" s="145"/>
      <c r="D225" s="146"/>
      <c r="F225" s="147">
        <f aca="true" t="shared" si="30" ref="F225:K225">SUM(F226:F235)</f>
        <v>1722</v>
      </c>
      <c r="G225" s="147">
        <f t="shared" si="30"/>
        <v>1924</v>
      </c>
      <c r="H225" s="147">
        <f t="shared" si="30"/>
        <v>2143</v>
      </c>
      <c r="I225" s="147">
        <f t="shared" si="30"/>
        <v>2288</v>
      </c>
      <c r="J225" s="147">
        <f t="shared" si="30"/>
        <v>2609</v>
      </c>
      <c r="K225" s="147">
        <f t="shared" si="30"/>
        <v>2694</v>
      </c>
      <c r="L225" s="147">
        <f>SUM(L226:L235)</f>
        <v>2994</v>
      </c>
      <c r="M225" s="6"/>
      <c r="N225" s="184"/>
      <c r="AB225" s="119"/>
      <c r="AC225" s="121"/>
    </row>
    <row r="226" spans="1:29" s="3" customFormat="1" ht="12.75">
      <c r="A226" s="28"/>
      <c r="B226" s="19"/>
      <c r="C226" s="19" t="s">
        <v>52</v>
      </c>
      <c r="D226" s="26"/>
      <c r="F226" s="44">
        <f>+'Cons spec tot e finalizzati'!F229-'Cons spec tot e finalizzati'!G229</f>
        <v>52</v>
      </c>
      <c r="G226" s="44">
        <f>+'Cons spec tot e finalizzati'!H229-'Cons spec tot e finalizzati'!I229</f>
        <v>99</v>
      </c>
      <c r="H226" s="44">
        <f>+'Cons spec tot e finalizzati'!J229-'Cons spec tot e finalizzati'!K229</f>
        <v>94</v>
      </c>
      <c r="I226" s="44">
        <f>+'Cons spec tot e finalizzati'!L229-'Cons spec tot e finalizzati'!M229</f>
        <v>149</v>
      </c>
      <c r="J226" s="44">
        <f>+'Cons spec tot e finalizzati'!N229-'Cons spec tot e finalizzati'!O229</f>
        <v>145</v>
      </c>
      <c r="K226" s="44">
        <f>+'Cons spec tot e finalizzati'!P229-'Cons spec tot e finalizzati'!Q229</f>
        <v>89</v>
      </c>
      <c r="L226" s="44">
        <f>+'Cons spec tot e finalizzati'!R229-'Cons spec tot e finalizzati'!S229</f>
        <v>71</v>
      </c>
      <c r="M226" s="6"/>
      <c r="N226" s="184"/>
      <c r="AB226" s="119"/>
      <c r="AC226" s="121"/>
    </row>
    <row r="227" spans="1:29" s="3" customFormat="1" ht="12.75">
      <c r="A227" s="28"/>
      <c r="B227" s="19"/>
      <c r="C227" s="19" t="s">
        <v>53</v>
      </c>
      <c r="D227" s="26"/>
      <c r="F227" s="44">
        <f>+'Cons spec tot e finalizzati'!F230-'Cons spec tot e finalizzati'!G230</f>
        <v>1306</v>
      </c>
      <c r="G227" s="44">
        <f>+'Cons spec tot e finalizzati'!H230-'Cons spec tot e finalizzati'!I230</f>
        <v>1408</v>
      </c>
      <c r="H227" s="44">
        <f>+'Cons spec tot e finalizzati'!J230-'Cons spec tot e finalizzati'!K230</f>
        <v>1565</v>
      </c>
      <c r="I227" s="44">
        <f>+'Cons spec tot e finalizzati'!L230-'Cons spec tot e finalizzati'!M230</f>
        <v>1628</v>
      </c>
      <c r="J227" s="44">
        <f>+'Cons spec tot e finalizzati'!N230-'Cons spec tot e finalizzati'!O230</f>
        <v>1858</v>
      </c>
      <c r="K227" s="44">
        <f>+'Cons spec tot e finalizzati'!P230-'Cons spec tot e finalizzati'!Q230</f>
        <v>1753</v>
      </c>
      <c r="L227" s="44">
        <f>+'Cons spec tot e finalizzati'!R230-'Cons spec tot e finalizzati'!S230</f>
        <v>2071</v>
      </c>
      <c r="M227" s="6"/>
      <c r="N227" s="184"/>
      <c r="AB227" s="119"/>
      <c r="AC227" s="121"/>
    </row>
    <row r="228" spans="1:29" s="3" customFormat="1" ht="12.75">
      <c r="A228" s="28"/>
      <c r="B228" s="19"/>
      <c r="C228" s="19" t="s">
        <v>54</v>
      </c>
      <c r="D228" s="26"/>
      <c r="F228" s="44">
        <f>+'Cons spec tot e finalizzati'!F231-'Cons spec tot e finalizzati'!G231</f>
        <v>0</v>
      </c>
      <c r="G228" s="44">
        <f>+'Cons spec tot e finalizzati'!H231-'Cons spec tot e finalizzati'!I231</f>
        <v>0</v>
      </c>
      <c r="H228" s="44">
        <f>+'Cons spec tot e finalizzati'!J231-'Cons spec tot e finalizzati'!K231</f>
        <v>0</v>
      </c>
      <c r="I228" s="44">
        <f>+'Cons spec tot e finalizzati'!L231-'Cons spec tot e finalizzati'!M231</f>
        <v>0</v>
      </c>
      <c r="J228" s="44">
        <f>+'Cons spec tot e finalizzati'!N231-'Cons spec tot e finalizzati'!O231</f>
        <v>0</v>
      </c>
      <c r="K228" s="44">
        <f>+'Cons spec tot e finalizzati'!P231-'Cons spec tot e finalizzati'!Q231</f>
        <v>12</v>
      </c>
      <c r="L228" s="44">
        <f>+'Cons spec tot e finalizzati'!R231-'Cons spec tot e finalizzati'!S231</f>
        <v>0</v>
      </c>
      <c r="M228" s="6"/>
      <c r="N228" s="184"/>
      <c r="AB228" s="119"/>
      <c r="AC228" s="120"/>
    </row>
    <row r="229" spans="1:29" s="3" customFormat="1" ht="12.75">
      <c r="A229" s="28"/>
      <c r="B229" s="19"/>
      <c r="C229" s="19" t="s">
        <v>55</v>
      </c>
      <c r="D229" s="26"/>
      <c r="F229" s="44">
        <f>+'Cons spec tot e finalizzati'!F232-'Cons spec tot e finalizzati'!G232</f>
        <v>0</v>
      </c>
      <c r="G229" s="44">
        <f>+'Cons spec tot e finalizzati'!H232-'Cons spec tot e finalizzati'!I232</f>
        <v>0</v>
      </c>
      <c r="H229" s="44">
        <f>+'Cons spec tot e finalizzati'!J232-'Cons spec tot e finalizzati'!K232</f>
        <v>0</v>
      </c>
      <c r="I229" s="44">
        <f>+'Cons spec tot e finalizzati'!L232-'Cons spec tot e finalizzati'!M232</f>
        <v>0</v>
      </c>
      <c r="J229" s="44">
        <f>+'Cons spec tot e finalizzati'!N232-'Cons spec tot e finalizzati'!O232</f>
        <v>0</v>
      </c>
      <c r="K229" s="44">
        <f>+'Cons spec tot e finalizzati'!P232-'Cons spec tot e finalizzati'!Q232</f>
        <v>0</v>
      </c>
      <c r="L229" s="44">
        <f>+'Cons spec tot e finalizzati'!R232-'Cons spec tot e finalizzati'!S232</f>
        <v>0</v>
      </c>
      <c r="M229" s="6"/>
      <c r="N229" s="184"/>
      <c r="AB229" s="119"/>
      <c r="AC229" s="121"/>
    </row>
    <row r="230" spans="1:29" s="3" customFormat="1" ht="12.75">
      <c r="A230" s="28"/>
      <c r="B230" s="19"/>
      <c r="C230" s="19" t="s">
        <v>56</v>
      </c>
      <c r="D230" s="26"/>
      <c r="F230" s="44">
        <f>+'Cons spec tot e finalizzati'!F233-'Cons spec tot e finalizzati'!G233</f>
        <v>0</v>
      </c>
      <c r="G230" s="44">
        <f>+'Cons spec tot e finalizzati'!H233-'Cons spec tot e finalizzati'!I233</f>
        <v>0</v>
      </c>
      <c r="H230" s="44">
        <f>+'Cons spec tot e finalizzati'!J233-'Cons spec tot e finalizzati'!K233</f>
        <v>0</v>
      </c>
      <c r="I230" s="44">
        <f>+'Cons spec tot e finalizzati'!L233-'Cons spec tot e finalizzati'!M233</f>
        <v>0</v>
      </c>
      <c r="J230" s="44">
        <f>+'Cons spec tot e finalizzati'!N233-'Cons spec tot e finalizzati'!O233</f>
        <v>0</v>
      </c>
      <c r="K230" s="44">
        <f>+'Cons spec tot e finalizzati'!P233-'Cons spec tot e finalizzati'!Q233</f>
        <v>0</v>
      </c>
      <c r="L230" s="44">
        <f>+'Cons spec tot e finalizzati'!R233-'Cons spec tot e finalizzati'!S233</f>
        <v>0</v>
      </c>
      <c r="M230" s="6"/>
      <c r="N230" s="184"/>
      <c r="AB230" s="119"/>
      <c r="AC230" s="121"/>
    </row>
    <row r="231" spans="1:29" s="3" customFormat="1" ht="12.75">
      <c r="A231" s="28"/>
      <c r="B231" s="19"/>
      <c r="C231" s="19" t="s">
        <v>57</v>
      </c>
      <c r="D231" s="26"/>
      <c r="F231" s="44">
        <f>+'Cons spec tot e finalizzati'!F234-'Cons spec tot e finalizzati'!G234</f>
        <v>0</v>
      </c>
      <c r="G231" s="44">
        <f>+'Cons spec tot e finalizzati'!H234-'Cons spec tot e finalizzati'!I234</f>
        <v>0</v>
      </c>
      <c r="H231" s="44">
        <f>+'Cons spec tot e finalizzati'!J234-'Cons spec tot e finalizzati'!K234</f>
        <v>0</v>
      </c>
      <c r="I231" s="44">
        <f>+'Cons spec tot e finalizzati'!L234-'Cons spec tot e finalizzati'!M234</f>
        <v>0</v>
      </c>
      <c r="J231" s="44">
        <f>+'Cons spec tot e finalizzati'!N234-'Cons spec tot e finalizzati'!O234</f>
        <v>0</v>
      </c>
      <c r="K231" s="44">
        <f>+'Cons spec tot e finalizzati'!P234-'Cons spec tot e finalizzati'!Q234</f>
        <v>0</v>
      </c>
      <c r="L231" s="44">
        <f>+'Cons spec tot e finalizzati'!R234-'Cons spec tot e finalizzati'!S234</f>
        <v>0</v>
      </c>
      <c r="M231" s="6"/>
      <c r="N231" s="184"/>
      <c r="AB231" s="119"/>
      <c r="AC231" s="121"/>
    </row>
    <row r="232" spans="1:29" s="3" customFormat="1" ht="12.75">
      <c r="A232" s="28"/>
      <c r="B232" s="19"/>
      <c r="C232" s="19" t="s">
        <v>58</v>
      </c>
      <c r="D232" s="26"/>
      <c r="F232" s="44">
        <f>+'Cons spec tot e finalizzati'!F235-'Cons spec tot e finalizzati'!G235</f>
        <v>346</v>
      </c>
      <c r="G232" s="44">
        <f>+'Cons spec tot e finalizzati'!H235-'Cons spec tot e finalizzati'!I235</f>
        <v>390</v>
      </c>
      <c r="H232" s="44">
        <f>+'Cons spec tot e finalizzati'!J235-'Cons spec tot e finalizzati'!K235</f>
        <v>457</v>
      </c>
      <c r="I232" s="44">
        <f>+'Cons spec tot e finalizzati'!L235-'Cons spec tot e finalizzati'!M235</f>
        <v>478</v>
      </c>
      <c r="J232" s="44">
        <f>+'Cons spec tot e finalizzati'!N235-'Cons spec tot e finalizzati'!O235</f>
        <v>588</v>
      </c>
      <c r="K232" s="44">
        <f>+'Cons spec tot e finalizzati'!P235-'Cons spec tot e finalizzati'!Q235</f>
        <v>646</v>
      </c>
      <c r="L232" s="44">
        <f>+'Cons spec tot e finalizzati'!R235-'Cons spec tot e finalizzati'!S235</f>
        <v>661</v>
      </c>
      <c r="M232" s="6"/>
      <c r="N232" s="184"/>
      <c r="AB232" s="119"/>
      <c r="AC232" s="121"/>
    </row>
    <row r="233" spans="1:29" s="3" customFormat="1" ht="12.75">
      <c r="A233" s="28"/>
      <c r="B233" s="19"/>
      <c r="C233" s="19" t="s">
        <v>39</v>
      </c>
      <c r="D233" s="26"/>
      <c r="E233" s="112"/>
      <c r="F233" s="44">
        <f>+'Cons spec tot e finalizzati'!F236-'Cons spec tot e finalizzati'!G236</f>
        <v>4</v>
      </c>
      <c r="G233" s="44">
        <f>+'Cons spec tot e finalizzati'!H236-'Cons spec tot e finalizzati'!I236</f>
        <v>3</v>
      </c>
      <c r="H233" s="44">
        <f>+'Cons spec tot e finalizzati'!J236-'Cons spec tot e finalizzati'!K236</f>
        <v>4</v>
      </c>
      <c r="I233" s="44">
        <f>+'Cons spec tot e finalizzati'!L236-'Cons spec tot e finalizzati'!M236</f>
        <v>4</v>
      </c>
      <c r="J233" s="44">
        <f>+'Cons spec tot e finalizzati'!N236-'Cons spec tot e finalizzati'!O236</f>
        <v>0</v>
      </c>
      <c r="K233" s="44">
        <f>+'Cons spec tot e finalizzati'!P236-'Cons spec tot e finalizzati'!Q236</f>
        <v>76</v>
      </c>
      <c r="L233" s="44">
        <f>+'Cons spec tot e finalizzati'!R236-'Cons spec tot e finalizzati'!S236</f>
        <v>71</v>
      </c>
      <c r="M233" s="6"/>
      <c r="N233" s="184"/>
      <c r="AB233" s="119"/>
      <c r="AC233" s="121"/>
    </row>
    <row r="234" spans="1:29" s="3" customFormat="1" ht="12.75">
      <c r="A234" s="28"/>
      <c r="B234" s="19"/>
      <c r="C234" s="19" t="s">
        <v>72</v>
      </c>
      <c r="D234" s="26"/>
      <c r="F234" s="44">
        <f>+'Cons spec tot e finalizzati'!F237-'Cons spec tot e finalizzati'!G237</f>
        <v>14</v>
      </c>
      <c r="G234" s="44">
        <f>+'Cons spec tot e finalizzati'!H237-'Cons spec tot e finalizzati'!I237</f>
        <v>24</v>
      </c>
      <c r="H234" s="44">
        <f>+'Cons spec tot e finalizzati'!J237-'Cons spec tot e finalizzati'!K237</f>
        <v>23</v>
      </c>
      <c r="I234" s="44">
        <f>+'Cons spec tot e finalizzati'!L237-'Cons spec tot e finalizzati'!M237</f>
        <v>29</v>
      </c>
      <c r="J234" s="44">
        <f>+'Cons spec tot e finalizzati'!N237-'Cons spec tot e finalizzati'!O237</f>
        <v>18</v>
      </c>
      <c r="K234" s="44">
        <f>+'Cons spec tot e finalizzati'!P237-'Cons spec tot e finalizzati'!Q237</f>
        <v>118</v>
      </c>
      <c r="L234" s="44">
        <f>+'Cons spec tot e finalizzati'!R237-'Cons spec tot e finalizzati'!S237</f>
        <v>120</v>
      </c>
      <c r="M234" s="6"/>
      <c r="N234" s="184"/>
      <c r="AB234" s="119"/>
      <c r="AC234" s="121"/>
    </row>
    <row r="235" spans="1:29" s="3" customFormat="1" ht="12.75">
      <c r="A235" s="141"/>
      <c r="B235" s="34"/>
      <c r="C235" s="34" t="s">
        <v>59</v>
      </c>
      <c r="D235" s="142"/>
      <c r="F235" s="44">
        <f>+'Cons spec tot e finalizzati'!F238-'Cons spec tot e finalizzati'!G238</f>
        <v>0</v>
      </c>
      <c r="G235" s="44">
        <f>+'Cons spec tot e finalizzati'!H238-'Cons spec tot e finalizzati'!I238</f>
        <v>0</v>
      </c>
      <c r="H235" s="44">
        <f>+'Cons spec tot e finalizzati'!J238-'Cons spec tot e finalizzati'!K238</f>
        <v>0</v>
      </c>
      <c r="I235" s="44">
        <f>+'Cons spec tot e finalizzati'!L238-'Cons spec tot e finalizzati'!M238</f>
        <v>0</v>
      </c>
      <c r="J235" s="44">
        <f>+'Cons spec tot e finalizzati'!N238-'Cons spec tot e finalizzati'!O238</f>
        <v>0</v>
      </c>
      <c r="K235" s="44">
        <f>+'Cons spec tot e finalizzati'!P238-'Cons spec tot e finalizzati'!Q238</f>
        <v>0</v>
      </c>
      <c r="L235" s="44">
        <f>+'Cons spec tot e finalizzati'!R238-'Cons spec tot e finalizzati'!S238</f>
        <v>0</v>
      </c>
      <c r="M235" s="6"/>
      <c r="N235" s="184"/>
      <c r="AB235" s="119"/>
      <c r="AC235" s="121"/>
    </row>
    <row r="236" spans="1:29" s="3" customFormat="1" ht="12.75">
      <c r="A236" s="143"/>
      <c r="B236" s="144" t="s">
        <v>64</v>
      </c>
      <c r="C236" s="145"/>
      <c r="D236" s="146"/>
      <c r="F236" s="147">
        <f aca="true" t="shared" si="31" ref="F236:K236">SUM(F237:F246)</f>
        <v>2670</v>
      </c>
      <c r="G236" s="147">
        <f t="shared" si="31"/>
        <v>2819</v>
      </c>
      <c r="H236" s="147">
        <f t="shared" si="31"/>
        <v>3149</v>
      </c>
      <c r="I236" s="147">
        <f t="shared" si="31"/>
        <v>3287</v>
      </c>
      <c r="J236" s="147">
        <f t="shared" si="31"/>
        <v>3312</v>
      </c>
      <c r="K236" s="147">
        <f t="shared" si="31"/>
        <v>3424</v>
      </c>
      <c r="L236" s="147">
        <f>SUM(L237:L246)</f>
        <v>3530</v>
      </c>
      <c r="M236" s="6"/>
      <c r="N236" s="184"/>
      <c r="AB236" s="119"/>
      <c r="AC236" s="121"/>
    </row>
    <row r="237" spans="1:29" s="3" customFormat="1" ht="12.75">
      <c r="A237" s="28"/>
      <c r="B237" s="19"/>
      <c r="C237" s="19" t="s">
        <v>52</v>
      </c>
      <c r="D237" s="26"/>
      <c r="F237" s="44">
        <f>+'Cons spec tot e finalizzati'!F240-'Cons spec tot e finalizzati'!G240</f>
        <v>77</v>
      </c>
      <c r="G237" s="44">
        <f>+'Cons spec tot e finalizzati'!H240-'Cons spec tot e finalizzati'!I240</f>
        <v>183</v>
      </c>
      <c r="H237" s="44">
        <f>+'Cons spec tot e finalizzati'!J240-'Cons spec tot e finalizzati'!K240</f>
        <v>180</v>
      </c>
      <c r="I237" s="44">
        <f>+'Cons spec tot e finalizzati'!L240-'Cons spec tot e finalizzati'!M240</f>
        <v>212</v>
      </c>
      <c r="J237" s="44">
        <f>+'Cons spec tot e finalizzati'!N240-'Cons spec tot e finalizzati'!O240</f>
        <v>259</v>
      </c>
      <c r="K237" s="44">
        <f>+'Cons spec tot e finalizzati'!P240-'Cons spec tot e finalizzati'!Q240</f>
        <v>206</v>
      </c>
      <c r="L237" s="44">
        <f>+'Cons spec tot e finalizzati'!R240-'Cons spec tot e finalizzati'!S240</f>
        <v>159</v>
      </c>
      <c r="M237" s="6"/>
      <c r="N237" s="184"/>
      <c r="AB237" s="119"/>
      <c r="AC237" s="121"/>
    </row>
    <row r="238" spans="1:29" s="3" customFormat="1" ht="12.75">
      <c r="A238" s="28"/>
      <c r="B238" s="19"/>
      <c r="C238" s="19" t="s">
        <v>53</v>
      </c>
      <c r="D238" s="26"/>
      <c r="F238" s="44">
        <f>+'Cons spec tot e finalizzati'!F241-'Cons spec tot e finalizzati'!G241</f>
        <v>2038</v>
      </c>
      <c r="G238" s="44">
        <f>+'Cons spec tot e finalizzati'!H241-'Cons spec tot e finalizzati'!I241</f>
        <v>2166</v>
      </c>
      <c r="H238" s="44">
        <f>+'Cons spec tot e finalizzati'!J241-'Cons spec tot e finalizzati'!K241</f>
        <v>2264</v>
      </c>
      <c r="I238" s="44">
        <f>+'Cons spec tot e finalizzati'!L241-'Cons spec tot e finalizzati'!M241</f>
        <v>2328</v>
      </c>
      <c r="J238" s="44">
        <f>+'Cons spec tot e finalizzati'!N241-'Cons spec tot e finalizzati'!O241</f>
        <v>2228</v>
      </c>
      <c r="K238" s="44">
        <f>+'Cons spec tot e finalizzati'!P241-'Cons spec tot e finalizzati'!Q241</f>
        <v>2309</v>
      </c>
      <c r="L238" s="44">
        <f>+'Cons spec tot e finalizzati'!R241-'Cons spec tot e finalizzati'!S241</f>
        <v>2418</v>
      </c>
      <c r="M238" s="6"/>
      <c r="N238" s="184"/>
      <c r="AB238" s="119"/>
      <c r="AC238" s="121"/>
    </row>
    <row r="239" spans="1:29" s="3" customFormat="1" ht="12.75">
      <c r="A239" s="28"/>
      <c r="B239" s="19"/>
      <c r="C239" s="19" t="s">
        <v>54</v>
      </c>
      <c r="D239" s="26"/>
      <c r="F239" s="44">
        <f>+'Cons spec tot e finalizzati'!F242-'Cons spec tot e finalizzati'!G242</f>
        <v>0</v>
      </c>
      <c r="G239" s="44">
        <f>+'Cons spec tot e finalizzati'!H242-'Cons spec tot e finalizzati'!I242</f>
        <v>0</v>
      </c>
      <c r="H239" s="44">
        <f>+'Cons spec tot e finalizzati'!J242-'Cons spec tot e finalizzati'!K242</f>
        <v>0</v>
      </c>
      <c r="I239" s="44">
        <f>+'Cons spec tot e finalizzati'!L242-'Cons spec tot e finalizzati'!M242</f>
        <v>0</v>
      </c>
      <c r="J239" s="44">
        <f>+'Cons spec tot e finalizzati'!N242-'Cons spec tot e finalizzati'!O242</f>
        <v>0</v>
      </c>
      <c r="K239" s="44">
        <f>+'Cons spec tot e finalizzati'!P242-'Cons spec tot e finalizzati'!Q242</f>
        <v>33</v>
      </c>
      <c r="L239" s="44">
        <f>+'Cons spec tot e finalizzati'!R242-'Cons spec tot e finalizzati'!S242</f>
        <v>0</v>
      </c>
      <c r="M239" s="6"/>
      <c r="N239" s="184"/>
      <c r="AB239" s="119"/>
      <c r="AC239" s="120"/>
    </row>
    <row r="240" spans="1:29" s="3" customFormat="1" ht="12.75">
      <c r="A240" s="28"/>
      <c r="B240" s="19"/>
      <c r="C240" s="19" t="s">
        <v>55</v>
      </c>
      <c r="D240" s="26"/>
      <c r="F240" s="44">
        <f>+'Cons spec tot e finalizzati'!F243-'Cons spec tot e finalizzati'!G243</f>
        <v>0</v>
      </c>
      <c r="G240" s="44">
        <f>+'Cons spec tot e finalizzati'!H243-'Cons spec tot e finalizzati'!I243</f>
        <v>0</v>
      </c>
      <c r="H240" s="44">
        <f>+'Cons spec tot e finalizzati'!J243-'Cons spec tot e finalizzati'!K243</f>
        <v>0</v>
      </c>
      <c r="I240" s="44">
        <f>+'Cons spec tot e finalizzati'!L243-'Cons spec tot e finalizzati'!M243</f>
        <v>0</v>
      </c>
      <c r="J240" s="44">
        <f>+'Cons spec tot e finalizzati'!N243-'Cons spec tot e finalizzati'!O243</f>
        <v>0</v>
      </c>
      <c r="K240" s="44">
        <f>+'Cons spec tot e finalizzati'!P243-'Cons spec tot e finalizzati'!Q243</f>
        <v>0</v>
      </c>
      <c r="L240" s="44">
        <f>+'Cons spec tot e finalizzati'!R243-'Cons spec tot e finalizzati'!S243</f>
        <v>0</v>
      </c>
      <c r="M240" s="6"/>
      <c r="N240" s="184"/>
      <c r="AB240" s="82"/>
      <c r="AC240" s="96"/>
    </row>
    <row r="241" spans="1:29" s="3" customFormat="1" ht="12.75">
      <c r="A241" s="28"/>
      <c r="B241" s="19"/>
      <c r="C241" s="19" t="s">
        <v>56</v>
      </c>
      <c r="D241" s="26"/>
      <c r="F241" s="44">
        <f>+'Cons spec tot e finalizzati'!F244-'Cons spec tot e finalizzati'!G244</f>
        <v>72</v>
      </c>
      <c r="G241" s="44">
        <f>+'Cons spec tot e finalizzati'!H244-'Cons spec tot e finalizzati'!I244</f>
        <v>0</v>
      </c>
      <c r="H241" s="44">
        <f>+'Cons spec tot e finalizzati'!J244-'Cons spec tot e finalizzati'!K244</f>
        <v>181</v>
      </c>
      <c r="I241" s="44">
        <f>+'Cons spec tot e finalizzati'!L244-'Cons spec tot e finalizzati'!M244</f>
        <v>135</v>
      </c>
      <c r="J241" s="44">
        <f>+'Cons spec tot e finalizzati'!N244-'Cons spec tot e finalizzati'!O244</f>
        <v>135</v>
      </c>
      <c r="K241" s="44">
        <f>+'Cons spec tot e finalizzati'!P244-'Cons spec tot e finalizzati'!Q244</f>
        <v>135</v>
      </c>
      <c r="L241" s="44">
        <f>+'Cons spec tot e finalizzati'!R244-'Cons spec tot e finalizzati'!S244</f>
        <v>168</v>
      </c>
      <c r="M241" s="6"/>
      <c r="N241" s="184"/>
      <c r="AB241" s="82"/>
      <c r="AC241" s="96"/>
    </row>
    <row r="242" spans="1:29" s="3" customFormat="1" ht="12.75">
      <c r="A242" s="28"/>
      <c r="B242" s="19"/>
      <c r="C242" s="19" t="s">
        <v>57</v>
      </c>
      <c r="D242" s="26"/>
      <c r="F242" s="44">
        <f>+'Cons spec tot e finalizzati'!F245-'Cons spec tot e finalizzati'!G245</f>
        <v>0</v>
      </c>
      <c r="G242" s="44">
        <f>+'Cons spec tot e finalizzati'!H245-'Cons spec tot e finalizzati'!I245</f>
        <v>0</v>
      </c>
      <c r="H242" s="44">
        <f>+'Cons spec tot e finalizzati'!J245-'Cons spec tot e finalizzati'!K245</f>
        <v>0</v>
      </c>
      <c r="I242" s="44">
        <f>+'Cons spec tot e finalizzati'!L245-'Cons spec tot e finalizzati'!M245</f>
        <v>0</v>
      </c>
      <c r="J242" s="44">
        <f>+'Cons spec tot e finalizzati'!N245-'Cons spec tot e finalizzati'!O245</f>
        <v>0</v>
      </c>
      <c r="K242" s="44">
        <f>+'Cons spec tot e finalizzati'!P245-'Cons spec tot e finalizzati'!Q245</f>
        <v>0</v>
      </c>
      <c r="L242" s="44">
        <f>+'Cons spec tot e finalizzati'!R245-'Cons spec tot e finalizzati'!S245</f>
        <v>0</v>
      </c>
      <c r="M242" s="6"/>
      <c r="N242" s="184"/>
      <c r="AB242" s="82"/>
      <c r="AC242" s="96"/>
    </row>
    <row r="243" spans="1:29" s="3" customFormat="1" ht="12.75">
      <c r="A243" s="28"/>
      <c r="B243" s="19"/>
      <c r="C243" s="19" t="s">
        <v>58</v>
      </c>
      <c r="D243" s="26"/>
      <c r="F243" s="44">
        <f>+'Cons spec tot e finalizzati'!F246-'Cons spec tot e finalizzati'!G246</f>
        <v>477</v>
      </c>
      <c r="G243" s="44">
        <f>+'Cons spec tot e finalizzati'!H246-'Cons spec tot e finalizzati'!I246</f>
        <v>452</v>
      </c>
      <c r="H243" s="44">
        <f>+'Cons spec tot e finalizzati'!J246-'Cons spec tot e finalizzati'!K246</f>
        <v>506</v>
      </c>
      <c r="I243" s="44">
        <f>+'Cons spec tot e finalizzati'!L246-'Cons spec tot e finalizzati'!M246</f>
        <v>590</v>
      </c>
      <c r="J243" s="44">
        <f>+'Cons spec tot e finalizzati'!N246-'Cons spec tot e finalizzati'!O246</f>
        <v>669</v>
      </c>
      <c r="K243" s="44">
        <f>+'Cons spec tot e finalizzati'!P246-'Cons spec tot e finalizzati'!Q246</f>
        <v>670</v>
      </c>
      <c r="L243" s="44">
        <f>+'Cons spec tot e finalizzati'!R246-'Cons spec tot e finalizzati'!S246</f>
        <v>706</v>
      </c>
      <c r="M243" s="6"/>
      <c r="N243" s="184"/>
      <c r="AB243" s="82"/>
      <c r="AC243" s="96"/>
    </row>
    <row r="244" spans="1:29" s="3" customFormat="1" ht="12.75">
      <c r="A244" s="28"/>
      <c r="B244" s="19"/>
      <c r="C244" s="19" t="s">
        <v>39</v>
      </c>
      <c r="D244" s="26"/>
      <c r="E244" s="112"/>
      <c r="F244" s="44">
        <f>+'Cons spec tot e finalizzati'!F247-'Cons spec tot e finalizzati'!G247</f>
        <v>3</v>
      </c>
      <c r="G244" s="44">
        <f>+'Cons spec tot e finalizzati'!H247-'Cons spec tot e finalizzati'!I247</f>
        <v>13</v>
      </c>
      <c r="H244" s="44">
        <f>+'Cons spec tot e finalizzati'!J247-'Cons spec tot e finalizzati'!K247</f>
        <v>15</v>
      </c>
      <c r="I244" s="44">
        <f>+'Cons spec tot e finalizzati'!L247-'Cons spec tot e finalizzati'!M247</f>
        <v>12</v>
      </c>
      <c r="J244" s="44">
        <f>+'Cons spec tot e finalizzati'!N247-'Cons spec tot e finalizzati'!O247</f>
        <v>15</v>
      </c>
      <c r="K244" s="44">
        <f>+'Cons spec tot e finalizzati'!P247-'Cons spec tot e finalizzati'!Q247</f>
        <v>65</v>
      </c>
      <c r="L244" s="44">
        <f>+'Cons spec tot e finalizzati'!R247-'Cons spec tot e finalizzati'!S247</f>
        <v>65</v>
      </c>
      <c r="M244" s="6"/>
      <c r="N244" s="184"/>
      <c r="AB244" s="82"/>
      <c r="AC244" s="96"/>
    </row>
    <row r="245" spans="1:29" s="3" customFormat="1" ht="12.75">
      <c r="A245" s="28"/>
      <c r="B245" s="19"/>
      <c r="C245" s="19" t="s">
        <v>72</v>
      </c>
      <c r="D245" s="26"/>
      <c r="F245" s="44">
        <f>+'Cons spec tot e finalizzati'!F248-'Cons spec tot e finalizzati'!G248</f>
        <v>3</v>
      </c>
      <c r="G245" s="44">
        <f>+'Cons spec tot e finalizzati'!H248-'Cons spec tot e finalizzati'!I248</f>
        <v>5</v>
      </c>
      <c r="H245" s="44">
        <f>+'Cons spec tot e finalizzati'!J248-'Cons spec tot e finalizzati'!K248</f>
        <v>3</v>
      </c>
      <c r="I245" s="44">
        <f>+'Cons spec tot e finalizzati'!L248-'Cons spec tot e finalizzati'!M248</f>
        <v>10</v>
      </c>
      <c r="J245" s="44">
        <f>+'Cons spec tot e finalizzati'!N248-'Cons spec tot e finalizzati'!O248</f>
        <v>6</v>
      </c>
      <c r="K245" s="44">
        <f>+'Cons spec tot e finalizzati'!P248-'Cons spec tot e finalizzati'!Q248</f>
        <v>6</v>
      </c>
      <c r="L245" s="44">
        <f>+'Cons spec tot e finalizzati'!R248-'Cons spec tot e finalizzati'!S248</f>
        <v>14</v>
      </c>
      <c r="M245" s="6"/>
      <c r="N245" s="184"/>
      <c r="AB245" s="82"/>
      <c r="AC245" s="96"/>
    </row>
    <row r="246" spans="1:29" s="3" customFormat="1" ht="12.75">
      <c r="A246" s="141"/>
      <c r="B246" s="34"/>
      <c r="C246" s="34" t="s">
        <v>59</v>
      </c>
      <c r="D246" s="142"/>
      <c r="F246" s="45">
        <f>+'Cons spec tot e finalizzati'!F249-'Cons spec tot e finalizzati'!G249</f>
        <v>0</v>
      </c>
      <c r="G246" s="45">
        <f>+'Cons spec tot e finalizzati'!H249-'Cons spec tot e finalizzati'!I249</f>
        <v>0</v>
      </c>
      <c r="H246" s="45">
        <f>+'Cons spec tot e finalizzati'!J249-'Cons spec tot e finalizzati'!K249</f>
        <v>0</v>
      </c>
      <c r="I246" s="45">
        <f>+'Cons spec tot e finalizzati'!L249-'Cons spec tot e finalizzati'!M249</f>
        <v>0</v>
      </c>
      <c r="J246" s="45">
        <f>+'Cons spec tot e finalizzati'!N249-'Cons spec tot e finalizzati'!O249</f>
        <v>0</v>
      </c>
      <c r="K246" s="45">
        <f>+'Cons spec tot e finalizzati'!P249-'Cons spec tot e finalizzati'!Q249</f>
        <v>0</v>
      </c>
      <c r="L246" s="45">
        <f>+'Cons spec tot e finalizzati'!R249-'Cons spec tot e finalizzati'!S249</f>
        <v>0</v>
      </c>
      <c r="M246" s="6"/>
      <c r="N246" s="184"/>
      <c r="AB246" s="82"/>
      <c r="AC246" s="96"/>
    </row>
    <row r="247" spans="1:29" s="3" customFormat="1" ht="12.75">
      <c r="A247" s="143"/>
      <c r="B247" s="144" t="s">
        <v>65</v>
      </c>
      <c r="C247" s="145"/>
      <c r="D247" s="146"/>
      <c r="F247" s="135">
        <f aca="true" t="shared" si="32" ref="F247:K247">SUM(F248:F257)</f>
        <v>2606</v>
      </c>
      <c r="G247" s="135">
        <f t="shared" si="32"/>
        <v>2725</v>
      </c>
      <c r="H247" s="135">
        <f t="shared" si="32"/>
        <v>2991</v>
      </c>
      <c r="I247" s="135">
        <f t="shared" si="32"/>
        <v>3170</v>
      </c>
      <c r="J247" s="135">
        <f t="shared" si="32"/>
        <v>3484</v>
      </c>
      <c r="K247" s="135">
        <f t="shared" si="32"/>
        <v>3564</v>
      </c>
      <c r="L247" s="135">
        <f>SUM(L248:L257)</f>
        <v>3958</v>
      </c>
      <c r="M247" s="6"/>
      <c r="N247" s="184"/>
      <c r="AB247" s="82"/>
      <c r="AC247" s="96"/>
    </row>
    <row r="248" spans="1:29" s="3" customFormat="1" ht="12.75">
      <c r="A248" s="28"/>
      <c r="B248" s="19"/>
      <c r="C248" s="19" t="s">
        <v>52</v>
      </c>
      <c r="D248" s="32"/>
      <c r="F248" s="44">
        <f>+'Cons spec tot e finalizzati'!F251-'Cons spec tot e finalizzati'!G251</f>
        <v>65</v>
      </c>
      <c r="G248" s="44">
        <f>+'Cons spec tot e finalizzati'!H251-'Cons spec tot e finalizzati'!I251</f>
        <v>168</v>
      </c>
      <c r="H248" s="44">
        <f>+'Cons spec tot e finalizzati'!J251-'Cons spec tot e finalizzati'!K251</f>
        <v>284</v>
      </c>
      <c r="I248" s="44">
        <f>+'Cons spec tot e finalizzati'!L251-'Cons spec tot e finalizzati'!M251</f>
        <v>158</v>
      </c>
      <c r="J248" s="44">
        <f>+'Cons spec tot e finalizzati'!N251-'Cons spec tot e finalizzati'!O251</f>
        <v>159</v>
      </c>
      <c r="K248" s="44">
        <f>+'Cons spec tot e finalizzati'!P251-'Cons spec tot e finalizzati'!Q251</f>
        <v>192</v>
      </c>
      <c r="L248" s="44">
        <f>+'Cons spec tot e finalizzati'!R251-'Cons spec tot e finalizzati'!S251</f>
        <v>197</v>
      </c>
      <c r="M248" s="6"/>
      <c r="N248" s="184"/>
      <c r="AB248" s="82"/>
      <c r="AC248" s="96"/>
    </row>
    <row r="249" spans="1:29" s="3" customFormat="1" ht="12.75">
      <c r="A249" s="28"/>
      <c r="B249" s="19"/>
      <c r="C249" s="19" t="s">
        <v>53</v>
      </c>
      <c r="D249" s="26"/>
      <c r="F249" s="44">
        <f>+'Cons spec tot e finalizzati'!F252-'Cons spec tot e finalizzati'!G252</f>
        <v>2104</v>
      </c>
      <c r="G249" s="44">
        <f>+'Cons spec tot e finalizzati'!H252-'Cons spec tot e finalizzati'!I252</f>
        <v>2053</v>
      </c>
      <c r="H249" s="44">
        <f>+'Cons spec tot e finalizzati'!J252-'Cons spec tot e finalizzati'!K252</f>
        <v>2095</v>
      </c>
      <c r="I249" s="44">
        <f>+'Cons spec tot e finalizzati'!L252-'Cons spec tot e finalizzati'!M252</f>
        <v>2411</v>
      </c>
      <c r="J249" s="44">
        <f>+'Cons spec tot e finalizzati'!N252-'Cons spec tot e finalizzati'!O252</f>
        <v>2573</v>
      </c>
      <c r="K249" s="44">
        <f>+'Cons spec tot e finalizzati'!P252-'Cons spec tot e finalizzati'!Q252</f>
        <v>2528</v>
      </c>
      <c r="L249" s="44">
        <f>+'Cons spec tot e finalizzati'!R252-'Cons spec tot e finalizzati'!S252</f>
        <v>2798</v>
      </c>
      <c r="M249" s="6"/>
      <c r="N249" s="184"/>
      <c r="AB249" s="82"/>
      <c r="AC249" s="96"/>
    </row>
    <row r="250" spans="1:29" s="3" customFormat="1" ht="12.75">
      <c r="A250" s="28"/>
      <c r="B250" s="19"/>
      <c r="C250" s="19" t="s">
        <v>54</v>
      </c>
      <c r="D250" s="26"/>
      <c r="F250" s="44">
        <f>+'Cons spec tot e finalizzati'!F253-'Cons spec tot e finalizzati'!G253</f>
        <v>0</v>
      </c>
      <c r="G250" s="44">
        <f>+'Cons spec tot e finalizzati'!H253-'Cons spec tot e finalizzati'!I253</f>
        <v>0</v>
      </c>
      <c r="H250" s="44">
        <f>+'Cons spec tot e finalizzati'!J253-'Cons spec tot e finalizzati'!K253</f>
        <v>0</v>
      </c>
      <c r="I250" s="44">
        <f>+'Cons spec tot e finalizzati'!L253-'Cons spec tot e finalizzati'!M253</f>
        <v>0</v>
      </c>
      <c r="J250" s="44">
        <f>+'Cons spec tot e finalizzati'!N253-'Cons spec tot e finalizzati'!O253</f>
        <v>0</v>
      </c>
      <c r="K250" s="44">
        <f>+'Cons spec tot e finalizzati'!P253-'Cons spec tot e finalizzati'!Q253</f>
        <v>59</v>
      </c>
      <c r="L250" s="44">
        <f>+'Cons spec tot e finalizzati'!R253-'Cons spec tot e finalizzati'!S253</f>
        <v>0</v>
      </c>
      <c r="M250" s="6"/>
      <c r="N250" s="184"/>
      <c r="AB250" s="76"/>
      <c r="AC250" s="88"/>
    </row>
    <row r="251" spans="1:29" s="3" customFormat="1" ht="12.75">
      <c r="A251" s="28"/>
      <c r="B251" s="19"/>
      <c r="C251" s="19" t="s">
        <v>55</v>
      </c>
      <c r="D251" s="26"/>
      <c r="F251" s="44">
        <f>+'Cons spec tot e finalizzati'!F254-'Cons spec tot e finalizzati'!G254</f>
        <v>0</v>
      </c>
      <c r="G251" s="44">
        <f>+'Cons spec tot e finalizzati'!H254-'Cons spec tot e finalizzati'!I254</f>
        <v>0</v>
      </c>
      <c r="H251" s="44">
        <f>+'Cons spec tot e finalizzati'!J254-'Cons spec tot e finalizzati'!K254</f>
        <v>0</v>
      </c>
      <c r="I251" s="44">
        <f>+'Cons spec tot e finalizzati'!L254-'Cons spec tot e finalizzati'!M254</f>
        <v>0</v>
      </c>
      <c r="J251" s="44">
        <f>+'Cons spec tot e finalizzati'!N254-'Cons spec tot e finalizzati'!O254</f>
        <v>0</v>
      </c>
      <c r="K251" s="44">
        <f>+'Cons spec tot e finalizzati'!P254-'Cons spec tot e finalizzati'!Q254</f>
        <v>0</v>
      </c>
      <c r="L251" s="44">
        <f>+'Cons spec tot e finalizzati'!R254-'Cons spec tot e finalizzati'!S254</f>
        <v>0</v>
      </c>
      <c r="M251" s="6"/>
      <c r="N251" s="184"/>
      <c r="AB251" s="82"/>
      <c r="AC251" s="128"/>
    </row>
    <row r="252" spans="1:29" s="3" customFormat="1" ht="12.75">
      <c r="A252" s="28"/>
      <c r="B252" s="19"/>
      <c r="C252" s="19" t="s">
        <v>56</v>
      </c>
      <c r="D252" s="26"/>
      <c r="F252" s="44">
        <f>+'Cons spec tot e finalizzati'!F255-'Cons spec tot e finalizzati'!G255</f>
        <v>46</v>
      </c>
      <c r="G252" s="44">
        <f>+'Cons spec tot e finalizzati'!H255-'Cons spec tot e finalizzati'!I255</f>
        <v>13</v>
      </c>
      <c r="H252" s="44">
        <f>+'Cons spec tot e finalizzati'!J255-'Cons spec tot e finalizzati'!K255</f>
        <v>70</v>
      </c>
      <c r="I252" s="44">
        <f>+'Cons spec tot e finalizzati'!L255-'Cons spec tot e finalizzati'!M255</f>
        <v>58</v>
      </c>
      <c r="J252" s="44">
        <f>+'Cons spec tot e finalizzati'!N255-'Cons spec tot e finalizzati'!O255</f>
        <v>51</v>
      </c>
      <c r="K252" s="44">
        <f>+'Cons spec tot e finalizzati'!P255-'Cons spec tot e finalizzati'!Q255</f>
        <v>108</v>
      </c>
      <c r="L252" s="44">
        <f>+'Cons spec tot e finalizzati'!R255-'Cons spec tot e finalizzati'!S255</f>
        <v>71</v>
      </c>
      <c r="M252" s="6"/>
      <c r="N252" s="184"/>
      <c r="AB252" s="82"/>
      <c r="AC252" s="96"/>
    </row>
    <row r="253" spans="1:29" s="3" customFormat="1" ht="12.75">
      <c r="A253" s="28"/>
      <c r="B253" s="19"/>
      <c r="C253" s="19" t="s">
        <v>57</v>
      </c>
      <c r="D253" s="26"/>
      <c r="F253" s="44">
        <f>+'Cons spec tot e finalizzati'!F256-'Cons spec tot e finalizzati'!G256</f>
        <v>0</v>
      </c>
      <c r="G253" s="44">
        <f>+'Cons spec tot e finalizzati'!H256-'Cons spec tot e finalizzati'!I256</f>
        <v>0</v>
      </c>
      <c r="H253" s="44">
        <f>+'Cons spec tot e finalizzati'!J256-'Cons spec tot e finalizzati'!K256</f>
        <v>0</v>
      </c>
      <c r="I253" s="44">
        <f>+'Cons spec tot e finalizzati'!L256-'Cons spec tot e finalizzati'!M256</f>
        <v>0</v>
      </c>
      <c r="J253" s="44">
        <f>+'Cons spec tot e finalizzati'!N256-'Cons spec tot e finalizzati'!O256</f>
        <v>0</v>
      </c>
      <c r="K253" s="44">
        <f>+'Cons spec tot e finalizzati'!P256-'Cons spec tot e finalizzati'!Q256</f>
        <v>0</v>
      </c>
      <c r="L253" s="44">
        <f>+'Cons spec tot e finalizzati'!R256-'Cons spec tot e finalizzati'!S256</f>
        <v>0</v>
      </c>
      <c r="M253" s="6"/>
      <c r="N253" s="184"/>
      <c r="AB253" s="82"/>
      <c r="AC253" s="96"/>
    </row>
    <row r="254" spans="1:29" s="3" customFormat="1" ht="12.75">
      <c r="A254" s="28"/>
      <c r="B254" s="19"/>
      <c r="C254" s="19" t="s">
        <v>58</v>
      </c>
      <c r="D254" s="26"/>
      <c r="F254" s="44">
        <f>+'Cons spec tot e finalizzati'!F257-'Cons spec tot e finalizzati'!G257</f>
        <v>380</v>
      </c>
      <c r="G254" s="44">
        <f>+'Cons spec tot e finalizzati'!H257-'Cons spec tot e finalizzati'!I257</f>
        <v>408</v>
      </c>
      <c r="H254" s="44">
        <f>+'Cons spec tot e finalizzati'!J257-'Cons spec tot e finalizzati'!K257</f>
        <v>441</v>
      </c>
      <c r="I254" s="44">
        <f>+'Cons spec tot e finalizzati'!L257-'Cons spec tot e finalizzati'!M257</f>
        <v>445</v>
      </c>
      <c r="J254" s="44">
        <f>+'Cons spec tot e finalizzati'!N257-'Cons spec tot e finalizzati'!O257</f>
        <v>590</v>
      </c>
      <c r="K254" s="44">
        <f>+'Cons spec tot e finalizzati'!P257-'Cons spec tot e finalizzati'!Q257</f>
        <v>583</v>
      </c>
      <c r="L254" s="44">
        <f>+'Cons spec tot e finalizzati'!R257-'Cons spec tot e finalizzati'!S257</f>
        <v>777</v>
      </c>
      <c r="M254" s="6"/>
      <c r="N254" s="184"/>
      <c r="AB254" s="82"/>
      <c r="AC254" s="96"/>
    </row>
    <row r="255" spans="1:29" s="3" customFormat="1" ht="12.75">
      <c r="A255" s="28"/>
      <c r="B255" s="19"/>
      <c r="C255" s="19" t="s">
        <v>39</v>
      </c>
      <c r="D255" s="26"/>
      <c r="E255" s="112"/>
      <c r="F255" s="44">
        <f>+'Cons spec tot e finalizzati'!F258-'Cons spec tot e finalizzati'!G258</f>
        <v>2</v>
      </c>
      <c r="G255" s="44">
        <f>+'Cons spec tot e finalizzati'!H258-'Cons spec tot e finalizzati'!I258</f>
        <v>73</v>
      </c>
      <c r="H255" s="44">
        <f>+'Cons spec tot e finalizzati'!J258-'Cons spec tot e finalizzati'!K258</f>
        <v>92</v>
      </c>
      <c r="I255" s="44">
        <f>+'Cons spec tot e finalizzati'!L258-'Cons spec tot e finalizzati'!M258</f>
        <v>62</v>
      </c>
      <c r="J255" s="44">
        <f>+'Cons spec tot e finalizzati'!N258-'Cons spec tot e finalizzati'!O258</f>
        <v>75</v>
      </c>
      <c r="K255" s="44">
        <f>+'Cons spec tot e finalizzati'!P258-'Cons spec tot e finalizzati'!Q258</f>
        <v>79</v>
      </c>
      <c r="L255" s="44">
        <f>+'Cons spec tot e finalizzati'!R258-'Cons spec tot e finalizzati'!S258</f>
        <v>79</v>
      </c>
      <c r="M255" s="6"/>
      <c r="N255" s="184"/>
      <c r="AB255" s="82"/>
      <c r="AC255" s="96"/>
    </row>
    <row r="256" spans="1:29" s="3" customFormat="1" ht="12.75">
      <c r="A256" s="28"/>
      <c r="B256" s="19"/>
      <c r="C256" s="19" t="s">
        <v>72</v>
      </c>
      <c r="D256" s="26"/>
      <c r="F256" s="44">
        <f>+'Cons spec tot e finalizzati'!F259-'Cons spec tot e finalizzati'!G259</f>
        <v>9</v>
      </c>
      <c r="G256" s="44">
        <f>+'Cons spec tot e finalizzati'!H259-'Cons spec tot e finalizzati'!I259</f>
        <v>10</v>
      </c>
      <c r="H256" s="44">
        <f>+'Cons spec tot e finalizzati'!J259-'Cons spec tot e finalizzati'!K259</f>
        <v>9</v>
      </c>
      <c r="I256" s="44">
        <f>+'Cons spec tot e finalizzati'!L259-'Cons spec tot e finalizzati'!M259</f>
        <v>36</v>
      </c>
      <c r="J256" s="44">
        <f>+'Cons spec tot e finalizzati'!N259-'Cons spec tot e finalizzati'!O259</f>
        <v>36</v>
      </c>
      <c r="K256" s="44">
        <f>+'Cons spec tot e finalizzati'!P259-'Cons spec tot e finalizzati'!Q259</f>
        <v>15</v>
      </c>
      <c r="L256" s="44">
        <f>+'Cons spec tot e finalizzati'!R259-'Cons spec tot e finalizzati'!S259</f>
        <v>36</v>
      </c>
      <c r="M256" s="6"/>
      <c r="N256" s="184"/>
      <c r="AB256" s="82"/>
      <c r="AC256" s="96"/>
    </row>
    <row r="257" spans="1:29" s="3" customFormat="1" ht="12.75">
      <c r="A257" s="141"/>
      <c r="B257" s="34"/>
      <c r="C257" s="34" t="s">
        <v>59</v>
      </c>
      <c r="D257" s="142"/>
      <c r="F257" s="44">
        <f>+'Cons spec tot e finalizzati'!F260-'Cons spec tot e finalizzati'!G260</f>
        <v>0</v>
      </c>
      <c r="G257" s="44">
        <f>+'Cons spec tot e finalizzati'!H260-'Cons spec tot e finalizzati'!I260</f>
        <v>0</v>
      </c>
      <c r="H257" s="44">
        <f>+'Cons spec tot e finalizzati'!J260-'Cons spec tot e finalizzati'!K260</f>
        <v>0</v>
      </c>
      <c r="I257" s="44">
        <f>+'Cons spec tot e finalizzati'!L260-'Cons spec tot e finalizzati'!M260</f>
        <v>0</v>
      </c>
      <c r="J257" s="44">
        <f>+'Cons spec tot e finalizzati'!N260-'Cons spec tot e finalizzati'!O260</f>
        <v>0</v>
      </c>
      <c r="K257" s="44">
        <f>+'Cons spec tot e finalizzati'!P260-'Cons spec tot e finalizzati'!Q260</f>
        <v>0</v>
      </c>
      <c r="L257" s="44">
        <f>+'Cons spec tot e finalizzati'!R260-'Cons spec tot e finalizzati'!S260</f>
        <v>0</v>
      </c>
      <c r="M257" s="6"/>
      <c r="N257" s="184"/>
      <c r="AB257" s="82"/>
      <c r="AC257" s="96"/>
    </row>
    <row r="258" spans="1:29" s="3" customFormat="1" ht="12.75">
      <c r="A258" s="143"/>
      <c r="B258" s="144" t="s">
        <v>66</v>
      </c>
      <c r="C258" s="145"/>
      <c r="D258" s="146"/>
      <c r="F258" s="147">
        <f aca="true" t="shared" si="33" ref="F258:K258">SUM(F259:F268)</f>
        <v>2757</v>
      </c>
      <c r="G258" s="147">
        <f t="shared" si="33"/>
        <v>3059</v>
      </c>
      <c r="H258" s="147">
        <f t="shared" si="33"/>
        <v>3122</v>
      </c>
      <c r="I258" s="147">
        <f t="shared" si="33"/>
        <v>3371.5</v>
      </c>
      <c r="J258" s="147">
        <f t="shared" si="33"/>
        <v>3500</v>
      </c>
      <c r="K258" s="147">
        <f t="shared" si="33"/>
        <v>3534</v>
      </c>
      <c r="L258" s="147">
        <f>SUM(L259:L268)</f>
        <v>3814</v>
      </c>
      <c r="M258" s="6"/>
      <c r="N258" s="184"/>
      <c r="AB258" s="82"/>
      <c r="AC258" s="96"/>
    </row>
    <row r="259" spans="1:29" s="3" customFormat="1" ht="12.75">
      <c r="A259" s="28"/>
      <c r="B259" s="19"/>
      <c r="C259" s="19" t="s">
        <v>52</v>
      </c>
      <c r="D259" s="26"/>
      <c r="F259" s="44">
        <f>+'Cons spec tot e finalizzati'!F262-'Cons spec tot e finalizzati'!G262</f>
        <v>76</v>
      </c>
      <c r="G259" s="44">
        <f>+'Cons spec tot e finalizzati'!H262-'Cons spec tot e finalizzati'!I262</f>
        <v>162</v>
      </c>
      <c r="H259" s="44">
        <f>+'Cons spec tot e finalizzati'!J262-'Cons spec tot e finalizzati'!K262</f>
        <v>179</v>
      </c>
      <c r="I259" s="44">
        <f>+'Cons spec tot e finalizzati'!L262-'Cons spec tot e finalizzati'!M262</f>
        <v>205</v>
      </c>
      <c r="J259" s="44">
        <f>+'Cons spec tot e finalizzati'!N262-'Cons spec tot e finalizzati'!O262</f>
        <v>231</v>
      </c>
      <c r="K259" s="44">
        <f>+'Cons spec tot e finalizzati'!P262-'Cons spec tot e finalizzati'!Q262</f>
        <v>197</v>
      </c>
      <c r="L259" s="44">
        <f>+'Cons spec tot e finalizzati'!R262-'Cons spec tot e finalizzati'!S262</f>
        <v>211</v>
      </c>
      <c r="M259" s="6"/>
      <c r="N259" s="184"/>
      <c r="AB259" s="82"/>
      <c r="AC259" s="96"/>
    </row>
    <row r="260" spans="1:29" s="3" customFormat="1" ht="12.75">
      <c r="A260" s="28"/>
      <c r="B260" s="19"/>
      <c r="C260" s="19" t="s">
        <v>53</v>
      </c>
      <c r="D260" s="26"/>
      <c r="F260" s="44">
        <f>+'Cons spec tot e finalizzati'!F263-'Cons spec tot e finalizzati'!G263</f>
        <v>1989</v>
      </c>
      <c r="G260" s="44">
        <f>+'Cons spec tot e finalizzati'!H263-'Cons spec tot e finalizzati'!I263</f>
        <v>2163</v>
      </c>
      <c r="H260" s="44">
        <f>+'Cons spec tot e finalizzati'!J263-'Cons spec tot e finalizzati'!K263</f>
        <v>2254</v>
      </c>
      <c r="I260" s="44">
        <f>+'Cons spec tot e finalizzati'!L263-'Cons spec tot e finalizzati'!M263</f>
        <v>2392.5</v>
      </c>
      <c r="J260" s="44">
        <f>+'Cons spec tot e finalizzati'!N263-'Cons spec tot e finalizzati'!O263</f>
        <v>2315</v>
      </c>
      <c r="K260" s="44">
        <f>+'Cons spec tot e finalizzati'!P263-'Cons spec tot e finalizzati'!Q263</f>
        <v>2265</v>
      </c>
      <c r="L260" s="44">
        <f>+'Cons spec tot e finalizzati'!R263-'Cons spec tot e finalizzati'!S263</f>
        <v>2500</v>
      </c>
      <c r="M260" s="6"/>
      <c r="N260" s="184"/>
      <c r="AB260" s="82"/>
      <c r="AC260" s="96"/>
    </row>
    <row r="261" spans="1:29" s="3" customFormat="1" ht="12.75">
      <c r="A261" s="28"/>
      <c r="B261" s="19"/>
      <c r="C261" s="19" t="s">
        <v>54</v>
      </c>
      <c r="D261" s="26"/>
      <c r="F261" s="44">
        <f>+'Cons spec tot e finalizzati'!F264-'Cons spec tot e finalizzati'!G264</f>
        <v>0</v>
      </c>
      <c r="G261" s="44">
        <f>+'Cons spec tot e finalizzati'!H264-'Cons spec tot e finalizzati'!I264</f>
        <v>0</v>
      </c>
      <c r="H261" s="44">
        <f>+'Cons spec tot e finalizzati'!J264-'Cons spec tot e finalizzati'!K264</f>
        <v>0</v>
      </c>
      <c r="I261" s="44">
        <f>+'Cons spec tot e finalizzati'!L264-'Cons spec tot e finalizzati'!M264</f>
        <v>0</v>
      </c>
      <c r="J261" s="44">
        <f>+'Cons spec tot e finalizzati'!N264-'Cons spec tot e finalizzati'!O264</f>
        <v>0</v>
      </c>
      <c r="K261" s="44">
        <f>+'Cons spec tot e finalizzati'!P264-'Cons spec tot e finalizzati'!Q264</f>
        <v>32</v>
      </c>
      <c r="L261" s="44">
        <f>+'Cons spec tot e finalizzati'!R264-'Cons spec tot e finalizzati'!S264</f>
        <v>0</v>
      </c>
      <c r="M261" s="6"/>
      <c r="N261" s="184"/>
      <c r="AB261" s="86"/>
      <c r="AC261" s="99"/>
    </row>
    <row r="262" spans="1:14" s="3" customFormat="1" ht="12.75">
      <c r="A262" s="28"/>
      <c r="B262" s="19"/>
      <c r="C262" s="19" t="s">
        <v>55</v>
      </c>
      <c r="D262" s="26"/>
      <c r="F262" s="44">
        <f>+'Cons spec tot e finalizzati'!F265-'Cons spec tot e finalizzati'!G265</f>
        <v>0</v>
      </c>
      <c r="G262" s="44">
        <f>+'Cons spec tot e finalizzati'!H265-'Cons spec tot e finalizzati'!I265</f>
        <v>0</v>
      </c>
      <c r="H262" s="44">
        <f>+'Cons spec tot e finalizzati'!J265-'Cons spec tot e finalizzati'!K265</f>
        <v>0</v>
      </c>
      <c r="I262" s="44">
        <f>+'Cons spec tot e finalizzati'!L265-'Cons spec tot e finalizzati'!M265</f>
        <v>0</v>
      </c>
      <c r="J262" s="44">
        <f>+'Cons spec tot e finalizzati'!N265-'Cons spec tot e finalizzati'!O265</f>
        <v>0</v>
      </c>
      <c r="K262" s="44">
        <f>+'Cons spec tot e finalizzati'!P265-'Cons spec tot e finalizzati'!Q265</f>
        <v>0</v>
      </c>
      <c r="L262" s="44">
        <f>+'Cons spec tot e finalizzati'!R265-'Cons spec tot e finalizzati'!S265</f>
        <v>0</v>
      </c>
      <c r="M262" s="6"/>
      <c r="N262" s="184"/>
    </row>
    <row r="263" spans="1:31" s="3" customFormat="1" ht="12.75">
      <c r="A263" s="28"/>
      <c r="B263" s="19"/>
      <c r="C263" s="19" t="s">
        <v>56</v>
      </c>
      <c r="D263" s="26"/>
      <c r="F263" s="44">
        <f>+'Cons spec tot e finalizzati'!F266-'Cons spec tot e finalizzati'!G266</f>
        <v>7</v>
      </c>
      <c r="G263" s="44">
        <f>+'Cons spec tot e finalizzati'!H266-'Cons spec tot e finalizzati'!I266</f>
        <v>0</v>
      </c>
      <c r="H263" s="44">
        <f>+'Cons spec tot e finalizzati'!J266-'Cons spec tot e finalizzati'!K266</f>
        <v>0</v>
      </c>
      <c r="I263" s="44">
        <f>+'Cons spec tot e finalizzati'!L266-'Cons spec tot e finalizzati'!M266</f>
        <v>0</v>
      </c>
      <c r="J263" s="44">
        <f>+'Cons spec tot e finalizzati'!N266-'Cons spec tot e finalizzati'!O266</f>
        <v>29</v>
      </c>
      <c r="K263" s="44">
        <f>+'Cons spec tot e finalizzati'!P266-'Cons spec tot e finalizzati'!Q266</f>
        <v>29</v>
      </c>
      <c r="L263" s="44">
        <f>+'Cons spec tot e finalizzati'!R266-'Cons spec tot e finalizzati'!S266</f>
        <v>35</v>
      </c>
      <c r="M263" s="6"/>
      <c r="N263" s="184"/>
      <c r="AD263" s="129"/>
      <c r="AE263" s="129"/>
    </row>
    <row r="264" spans="1:31" s="3" customFormat="1" ht="12.75">
      <c r="A264" s="28"/>
      <c r="B264" s="19"/>
      <c r="C264" s="19" t="s">
        <v>57</v>
      </c>
      <c r="D264" s="26"/>
      <c r="F264" s="44">
        <f>+'Cons spec tot e finalizzati'!F267-'Cons spec tot e finalizzati'!G267</f>
        <v>0</v>
      </c>
      <c r="G264" s="44">
        <f>+'Cons spec tot e finalizzati'!H267-'Cons spec tot e finalizzati'!I267</f>
        <v>0</v>
      </c>
      <c r="H264" s="44">
        <f>+'Cons spec tot e finalizzati'!J267-'Cons spec tot e finalizzati'!K267</f>
        <v>0</v>
      </c>
      <c r="I264" s="44">
        <f>+'Cons spec tot e finalizzati'!L267-'Cons spec tot e finalizzati'!M267</f>
        <v>0</v>
      </c>
      <c r="J264" s="44">
        <f>+'Cons spec tot e finalizzati'!N267-'Cons spec tot e finalizzati'!O267</f>
        <v>0</v>
      </c>
      <c r="K264" s="44">
        <f>+'Cons spec tot e finalizzati'!P267-'Cons spec tot e finalizzati'!Q267</f>
        <v>0</v>
      </c>
      <c r="L264" s="44">
        <f>+'Cons spec tot e finalizzati'!R267-'Cons spec tot e finalizzati'!S267</f>
        <v>0</v>
      </c>
      <c r="M264" s="6"/>
      <c r="N264" s="184"/>
      <c r="AD264" s="129"/>
      <c r="AE264" s="129"/>
    </row>
    <row r="265" spans="1:32" ht="12.75">
      <c r="A265" s="28"/>
      <c r="B265" s="19"/>
      <c r="C265" s="19" t="s">
        <v>58</v>
      </c>
      <c r="D265" s="26"/>
      <c r="F265" s="44">
        <f>+'Cons spec tot e finalizzati'!F268-'Cons spec tot e finalizzati'!G268</f>
        <v>620</v>
      </c>
      <c r="G265" s="44">
        <f>+'Cons spec tot e finalizzati'!H268-'Cons spec tot e finalizzati'!I268</f>
        <v>657</v>
      </c>
      <c r="H265" s="44">
        <f>+'Cons spec tot e finalizzati'!J268-'Cons spec tot e finalizzati'!K268</f>
        <v>656</v>
      </c>
      <c r="I265" s="44">
        <f>+'Cons spec tot e finalizzati'!L268-'Cons spec tot e finalizzati'!M268</f>
        <v>672</v>
      </c>
      <c r="J265" s="44">
        <f>+'Cons spec tot e finalizzati'!N268-'Cons spec tot e finalizzati'!O268</f>
        <v>820</v>
      </c>
      <c r="K265" s="44">
        <f>+'Cons spec tot e finalizzati'!P268-'Cons spec tot e finalizzati'!Q268</f>
        <v>849</v>
      </c>
      <c r="L265" s="44">
        <f>+'Cons spec tot e finalizzati'!R268-'Cons spec tot e finalizzati'!S268</f>
        <v>937</v>
      </c>
      <c r="M265" s="6"/>
      <c r="N265" s="184"/>
      <c r="AD265" s="6"/>
      <c r="AF265"/>
    </row>
    <row r="266" spans="1:32" ht="12.75">
      <c r="A266" s="28"/>
      <c r="B266" s="19"/>
      <c r="C266" s="19" t="s">
        <v>39</v>
      </c>
      <c r="D266" s="26"/>
      <c r="F266" s="44">
        <f>+'Cons spec tot e finalizzati'!F269-'Cons spec tot e finalizzati'!G269</f>
        <v>0</v>
      </c>
      <c r="G266" s="44">
        <f>+'Cons spec tot e finalizzati'!H269-'Cons spec tot e finalizzati'!I269</f>
        <v>0</v>
      </c>
      <c r="H266" s="44">
        <f>+'Cons spec tot e finalizzati'!J269-'Cons spec tot e finalizzati'!K269</f>
        <v>0</v>
      </c>
      <c r="I266" s="44">
        <f>+'Cons spec tot e finalizzati'!L269-'Cons spec tot e finalizzati'!M269</f>
        <v>6</v>
      </c>
      <c r="J266" s="44">
        <f>+'Cons spec tot e finalizzati'!N269-'Cons spec tot e finalizzati'!O269</f>
        <v>4</v>
      </c>
      <c r="K266" s="44">
        <f>+'Cons spec tot e finalizzati'!P269-'Cons spec tot e finalizzati'!Q269</f>
        <v>8</v>
      </c>
      <c r="L266" s="44">
        <f>+'Cons spec tot e finalizzati'!R269-'Cons spec tot e finalizzati'!S269</f>
        <v>0</v>
      </c>
      <c r="M266" s="6"/>
      <c r="N266" s="184"/>
      <c r="AD266" s="6"/>
      <c r="AF266"/>
    </row>
    <row r="267" spans="1:32" ht="12.75">
      <c r="A267" s="28"/>
      <c r="B267" s="19"/>
      <c r="C267" s="19" t="s">
        <v>72</v>
      </c>
      <c r="D267" s="26"/>
      <c r="E267" s="1"/>
      <c r="F267" s="44">
        <f>+'Cons spec tot e finalizzati'!F270-'Cons spec tot e finalizzati'!G270</f>
        <v>65</v>
      </c>
      <c r="G267" s="44">
        <f>+'Cons spec tot e finalizzati'!H270-'Cons spec tot e finalizzati'!I270</f>
        <v>77</v>
      </c>
      <c r="H267" s="44">
        <f>+'Cons spec tot e finalizzati'!J270-'Cons spec tot e finalizzati'!K270</f>
        <v>33</v>
      </c>
      <c r="I267" s="44">
        <f>+'Cons spec tot e finalizzati'!L270-'Cons spec tot e finalizzati'!M270</f>
        <v>96</v>
      </c>
      <c r="J267" s="44">
        <f>+'Cons spec tot e finalizzati'!N270-'Cons spec tot e finalizzati'!O270</f>
        <v>101</v>
      </c>
      <c r="K267" s="44">
        <f>+'Cons spec tot e finalizzati'!P270-'Cons spec tot e finalizzati'!Q270</f>
        <v>154</v>
      </c>
      <c r="L267" s="44">
        <f>+'Cons spec tot e finalizzati'!R270-'Cons spec tot e finalizzati'!S270</f>
        <v>131</v>
      </c>
      <c r="M267" s="6"/>
      <c r="N267" s="184"/>
      <c r="AD267" s="6"/>
      <c r="AF267"/>
    </row>
    <row r="268" spans="1:39" ht="12.75">
      <c r="A268" s="141"/>
      <c r="B268" s="34"/>
      <c r="C268" s="34" t="s">
        <v>59</v>
      </c>
      <c r="D268" s="142"/>
      <c r="F268" s="44">
        <f>+'Cons spec tot e finalizzati'!F271-'Cons spec tot e finalizzati'!G271</f>
        <v>0</v>
      </c>
      <c r="G268" s="44">
        <f>+'Cons spec tot e finalizzati'!H271-'Cons spec tot e finalizzati'!I271</f>
        <v>0</v>
      </c>
      <c r="H268" s="44">
        <f>+'Cons spec tot e finalizzati'!J271-'Cons spec tot e finalizzati'!K271</f>
        <v>0</v>
      </c>
      <c r="I268" s="44">
        <f>+'Cons spec tot e finalizzati'!L271-'Cons spec tot e finalizzati'!M271</f>
        <v>0</v>
      </c>
      <c r="J268" s="44">
        <f>+'Cons spec tot e finalizzati'!N271-'Cons spec tot e finalizzati'!O271</f>
        <v>0</v>
      </c>
      <c r="K268" s="44">
        <f>+'Cons spec tot e finalizzati'!P271-'Cons spec tot e finalizzati'!Q271</f>
        <v>0</v>
      </c>
      <c r="L268" s="44">
        <f>+'Cons spec tot e finalizzati'!R271-'Cons spec tot e finalizzati'!S271</f>
        <v>0</v>
      </c>
      <c r="M268" s="6"/>
      <c r="N268" s="184"/>
      <c r="O268" s="6"/>
      <c r="P268" s="6"/>
      <c r="Q268" s="1"/>
      <c r="R268" s="6"/>
      <c r="S268" s="1"/>
      <c r="U268" s="6"/>
      <c r="V268" s="1"/>
      <c r="W268" s="74"/>
      <c r="AE268"/>
      <c r="AF268"/>
      <c r="AL268" s="6"/>
      <c r="AM268" s="6"/>
    </row>
    <row r="269" spans="1:39" ht="12.75">
      <c r="A269" s="143"/>
      <c r="B269" s="144" t="s">
        <v>67</v>
      </c>
      <c r="C269" s="145"/>
      <c r="D269" s="146"/>
      <c r="F269" s="147">
        <f aca="true" t="shared" si="34" ref="F269:K269">SUM(F270:F279)</f>
        <v>3033</v>
      </c>
      <c r="G269" s="147">
        <f t="shared" si="34"/>
        <v>3315</v>
      </c>
      <c r="H269" s="147">
        <f t="shared" si="34"/>
        <v>3641</v>
      </c>
      <c r="I269" s="147">
        <f t="shared" si="34"/>
        <v>3953</v>
      </c>
      <c r="J269" s="147">
        <f t="shared" si="34"/>
        <v>4146.506293027315</v>
      </c>
      <c r="K269" s="147">
        <f t="shared" si="34"/>
        <v>4554</v>
      </c>
      <c r="L269" s="147">
        <f>SUM(L270:L279)</f>
        <v>4505</v>
      </c>
      <c r="M269" s="6"/>
      <c r="N269" s="184"/>
      <c r="O269" s="6"/>
      <c r="P269" s="6"/>
      <c r="Q269" s="1"/>
      <c r="R269" s="6"/>
      <c r="S269" s="2"/>
      <c r="U269" s="6"/>
      <c r="V269" s="2"/>
      <c r="AE269"/>
      <c r="AF269"/>
      <c r="AL269" s="6"/>
      <c r="AM269" s="6"/>
    </row>
    <row r="270" spans="1:39" ht="12.75">
      <c r="A270" s="28"/>
      <c r="B270" s="33"/>
      <c r="C270" s="19" t="s">
        <v>52</v>
      </c>
      <c r="D270" s="26"/>
      <c r="F270" s="44">
        <f>+'Cons spec tot e finalizzati'!F273-'Cons spec tot e finalizzati'!G273</f>
        <v>157</v>
      </c>
      <c r="G270" s="44">
        <f>+'Cons spec tot e finalizzati'!H273-'Cons spec tot e finalizzati'!I273</f>
        <v>348</v>
      </c>
      <c r="H270" s="44">
        <f>+'Cons spec tot e finalizzati'!J273-'Cons spec tot e finalizzati'!K273</f>
        <v>370</v>
      </c>
      <c r="I270" s="44">
        <f>+'Cons spec tot e finalizzati'!L273-'Cons spec tot e finalizzati'!M273</f>
        <v>349</v>
      </c>
      <c r="J270" s="44">
        <f>+'Cons spec tot e finalizzati'!N273-'Cons spec tot e finalizzati'!O273</f>
        <v>309</v>
      </c>
      <c r="K270" s="44">
        <f>+'Cons spec tot e finalizzati'!P273-'Cons spec tot e finalizzati'!Q273</f>
        <v>288</v>
      </c>
      <c r="L270" s="44">
        <f>+'Cons spec tot e finalizzati'!R273-'Cons spec tot e finalizzati'!S273</f>
        <v>199</v>
      </c>
      <c r="M270" s="6"/>
      <c r="N270" s="184"/>
      <c r="O270" s="6"/>
      <c r="P270" s="6"/>
      <c r="Q270" s="1"/>
      <c r="R270" s="6"/>
      <c r="S270" s="2"/>
      <c r="U270" s="6"/>
      <c r="V270" s="2"/>
      <c r="AE270"/>
      <c r="AF270"/>
      <c r="AL270" s="6"/>
      <c r="AM270" s="6"/>
    </row>
    <row r="271" spans="1:40" ht="12.75">
      <c r="A271" s="28"/>
      <c r="B271" s="33"/>
      <c r="C271" s="19" t="s">
        <v>53</v>
      </c>
      <c r="D271" s="26"/>
      <c r="F271" s="44">
        <f>+'Cons spec tot e finalizzati'!F274-'Cons spec tot e finalizzati'!G274</f>
        <v>2217</v>
      </c>
      <c r="G271" s="44">
        <f>+'Cons spec tot e finalizzati'!H274-'Cons spec tot e finalizzati'!I274</f>
        <v>2271</v>
      </c>
      <c r="H271" s="44">
        <f>+'Cons spec tot e finalizzati'!J274-'Cons spec tot e finalizzati'!K274</f>
        <v>2441</v>
      </c>
      <c r="I271" s="44">
        <f>+'Cons spec tot e finalizzati'!L274-'Cons spec tot e finalizzati'!M274</f>
        <v>2684</v>
      </c>
      <c r="J271" s="44">
        <f>+'Cons spec tot e finalizzati'!N274-'Cons spec tot e finalizzati'!O274</f>
        <v>2788.506293027315</v>
      </c>
      <c r="K271" s="44">
        <f>+'Cons spec tot e finalizzati'!P274-'Cons spec tot e finalizzati'!Q274</f>
        <v>2883</v>
      </c>
      <c r="L271" s="44">
        <f>+'Cons spec tot e finalizzati'!R274-'Cons spec tot e finalizzati'!S274</f>
        <v>2919</v>
      </c>
      <c r="M271" s="6"/>
      <c r="N271" s="184"/>
      <c r="O271" s="6"/>
      <c r="P271" s="6"/>
      <c r="Q271" s="1"/>
      <c r="R271" s="6"/>
      <c r="S271" s="2"/>
      <c r="U271" s="6"/>
      <c r="V271" s="2"/>
      <c r="AE271"/>
      <c r="AF271"/>
      <c r="AM271" s="6"/>
      <c r="AN271" s="6"/>
    </row>
    <row r="272" spans="1:40" ht="12.75">
      <c r="A272" s="28"/>
      <c r="B272" s="33"/>
      <c r="C272" s="19" t="s">
        <v>54</v>
      </c>
      <c r="D272" s="26"/>
      <c r="F272" s="44">
        <f>+'Cons spec tot e finalizzati'!F275-'Cons spec tot e finalizzati'!G275</f>
        <v>0</v>
      </c>
      <c r="G272" s="44">
        <f>+'Cons spec tot e finalizzati'!H275-'Cons spec tot e finalizzati'!I275</f>
        <v>0</v>
      </c>
      <c r="H272" s="44">
        <f>+'Cons spec tot e finalizzati'!J275-'Cons spec tot e finalizzati'!K275</f>
        <v>0</v>
      </c>
      <c r="I272" s="44">
        <f>+'Cons spec tot e finalizzati'!L275-'Cons spec tot e finalizzati'!M275</f>
        <v>0</v>
      </c>
      <c r="J272" s="44">
        <f>+'Cons spec tot e finalizzati'!N275-'Cons spec tot e finalizzati'!O275</f>
        <v>0</v>
      </c>
      <c r="K272" s="44">
        <f>+'Cons spec tot e finalizzati'!P275-'Cons spec tot e finalizzati'!Q275</f>
        <v>58</v>
      </c>
      <c r="L272" s="44">
        <f>+'Cons spec tot e finalizzati'!R275-'Cons spec tot e finalizzati'!S275</f>
        <v>0</v>
      </c>
      <c r="M272" s="6"/>
      <c r="N272" s="184"/>
      <c r="O272" s="6"/>
      <c r="P272" s="6"/>
      <c r="Q272" s="1"/>
      <c r="R272" s="6"/>
      <c r="S272" s="1"/>
      <c r="U272" s="6"/>
      <c r="V272" s="1"/>
      <c r="AE272"/>
      <c r="AF272"/>
      <c r="AM272" s="6"/>
      <c r="AN272" s="6"/>
    </row>
    <row r="273" spans="1:40" ht="12.75">
      <c r="A273" s="28"/>
      <c r="B273" s="33"/>
      <c r="C273" s="19" t="s">
        <v>55</v>
      </c>
      <c r="D273" s="26"/>
      <c r="F273" s="44">
        <f>+'Cons spec tot e finalizzati'!F276-'Cons spec tot e finalizzati'!G276</f>
        <v>0</v>
      </c>
      <c r="G273" s="44">
        <f>+'Cons spec tot e finalizzati'!H276-'Cons spec tot e finalizzati'!I276</f>
        <v>0</v>
      </c>
      <c r="H273" s="44">
        <f>+'Cons spec tot e finalizzati'!J276-'Cons spec tot e finalizzati'!K276</f>
        <v>0</v>
      </c>
      <c r="I273" s="44">
        <f>+'Cons spec tot e finalizzati'!L276-'Cons spec tot e finalizzati'!M276</f>
        <v>0</v>
      </c>
      <c r="J273" s="44">
        <f>+'Cons spec tot e finalizzati'!N276-'Cons spec tot e finalizzati'!O276</f>
        <v>0</v>
      </c>
      <c r="K273" s="44">
        <f>+'Cons spec tot e finalizzati'!P276-'Cons spec tot e finalizzati'!Q276</f>
        <v>0</v>
      </c>
      <c r="L273" s="44">
        <f>+'Cons spec tot e finalizzati'!R276-'Cons spec tot e finalizzati'!S276</f>
        <v>0</v>
      </c>
      <c r="M273" s="6"/>
      <c r="N273" s="184"/>
      <c r="O273" s="6"/>
      <c r="P273" s="6"/>
      <c r="Q273" s="1"/>
      <c r="R273" s="6"/>
      <c r="S273" s="1"/>
      <c r="U273" s="6"/>
      <c r="V273" s="1"/>
      <c r="AE273"/>
      <c r="AF273"/>
      <c r="AM273" s="6"/>
      <c r="AN273" s="6"/>
    </row>
    <row r="274" spans="1:40" ht="12.75">
      <c r="A274" s="28"/>
      <c r="B274" s="33"/>
      <c r="C274" s="19" t="s">
        <v>56</v>
      </c>
      <c r="D274" s="26"/>
      <c r="F274" s="44">
        <f>+'Cons spec tot e finalizzati'!F277-'Cons spec tot e finalizzati'!G277</f>
        <v>66</v>
      </c>
      <c r="G274" s="44">
        <f>+'Cons spec tot e finalizzati'!H277-'Cons spec tot e finalizzati'!I277</f>
        <v>18</v>
      </c>
      <c r="H274" s="44">
        <f>+'Cons spec tot e finalizzati'!J277-'Cons spec tot e finalizzati'!K277</f>
        <v>69</v>
      </c>
      <c r="I274" s="44">
        <f>+'Cons spec tot e finalizzati'!L277-'Cons spec tot e finalizzati'!M277</f>
        <v>57</v>
      </c>
      <c r="J274" s="44">
        <f>+'Cons spec tot e finalizzati'!N277-'Cons spec tot e finalizzati'!O277</f>
        <v>72</v>
      </c>
      <c r="K274" s="44">
        <f>+'Cons spec tot e finalizzati'!P277-'Cons spec tot e finalizzati'!Q277</f>
        <v>72</v>
      </c>
      <c r="L274" s="44">
        <f>+'Cons spec tot e finalizzati'!R277-'Cons spec tot e finalizzati'!S277</f>
        <v>85</v>
      </c>
      <c r="M274" s="6"/>
      <c r="N274" s="184"/>
      <c r="O274" s="6"/>
      <c r="P274" s="6"/>
      <c r="Q274" s="1"/>
      <c r="R274" s="6"/>
      <c r="S274" s="1"/>
      <c r="U274" s="6"/>
      <c r="V274" s="1"/>
      <c r="AE274"/>
      <c r="AF274"/>
      <c r="AM274" s="6"/>
      <c r="AN274" s="6"/>
    </row>
    <row r="275" spans="1:40" s="1" customFormat="1" ht="12.75">
      <c r="A275" s="28"/>
      <c r="B275" s="33"/>
      <c r="C275" s="19" t="s">
        <v>57</v>
      </c>
      <c r="D275" s="26"/>
      <c r="E275"/>
      <c r="F275" s="44">
        <f>+'Cons spec tot e finalizzati'!F278-'Cons spec tot e finalizzati'!G278</f>
        <v>0</v>
      </c>
      <c r="G275" s="44">
        <f>+'Cons spec tot e finalizzati'!H278-'Cons spec tot e finalizzati'!I278</f>
        <v>0</v>
      </c>
      <c r="H275" s="44">
        <f>+'Cons spec tot e finalizzati'!J278-'Cons spec tot e finalizzati'!K278</f>
        <v>0</v>
      </c>
      <c r="I275" s="44">
        <f>+'Cons spec tot e finalizzati'!L278-'Cons spec tot e finalizzati'!M278</f>
        <v>0</v>
      </c>
      <c r="J275" s="44">
        <f>+'Cons spec tot e finalizzati'!N278-'Cons spec tot e finalizzati'!O278</f>
        <v>0</v>
      </c>
      <c r="K275" s="44">
        <f>+'Cons spec tot e finalizzati'!P278-'Cons spec tot e finalizzati'!Q278</f>
        <v>0</v>
      </c>
      <c r="L275" s="44">
        <f>+'Cons spec tot e finalizzati'!R278-'Cons spec tot e finalizzati'!S278</f>
        <v>0</v>
      </c>
      <c r="M275" s="6"/>
      <c r="N275" s="184"/>
      <c r="O275" s="6"/>
      <c r="P275" s="6"/>
      <c r="R275" s="6"/>
      <c r="U275" s="6"/>
      <c r="AM275" s="2"/>
      <c r="AN275" s="2"/>
    </row>
    <row r="276" spans="1:40" s="1" customFormat="1" ht="12.75">
      <c r="A276" s="28"/>
      <c r="B276" s="33"/>
      <c r="C276" s="19" t="s">
        <v>58</v>
      </c>
      <c r="D276" s="26"/>
      <c r="E276"/>
      <c r="F276" s="44">
        <f>+'Cons spec tot e finalizzati'!F279-'Cons spec tot e finalizzati'!G279</f>
        <v>470</v>
      </c>
      <c r="G276" s="44">
        <f>+'Cons spec tot e finalizzati'!H279-'Cons spec tot e finalizzati'!I279</f>
        <v>524</v>
      </c>
      <c r="H276" s="44">
        <f>+'Cons spec tot e finalizzati'!J279-'Cons spec tot e finalizzati'!K279</f>
        <v>577</v>
      </c>
      <c r="I276" s="44">
        <f>+'Cons spec tot e finalizzati'!L279-'Cons spec tot e finalizzati'!M279</f>
        <v>711</v>
      </c>
      <c r="J276" s="44">
        <f>+'Cons spec tot e finalizzati'!N279-'Cons spec tot e finalizzati'!O279</f>
        <v>821</v>
      </c>
      <c r="K276" s="44">
        <f>+'Cons spec tot e finalizzati'!P279-'Cons spec tot e finalizzati'!Q279</f>
        <v>924</v>
      </c>
      <c r="L276" s="44">
        <f>+'Cons spec tot e finalizzati'!R279-'Cons spec tot e finalizzati'!S279</f>
        <v>932</v>
      </c>
      <c r="M276" s="6"/>
      <c r="N276" s="184"/>
      <c r="O276" s="6"/>
      <c r="P276" s="6"/>
      <c r="R276" s="6"/>
      <c r="U276" s="6"/>
      <c r="AM276" s="2"/>
      <c r="AN276" s="2"/>
    </row>
    <row r="277" spans="1:40" ht="12.75">
      <c r="A277" s="28"/>
      <c r="B277" s="33"/>
      <c r="C277" s="19" t="s">
        <v>39</v>
      </c>
      <c r="D277" s="26"/>
      <c r="F277" s="44">
        <f>+'Cons spec tot e finalizzati'!F280-'Cons spec tot e finalizzati'!G280</f>
        <v>17</v>
      </c>
      <c r="G277" s="44">
        <f>+'Cons spec tot e finalizzati'!H280-'Cons spec tot e finalizzati'!I280</f>
        <v>40</v>
      </c>
      <c r="H277" s="44">
        <f>+'Cons spec tot e finalizzati'!J280-'Cons spec tot e finalizzati'!K280</f>
        <v>91</v>
      </c>
      <c r="I277" s="44">
        <f>+'Cons spec tot e finalizzati'!L280-'Cons spec tot e finalizzati'!M280</f>
        <v>61</v>
      </c>
      <c r="J277" s="44">
        <f>+'Cons spec tot e finalizzati'!N280-'Cons spec tot e finalizzati'!O280</f>
        <v>57</v>
      </c>
      <c r="K277" s="44">
        <f>+'Cons spec tot e finalizzati'!P280-'Cons spec tot e finalizzati'!Q280</f>
        <v>174</v>
      </c>
      <c r="L277" s="44">
        <f>+'Cons spec tot e finalizzati'!R280-'Cons spec tot e finalizzati'!S280</f>
        <v>185</v>
      </c>
      <c r="M277" s="6"/>
      <c r="N277" s="184"/>
      <c r="O277" s="6"/>
      <c r="P277" s="6"/>
      <c r="Q277" s="1"/>
      <c r="R277" s="6"/>
      <c r="S277" s="1"/>
      <c r="U277" s="6"/>
      <c r="V277" s="1"/>
      <c r="AE277"/>
      <c r="AF277"/>
      <c r="AM277" s="6"/>
      <c r="AN277" s="6"/>
    </row>
    <row r="278" spans="1:40" ht="12.75">
      <c r="A278" s="28"/>
      <c r="B278" s="33"/>
      <c r="C278" s="19" t="s">
        <v>72</v>
      </c>
      <c r="D278" s="26"/>
      <c r="F278" s="44">
        <f>+'Cons spec tot e finalizzati'!F281-'Cons spec tot e finalizzati'!G281</f>
        <v>106</v>
      </c>
      <c r="G278" s="44">
        <f>+'Cons spec tot e finalizzati'!H281-'Cons spec tot e finalizzati'!I281</f>
        <v>114</v>
      </c>
      <c r="H278" s="44">
        <f>+'Cons spec tot e finalizzati'!J281-'Cons spec tot e finalizzati'!K281</f>
        <v>93</v>
      </c>
      <c r="I278" s="44">
        <f>+'Cons spec tot e finalizzati'!L281-'Cons spec tot e finalizzati'!M281</f>
        <v>91</v>
      </c>
      <c r="J278" s="44">
        <f>+'Cons spec tot e finalizzati'!N281-'Cons spec tot e finalizzati'!O281</f>
        <v>99</v>
      </c>
      <c r="K278" s="44">
        <f>+'Cons spec tot e finalizzati'!P281-'Cons spec tot e finalizzati'!Q281</f>
        <v>155</v>
      </c>
      <c r="L278" s="44">
        <f>+'Cons spec tot e finalizzati'!R281-'Cons spec tot e finalizzati'!S281</f>
        <v>185</v>
      </c>
      <c r="M278" s="6"/>
      <c r="N278" s="184"/>
      <c r="O278" s="6"/>
      <c r="P278" s="6"/>
      <c r="Q278" s="1"/>
      <c r="R278" s="6"/>
      <c r="S278" s="1"/>
      <c r="U278" s="6"/>
      <c r="V278" s="1"/>
      <c r="AE278"/>
      <c r="AF278"/>
      <c r="AM278" s="6"/>
      <c r="AN278" s="6"/>
    </row>
    <row r="279" spans="1:40" ht="12.75">
      <c r="A279" s="141"/>
      <c r="B279" s="148"/>
      <c r="C279" s="34" t="s">
        <v>59</v>
      </c>
      <c r="D279" s="142"/>
      <c r="F279" s="44">
        <f>+'Cons spec tot e finalizzati'!F282-'Cons spec tot e finalizzati'!G282</f>
        <v>0</v>
      </c>
      <c r="G279" s="44">
        <f>+'Cons spec tot e finalizzati'!H282-'Cons spec tot e finalizzati'!I282</f>
        <v>0</v>
      </c>
      <c r="H279" s="44">
        <f>+'Cons spec tot e finalizzati'!J282-'Cons spec tot e finalizzati'!K282</f>
        <v>0</v>
      </c>
      <c r="I279" s="44">
        <f>+'Cons spec tot e finalizzati'!L282-'Cons spec tot e finalizzati'!M282</f>
        <v>0</v>
      </c>
      <c r="J279" s="44">
        <f>+'Cons spec tot e finalizzati'!N282-'Cons spec tot e finalizzati'!O282</f>
        <v>0</v>
      </c>
      <c r="K279" s="44">
        <f>+'Cons spec tot e finalizzati'!P282-'Cons spec tot e finalizzati'!Q282</f>
        <v>0</v>
      </c>
      <c r="L279" s="44">
        <f>+'Cons spec tot e finalizzati'!R282-'Cons spec tot e finalizzati'!S282</f>
        <v>0</v>
      </c>
      <c r="M279" s="6"/>
      <c r="N279" s="184"/>
      <c r="O279" s="6"/>
      <c r="P279" s="6"/>
      <c r="Q279" s="1"/>
      <c r="R279" s="6"/>
      <c r="S279" s="1"/>
      <c r="U279" s="6"/>
      <c r="V279" s="1"/>
      <c r="AE279"/>
      <c r="AF279"/>
      <c r="AM279" s="6"/>
      <c r="AN279" s="6"/>
    </row>
    <row r="280" spans="1:40" ht="15.75">
      <c r="A280" s="131" t="s">
        <v>73</v>
      </c>
      <c r="B280" s="132"/>
      <c r="C280" s="132"/>
      <c r="D280" s="133"/>
      <c r="F280" s="183">
        <f>+F180+F174+F157+F126+F93+F70+F56+F51+F47+F40+F35+F32+F24+F23+F22+F21+F20+F11+F6-11</f>
        <v>87295</v>
      </c>
      <c r="G280" s="183">
        <f>+G180+G174+G157+G126+G93+G70+G56+G51+G47+G40+G35+G32+G24+G23+G22+G21+G20+G11+G6</f>
        <v>105532</v>
      </c>
      <c r="H280" s="183">
        <f>+H180+H174+H157+H126+H93+H70+H56+H51+H47+H40+H35+H32+H24+H23+H22+H21+H20+H11+H6-2</f>
        <v>99212</v>
      </c>
      <c r="I280" s="183">
        <f>+I180+I174+I157+I126+I93+I70+I56+I51+I47+I40+I35+I32+I24+I23+I22+I21+I20+I11+I6+1</f>
        <v>108868</v>
      </c>
      <c r="J280" s="183">
        <f>+J180+J174+J157+J126+J93+J70+J56+J51+J47+J40+J35+J32+J24+J23+J22+J21+J20+J11+J6-1</f>
        <v>111908.83747101385</v>
      </c>
      <c r="K280" s="183">
        <f>+K180+K174+K157+K126+K93+K70+K56+K51+K47+K40+K35+K32+K24+K23+K22+K21+K20+K11+K6</f>
        <v>114452</v>
      </c>
      <c r="L280" s="183">
        <f>+L180+L174+L157+L126+L93+L70+L56+L51+L47+L40+L35+L32+L24+L23+L22+L21+L20+L11+L6</f>
        <v>118543</v>
      </c>
      <c r="M280" s="6"/>
      <c r="N280" s="184"/>
      <c r="O280" s="6"/>
      <c r="P280" s="6"/>
      <c r="Q280" s="1"/>
      <c r="R280" s="6"/>
      <c r="S280" s="1"/>
      <c r="U280" s="6"/>
      <c r="V280" s="1"/>
      <c r="AE280"/>
      <c r="AF280"/>
      <c r="AM280" s="6"/>
      <c r="AN280" s="6"/>
    </row>
    <row r="281" spans="2:40" ht="15.75">
      <c r="B281" s="151"/>
      <c r="C281" s="151"/>
      <c r="D281" s="151"/>
      <c r="F281" s="152"/>
      <c r="G281" s="152"/>
      <c r="H281" s="152"/>
      <c r="I281" s="152"/>
      <c r="J281" s="152"/>
      <c r="K281" s="152"/>
      <c r="L281" s="152"/>
      <c r="M281" s="6"/>
      <c r="N281" s="184"/>
      <c r="O281" s="6"/>
      <c r="P281" s="6"/>
      <c r="Q281" s="1"/>
      <c r="R281" s="6"/>
      <c r="S281" s="1"/>
      <c r="U281" s="6"/>
      <c r="V281" s="1"/>
      <c r="AE281"/>
      <c r="AF281"/>
      <c r="AM281" s="6"/>
      <c r="AN281" s="6"/>
    </row>
    <row r="282" spans="1:40" ht="12.75">
      <c r="A282" s="39" t="s">
        <v>171</v>
      </c>
      <c r="M282" s="6"/>
      <c r="N282" s="6"/>
      <c r="O282" s="6"/>
      <c r="P282" s="6"/>
      <c r="Q282" s="1"/>
      <c r="R282" s="6"/>
      <c r="S282" s="1"/>
      <c r="U282" s="6"/>
      <c r="V282" s="1"/>
      <c r="AE282"/>
      <c r="AF282"/>
      <c r="AM282" s="6"/>
      <c r="AN282" s="6"/>
    </row>
    <row r="283" spans="1:40" ht="12.75">
      <c r="A283" s="39" t="s">
        <v>221</v>
      </c>
      <c r="M283" s="6"/>
      <c r="N283" s="6"/>
      <c r="O283" s="6"/>
      <c r="P283" s="6"/>
      <c r="Q283" s="1"/>
      <c r="R283" s="6"/>
      <c r="S283" s="1"/>
      <c r="U283" s="6"/>
      <c r="V283" s="1"/>
      <c r="AE283"/>
      <c r="AF283"/>
      <c r="AM283" s="6"/>
      <c r="AN283" s="6"/>
    </row>
    <row r="284" spans="1:40" ht="12.75">
      <c r="A284" s="78" t="s">
        <v>173</v>
      </c>
      <c r="M284" s="6"/>
      <c r="N284" s="6"/>
      <c r="O284" s="6"/>
      <c r="P284" s="6"/>
      <c r="Q284" s="1"/>
      <c r="R284" s="6"/>
      <c r="S284" s="1"/>
      <c r="U284" s="6"/>
      <c r="V284" s="1"/>
      <c r="AE284"/>
      <c r="AF284"/>
      <c r="AM284" s="6"/>
      <c r="AN284" s="6"/>
    </row>
    <row r="285" spans="1:40" ht="12.75">
      <c r="A285" s="39"/>
      <c r="M285" s="6"/>
      <c r="N285" s="6"/>
      <c r="O285" s="6"/>
      <c r="P285" s="6"/>
      <c r="Q285" s="1"/>
      <c r="R285" s="6"/>
      <c r="S285" s="1"/>
      <c r="U285" s="6"/>
      <c r="V285" s="1"/>
      <c r="AE285"/>
      <c r="AF285"/>
      <c r="AM285" s="6"/>
      <c r="AN285" s="6"/>
    </row>
    <row r="286" spans="1:40" ht="12.75">
      <c r="A286" s="39"/>
      <c r="M286" s="6"/>
      <c r="N286" s="6"/>
      <c r="O286" s="6"/>
      <c r="P286" s="6"/>
      <c r="Q286" s="1"/>
      <c r="R286" s="6"/>
      <c r="S286" s="1"/>
      <c r="U286" s="6"/>
      <c r="V286" s="1"/>
      <c r="AE286"/>
      <c r="AF286"/>
      <c r="AM286" s="6"/>
      <c r="AN286" s="6"/>
    </row>
    <row r="287" spans="1:40" ht="12.75">
      <c r="A287" s="39"/>
      <c r="M287" s="6"/>
      <c r="N287" s="6"/>
      <c r="O287" s="6"/>
      <c r="P287" s="6"/>
      <c r="Q287" s="1"/>
      <c r="R287" s="6"/>
      <c r="S287" s="1"/>
      <c r="U287" s="6"/>
      <c r="V287" s="1"/>
      <c r="AE287"/>
      <c r="AF287"/>
      <c r="AM287" s="6"/>
      <c r="AN287" s="6"/>
    </row>
    <row r="288" spans="1:40" ht="12.75">
      <c r="A288" s="39"/>
      <c r="M288" s="6"/>
      <c r="N288" s="6"/>
      <c r="O288" s="6"/>
      <c r="P288" s="6"/>
      <c r="Q288" s="1"/>
      <c r="R288" s="6"/>
      <c r="S288" s="1"/>
      <c r="U288" s="6"/>
      <c r="V288" s="1"/>
      <c r="AE288"/>
      <c r="AF288"/>
      <c r="AM288" s="6"/>
      <c r="AN288" s="6"/>
    </row>
    <row r="289" spans="1:40" ht="12.75">
      <c r="A289" s="39"/>
      <c r="M289" s="6"/>
      <c r="N289" s="6"/>
      <c r="O289" s="6"/>
      <c r="P289" s="6"/>
      <c r="Q289" s="1"/>
      <c r="R289" s="6"/>
      <c r="S289" s="1"/>
      <c r="U289" s="6"/>
      <c r="V289" s="1"/>
      <c r="AE289"/>
      <c r="AF289"/>
      <c r="AM289" s="6"/>
      <c r="AN289" s="6"/>
    </row>
    <row r="290" spans="1:40" ht="12.75">
      <c r="A290" s="39"/>
      <c r="M290" s="6"/>
      <c r="N290" s="6"/>
      <c r="O290" s="6"/>
      <c r="P290" s="6"/>
      <c r="Q290" s="1"/>
      <c r="R290" s="6"/>
      <c r="S290" s="1"/>
      <c r="U290" s="6"/>
      <c r="V290" s="1"/>
      <c r="AE290"/>
      <c r="AF290"/>
      <c r="AM290" s="6"/>
      <c r="AN290" s="6"/>
    </row>
    <row r="291" spans="1:40" ht="12.75">
      <c r="A291" s="39"/>
      <c r="M291" s="6"/>
      <c r="N291" s="6"/>
      <c r="O291" s="6"/>
      <c r="P291" s="6"/>
      <c r="Q291" s="1"/>
      <c r="R291" s="6"/>
      <c r="S291" s="1"/>
      <c r="U291" s="6"/>
      <c r="V291" s="1"/>
      <c r="AE291"/>
      <c r="AF291"/>
      <c r="AM291" s="6"/>
      <c r="AN291" s="6"/>
    </row>
    <row r="292" spans="1:40" ht="12.75">
      <c r="A292" s="39"/>
      <c r="M292" s="6"/>
      <c r="N292" s="6"/>
      <c r="O292" s="6"/>
      <c r="P292" s="6"/>
      <c r="Q292" s="1"/>
      <c r="R292" s="6"/>
      <c r="S292" s="1"/>
      <c r="U292" s="6"/>
      <c r="V292" s="1"/>
      <c r="AE292"/>
      <c r="AF292"/>
      <c r="AM292" s="6"/>
      <c r="AN292" s="6"/>
    </row>
    <row r="293" spans="1:41" ht="12.75">
      <c r="A293" s="39"/>
      <c r="M293" s="6"/>
      <c r="N293" s="6"/>
      <c r="O293" s="6"/>
      <c r="P293" s="6"/>
      <c r="Q293" s="1"/>
      <c r="R293" s="6"/>
      <c r="S293" s="1"/>
      <c r="T293" s="2"/>
      <c r="U293" s="6"/>
      <c r="V293" s="1"/>
      <c r="AE293"/>
      <c r="AF293"/>
      <c r="AN293" s="6"/>
      <c r="AO293" s="6"/>
    </row>
    <row r="294" spans="1:41" ht="12.75">
      <c r="A294" s="39"/>
      <c r="M294" s="6"/>
      <c r="N294" s="6"/>
      <c r="O294" s="6"/>
      <c r="P294" s="6"/>
      <c r="Q294" s="1"/>
      <c r="R294" s="6"/>
      <c r="S294" s="1"/>
      <c r="T294" s="2"/>
      <c r="U294" s="6"/>
      <c r="V294" s="1"/>
      <c r="AE294"/>
      <c r="AF294"/>
      <c r="AN294" s="6"/>
      <c r="AO294" s="6"/>
    </row>
    <row r="295" spans="1:41" ht="12.75">
      <c r="A295" s="39"/>
      <c r="M295" s="6"/>
      <c r="N295" s="6"/>
      <c r="O295" s="6"/>
      <c r="P295" s="6"/>
      <c r="Q295" s="1"/>
      <c r="R295" s="6"/>
      <c r="S295" s="1"/>
      <c r="T295" s="2"/>
      <c r="U295" s="6"/>
      <c r="V295" s="1"/>
      <c r="AE295"/>
      <c r="AF295"/>
      <c r="AN295" s="6"/>
      <c r="AO295" s="6"/>
    </row>
    <row r="296" spans="1:41" ht="12.75">
      <c r="A296" s="39"/>
      <c r="M296" s="6"/>
      <c r="N296" s="6"/>
      <c r="O296" s="6"/>
      <c r="P296" s="6"/>
      <c r="Q296" s="1"/>
      <c r="R296" s="6"/>
      <c r="S296" s="1"/>
      <c r="T296" s="2"/>
      <c r="U296" s="6"/>
      <c r="V296" s="1"/>
      <c r="AE296"/>
      <c r="AF296"/>
      <c r="AN296" s="6"/>
      <c r="AO296" s="6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9" ht="12.75">
      <c r="A309" s="39"/>
    </row>
    <row r="496" spans="6:12" ht="12.75">
      <c r="F496" s="6" t="s">
        <v>74</v>
      </c>
      <c r="G496" s="6" t="s">
        <v>74</v>
      </c>
      <c r="H496" s="6" t="s">
        <v>74</v>
      </c>
      <c r="I496" s="6" t="s">
        <v>74</v>
      </c>
      <c r="J496" s="6" t="s">
        <v>74</v>
      </c>
      <c r="K496" s="6" t="s">
        <v>74</v>
      </c>
      <c r="L496" s="6" t="s">
        <v>74</v>
      </c>
    </row>
  </sheetData>
  <printOptions/>
  <pageMargins left="0.57" right="0.21" top="0.17" bottom="0.5118110236220472" header="0.16" footer="0.5118110236220472"/>
  <pageSetup horizontalDpi="600" verticalDpi="600" orientation="landscape" paperSize="9" scale="80" r:id="rId1"/>
  <rowBreaks count="5" manualBreakCount="5">
    <brk id="50" max="11" man="1"/>
    <brk id="92" max="11" man="1"/>
    <brk id="125" max="11" man="1"/>
    <brk id="173" max="11" man="1"/>
    <brk id="268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94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netti'!F23</f>
        <v>0</v>
      </c>
      <c r="C3" s="7">
        <f>+'Cons spec tot e finalizzati'!G26</f>
        <v>0</v>
      </c>
    </row>
    <row r="4" spans="1:3" ht="12.75">
      <c r="A4">
        <v>1998</v>
      </c>
      <c r="B4" s="136">
        <f>+'Cons spec netti'!G23</f>
        <v>0</v>
      </c>
      <c r="C4" s="7">
        <f>+'Cons spec tot e finalizzati'!I26</f>
        <v>0</v>
      </c>
    </row>
    <row r="5" spans="1:3" ht="12.75">
      <c r="A5">
        <v>1999</v>
      </c>
      <c r="B5" s="136">
        <f>+'Cons spec netti'!H23</f>
        <v>0</v>
      </c>
      <c r="C5" s="7">
        <f>+'Cons spec tot e finalizzati'!K26</f>
        <v>0</v>
      </c>
    </row>
    <row r="6" spans="1:3" ht="12.75">
      <c r="A6">
        <v>2000</v>
      </c>
      <c r="B6" s="136">
        <f>+'Cons spec netti'!I23</f>
        <v>250</v>
      </c>
      <c r="C6" s="7">
        <f>+'Cons spec tot e finalizzati'!M26</f>
        <v>0</v>
      </c>
    </row>
    <row r="7" spans="1:3" ht="12.75">
      <c r="A7">
        <v>2001</v>
      </c>
      <c r="B7" s="136">
        <f>+'Cons spec netti'!J23</f>
        <v>874</v>
      </c>
      <c r="C7" s="7">
        <f>+'Cons spec tot e finalizzati'!O26</f>
        <v>0</v>
      </c>
    </row>
    <row r="8" spans="1:3" ht="12.75">
      <c r="A8">
        <v>2002</v>
      </c>
      <c r="B8" s="136">
        <f>+'Cons spec netti'!K23</f>
        <v>810</v>
      </c>
      <c r="C8" s="7">
        <f>+'Cons spec tot e finalizzati'!Q26</f>
        <v>0</v>
      </c>
    </row>
    <row r="9" spans="1:3" ht="12.75">
      <c r="A9">
        <v>2003</v>
      </c>
      <c r="B9" s="136">
        <f>+'Cons spec netti'!L23</f>
        <v>916</v>
      </c>
      <c r="C9" s="7">
        <f>+'Cons spec tot e finalizzati'!S26</f>
        <v>0</v>
      </c>
    </row>
    <row r="10" spans="2:3" ht="12.75">
      <c r="B10" s="137"/>
      <c r="C10" s="137"/>
    </row>
    <row r="11" spans="2:3" ht="12.75">
      <c r="B11" s="137"/>
      <c r="C11" s="137"/>
    </row>
    <row r="12" ht="12.75">
      <c r="B12" s="138"/>
    </row>
    <row r="13" spans="2:3" ht="12.75">
      <c r="B13" s="138"/>
      <c r="C13" s="137"/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109</v>
      </c>
    </row>
    <row r="2" spans="2:3" ht="12.75">
      <c r="B2" t="s">
        <v>80</v>
      </c>
      <c r="C2" t="s">
        <v>98</v>
      </c>
    </row>
    <row r="3" spans="1:5" ht="12.75">
      <c r="A3">
        <v>1997</v>
      </c>
      <c r="B3" s="136">
        <f>+'Cons spec netti'!F174</f>
        <v>1757</v>
      </c>
      <c r="C3" s="7">
        <f>+'Cons spec tot e finalizzati'!G177</f>
        <v>0</v>
      </c>
      <c r="E3" s="7"/>
    </row>
    <row r="4" spans="1:5" ht="12.75">
      <c r="A4">
        <v>1998</v>
      </c>
      <c r="B4" s="136">
        <f>+'Cons spec netti'!G174</f>
        <v>2208</v>
      </c>
      <c r="C4" s="7">
        <f>+'Cons spec tot e finalizzati'!I177</f>
        <v>0</v>
      </c>
      <c r="E4" s="7"/>
    </row>
    <row r="5" spans="1:5" ht="12.75">
      <c r="A5">
        <v>1999</v>
      </c>
      <c r="B5" s="136">
        <f>+'Cons spec netti'!H174</f>
        <v>2376</v>
      </c>
      <c r="C5" s="7">
        <f>+'Cons spec tot e finalizzati'!K177</f>
        <v>0</v>
      </c>
      <c r="E5" s="7"/>
    </row>
    <row r="6" spans="1:5" ht="12.75">
      <c r="A6">
        <v>2000</v>
      </c>
      <c r="B6" s="136">
        <f>+'Cons spec netti'!I174</f>
        <v>3220</v>
      </c>
      <c r="C6" s="7">
        <f>+'Cons spec tot e finalizzati'!M177</f>
        <v>0</v>
      </c>
      <c r="D6" s="136"/>
      <c r="E6" s="7"/>
    </row>
    <row r="7" spans="1:5" ht="12.75">
      <c r="A7">
        <v>2001</v>
      </c>
      <c r="B7" s="136">
        <f>+'Cons spec netti'!J174</f>
        <v>2986</v>
      </c>
      <c r="C7" s="7">
        <f>+'Cons spec tot e finalizzati'!O177</f>
        <v>0</v>
      </c>
      <c r="E7" s="7"/>
    </row>
    <row r="8" spans="1:5" ht="12.75">
      <c r="A8">
        <v>2002</v>
      </c>
      <c r="B8" s="136">
        <f>+'Cons spec netti'!K174</f>
        <v>2237</v>
      </c>
      <c r="C8" s="7">
        <f>+'Cons spec tot e finalizzati'!Q177</f>
        <v>677</v>
      </c>
      <c r="D8" s="74"/>
      <c r="E8" s="7"/>
    </row>
    <row r="9" spans="1:5" ht="12.75">
      <c r="A9">
        <v>2003</v>
      </c>
      <c r="B9" s="136">
        <f>+'Cons spec netti'!L174</f>
        <v>3430</v>
      </c>
      <c r="C9" s="7">
        <f>+'Cons spec tot e finalizzati'!S177</f>
        <v>867</v>
      </c>
      <c r="D9" s="74"/>
      <c r="E9" s="7"/>
    </row>
    <row r="10" spans="2:3" ht="12.75">
      <c r="B10" t="s">
        <v>99</v>
      </c>
      <c r="C10" t="s">
        <v>82</v>
      </c>
    </row>
    <row r="11" spans="1:4" ht="12.75">
      <c r="A11">
        <v>1997</v>
      </c>
      <c r="B11" s="137">
        <v>100</v>
      </c>
      <c r="C11" s="137">
        <v>100</v>
      </c>
      <c r="D11" s="139"/>
    </row>
    <row r="12" spans="1:3" ht="12.75">
      <c r="A12">
        <v>1998</v>
      </c>
      <c r="B12" s="137">
        <f aca="true" t="shared" si="0" ref="B12:B17">+B4/$B$3*100</f>
        <v>125.66875355719978</v>
      </c>
      <c r="C12" s="137">
        <v>102.2</v>
      </c>
    </row>
    <row r="13" spans="1:3" ht="12.75">
      <c r="A13">
        <v>1999</v>
      </c>
      <c r="B13" s="137">
        <f t="shared" si="0"/>
        <v>135.23050654524758</v>
      </c>
      <c r="C13" s="137">
        <v>104</v>
      </c>
    </row>
    <row r="14" spans="1:3" ht="12.75">
      <c r="A14">
        <v>2000</v>
      </c>
      <c r="B14" s="137">
        <f t="shared" si="0"/>
        <v>183.26693227091633</v>
      </c>
      <c r="C14" s="137">
        <v>106.5</v>
      </c>
    </row>
    <row r="15" spans="1:3" ht="12.75">
      <c r="A15">
        <v>2001</v>
      </c>
      <c r="B15" s="137">
        <f t="shared" si="0"/>
        <v>169.9487763232783</v>
      </c>
      <c r="C15">
        <v>109.3</v>
      </c>
    </row>
    <row r="16" spans="1:3" ht="12.75">
      <c r="A16">
        <v>2002</v>
      </c>
      <c r="B16" s="137">
        <f t="shared" si="0"/>
        <v>127.31929425156517</v>
      </c>
      <c r="C16" s="137">
        <v>112</v>
      </c>
    </row>
    <row r="17" spans="1:3" ht="12.75">
      <c r="A17">
        <v>2003</v>
      </c>
      <c r="B17" s="137">
        <f t="shared" si="0"/>
        <v>195.21912350597609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93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netti'!F20</f>
        <v>303</v>
      </c>
      <c r="C3" s="7">
        <f>+'Cons spec tot e finalizzati'!G23</f>
        <v>0</v>
      </c>
    </row>
    <row r="4" spans="1:3" ht="12.75">
      <c r="A4">
        <v>1998</v>
      </c>
      <c r="B4" s="136">
        <f>+'Cons spec netti'!G20</f>
        <v>334</v>
      </c>
      <c r="C4" s="7">
        <f>+'Cons spec tot e finalizzati'!I23</f>
        <v>0</v>
      </c>
    </row>
    <row r="5" spans="1:3" ht="12.75">
      <c r="A5">
        <v>1999</v>
      </c>
      <c r="B5" s="136">
        <f>+'Cons spec netti'!H20</f>
        <v>315</v>
      </c>
      <c r="C5" s="7">
        <f>+'Cons spec tot e finalizzati'!K23</f>
        <v>0</v>
      </c>
    </row>
    <row r="6" spans="1:3" ht="12.75">
      <c r="A6">
        <v>2000</v>
      </c>
      <c r="B6" s="136">
        <f>+'Cons spec netti'!I20</f>
        <v>361</v>
      </c>
      <c r="C6" s="7">
        <f>+'Cons spec tot e finalizzati'!M23</f>
        <v>0</v>
      </c>
    </row>
    <row r="7" spans="1:3" ht="12.75">
      <c r="A7">
        <v>2001</v>
      </c>
      <c r="B7" s="136">
        <f>+'Cons spec netti'!J20</f>
        <v>339</v>
      </c>
      <c r="C7" s="7">
        <f>+'Cons spec tot e finalizzati'!O23</f>
        <v>0</v>
      </c>
    </row>
    <row r="8" spans="1:3" ht="12.75">
      <c r="A8">
        <v>2002</v>
      </c>
      <c r="B8" s="136">
        <f>+'Cons spec netti'!K20</f>
        <v>265</v>
      </c>
      <c r="C8" s="7">
        <f>+'Cons spec tot e finalizzati'!Q23</f>
        <v>0</v>
      </c>
    </row>
    <row r="9" spans="1:3" ht="12.75">
      <c r="A9">
        <v>2003</v>
      </c>
      <c r="B9" s="136">
        <f>+'Cons spec netti'!L20</f>
        <v>250</v>
      </c>
      <c r="C9" s="7">
        <f>+'Cons spec tot e finalizzati'!S23</f>
        <v>0</v>
      </c>
    </row>
    <row r="10" spans="2:3" ht="12.75">
      <c r="B10" t="s">
        <v>81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110.23102310231023</v>
      </c>
      <c r="C12" s="137">
        <v>102.2</v>
      </c>
    </row>
    <row r="13" spans="1:3" ht="12.75">
      <c r="A13">
        <v>1999</v>
      </c>
      <c r="B13" s="137">
        <f t="shared" si="0"/>
        <v>103.96039603960396</v>
      </c>
      <c r="C13" s="137">
        <v>104</v>
      </c>
    </row>
    <row r="14" spans="1:3" ht="12.75">
      <c r="A14">
        <v>2000</v>
      </c>
      <c r="B14" s="137">
        <f t="shared" si="0"/>
        <v>119.14191419141915</v>
      </c>
      <c r="C14" s="137">
        <v>106.5</v>
      </c>
    </row>
    <row r="15" spans="1:3" ht="12.75">
      <c r="A15">
        <v>2001</v>
      </c>
      <c r="B15" s="137">
        <f t="shared" si="0"/>
        <v>111.88118811881189</v>
      </c>
      <c r="C15">
        <v>109.3</v>
      </c>
    </row>
    <row r="16" spans="1:3" ht="12.75">
      <c r="A16">
        <v>2002</v>
      </c>
      <c r="B16" s="137">
        <f t="shared" si="0"/>
        <v>87.45874587458746</v>
      </c>
      <c r="C16" s="137">
        <v>112</v>
      </c>
    </row>
    <row r="17" spans="1:3" ht="12.75">
      <c r="A17">
        <v>2003</v>
      </c>
      <c r="B17" s="137">
        <f t="shared" si="0"/>
        <v>82.50825082508251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netti'!F21</f>
        <v>98</v>
      </c>
      <c r="C3" s="7">
        <f>+'Cons spec tot e finalizzati'!G24</f>
        <v>48</v>
      </c>
    </row>
    <row r="4" spans="1:3" ht="12.75">
      <c r="A4">
        <v>1998</v>
      </c>
      <c r="B4" s="136">
        <f>+'Cons spec netti'!G21</f>
        <v>98</v>
      </c>
      <c r="C4" s="7">
        <f>+'Cons spec tot e finalizzati'!I24</f>
        <v>40</v>
      </c>
    </row>
    <row r="5" spans="1:3" ht="12.75">
      <c r="A5">
        <v>1999</v>
      </c>
      <c r="B5" s="136">
        <f>+'Cons spec netti'!H21</f>
        <v>160</v>
      </c>
      <c r="C5" s="7">
        <f>+'Cons spec tot e finalizzati'!K24</f>
        <v>22</v>
      </c>
    </row>
    <row r="6" spans="1:3" ht="12.75">
      <c r="A6">
        <v>2000</v>
      </c>
      <c r="B6" s="136">
        <f>+'Cons spec netti'!I21</f>
        <v>124</v>
      </c>
      <c r="C6" s="7">
        <f>+'Cons spec tot e finalizzati'!M24</f>
        <v>5</v>
      </c>
    </row>
    <row r="7" spans="1:3" ht="12.75">
      <c r="A7">
        <v>2001</v>
      </c>
      <c r="B7" s="136">
        <f>+'Cons spec netti'!J21</f>
        <v>115</v>
      </c>
      <c r="C7" s="7">
        <f>+'Cons spec tot e finalizzati'!O24</f>
        <v>0</v>
      </c>
    </row>
    <row r="8" spans="1:3" ht="12.75">
      <c r="A8">
        <v>2002</v>
      </c>
      <c r="B8" s="136">
        <f>+'Cons spec netti'!K21</f>
        <v>92</v>
      </c>
      <c r="C8" s="7">
        <f>+'Cons spec tot e finalizzati'!Q24</f>
        <v>0</v>
      </c>
    </row>
    <row r="9" spans="1:3" ht="12.75">
      <c r="A9">
        <v>2003</v>
      </c>
      <c r="B9" s="136">
        <f>+'Cons spec netti'!L21</f>
        <v>87</v>
      </c>
      <c r="C9" s="7">
        <f>+'Cons spec tot e finalizzati'!S24</f>
        <v>5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100</v>
      </c>
      <c r="C12" s="137">
        <v>102.2</v>
      </c>
    </row>
    <row r="13" spans="1:3" ht="12.75">
      <c r="A13">
        <v>1999</v>
      </c>
      <c r="B13" s="137">
        <f t="shared" si="0"/>
        <v>163.26530612244898</v>
      </c>
      <c r="C13" s="137">
        <v>104</v>
      </c>
    </row>
    <row r="14" spans="1:3" ht="12.75">
      <c r="A14">
        <v>2000</v>
      </c>
      <c r="B14" s="137">
        <f t="shared" si="0"/>
        <v>126.53061224489797</v>
      </c>
      <c r="C14" s="137">
        <v>106.5</v>
      </c>
    </row>
    <row r="15" spans="1:3" ht="12.75">
      <c r="A15">
        <v>2001</v>
      </c>
      <c r="B15" s="137">
        <f t="shared" si="0"/>
        <v>117.34693877551021</v>
      </c>
      <c r="C15">
        <v>109.3</v>
      </c>
    </row>
    <row r="16" spans="1:3" ht="12.75">
      <c r="A16">
        <v>2002</v>
      </c>
      <c r="B16" s="137">
        <f t="shared" si="0"/>
        <v>93.87755102040816</v>
      </c>
      <c r="C16" s="137">
        <v>112</v>
      </c>
    </row>
    <row r="17" spans="1:3" ht="12.75">
      <c r="A17">
        <v>2003</v>
      </c>
      <c r="B17" s="137">
        <f t="shared" si="0"/>
        <v>88.77551020408163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netti'!F22</f>
        <v>187</v>
      </c>
      <c r="C3" s="7">
        <f>+'Cons spec tot e finalizzati'!G25</f>
        <v>0</v>
      </c>
    </row>
    <row r="4" spans="1:3" ht="12.75">
      <c r="A4">
        <v>1998</v>
      </c>
      <c r="B4" s="136">
        <f>+'Cons spec netti'!G22</f>
        <v>278</v>
      </c>
      <c r="C4" s="7">
        <f>+'Cons spec tot e finalizzati'!I25</f>
        <v>0</v>
      </c>
    </row>
    <row r="5" spans="1:3" ht="12.75">
      <c r="A5">
        <v>1999</v>
      </c>
      <c r="B5" s="136">
        <f>+'Cons spec netti'!H22</f>
        <v>315</v>
      </c>
      <c r="C5" s="7">
        <f>+'Cons spec tot e finalizzati'!K25</f>
        <v>0</v>
      </c>
    </row>
    <row r="6" spans="1:3" ht="12.75">
      <c r="A6">
        <v>2000</v>
      </c>
      <c r="B6" s="136">
        <f>+'Cons spec netti'!I22</f>
        <v>227</v>
      </c>
      <c r="C6" s="7">
        <f>+'Cons spec tot e finalizzati'!M25</f>
        <v>0</v>
      </c>
    </row>
    <row r="7" spans="1:3" ht="12.75">
      <c r="A7">
        <v>2001</v>
      </c>
      <c r="B7" s="136">
        <f>+'Cons spec netti'!J22</f>
        <v>239</v>
      </c>
      <c r="C7" s="7">
        <f>+'Cons spec tot e finalizzati'!O25</f>
        <v>0</v>
      </c>
    </row>
    <row r="8" spans="1:3" ht="12.75">
      <c r="A8">
        <v>2002</v>
      </c>
      <c r="B8" s="136">
        <f>+'Cons spec netti'!K22</f>
        <v>280</v>
      </c>
      <c r="C8" s="7">
        <f>+'Cons spec tot e finalizzati'!Q25</f>
        <v>0</v>
      </c>
    </row>
    <row r="9" spans="1:3" ht="12.75">
      <c r="A9">
        <v>2003</v>
      </c>
      <c r="B9" s="136">
        <f>+'Cons spec netti'!L22</f>
        <v>265</v>
      </c>
      <c r="C9" s="7">
        <f>+'Cons spec tot e finalizzati'!S25</f>
        <v>0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148.66310160427807</v>
      </c>
      <c r="C12" s="137">
        <v>102.2</v>
      </c>
    </row>
    <row r="13" spans="1:3" ht="12.75">
      <c r="A13">
        <v>1999</v>
      </c>
      <c r="B13" s="137">
        <f t="shared" si="0"/>
        <v>168.44919786096258</v>
      </c>
      <c r="C13" s="137">
        <v>104</v>
      </c>
    </row>
    <row r="14" spans="1:3" ht="12.75">
      <c r="A14">
        <v>2000</v>
      </c>
      <c r="B14" s="137">
        <f t="shared" si="0"/>
        <v>121.3903743315508</v>
      </c>
      <c r="C14" s="137">
        <v>106.5</v>
      </c>
    </row>
    <row r="15" spans="1:3" ht="12.75">
      <c r="A15">
        <v>2001</v>
      </c>
      <c r="B15" s="137">
        <f t="shared" si="0"/>
        <v>127.80748663101605</v>
      </c>
      <c r="C15">
        <v>109.3</v>
      </c>
    </row>
    <row r="16" spans="1:3" ht="12.75">
      <c r="A16">
        <v>2002</v>
      </c>
      <c r="B16" s="137">
        <f t="shared" si="0"/>
        <v>149.7326203208556</v>
      </c>
      <c r="C16" s="137">
        <v>112</v>
      </c>
    </row>
    <row r="17" spans="1:3" ht="12.75">
      <c r="A17">
        <v>2003</v>
      </c>
      <c r="B17" s="137">
        <f t="shared" si="0"/>
        <v>141.71122994652404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115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netti'!F32</f>
        <v>760</v>
      </c>
      <c r="C3" s="7">
        <f>+'Cons spec tot e finalizzati'!G35</f>
        <v>0</v>
      </c>
    </row>
    <row r="4" spans="1:3" ht="12.75">
      <c r="A4">
        <v>1998</v>
      </c>
      <c r="B4" s="136">
        <f>+'Cons spec netti'!G32</f>
        <v>903</v>
      </c>
      <c r="C4" s="7">
        <f>+'Cons spec tot e finalizzati'!I35</f>
        <v>0</v>
      </c>
    </row>
    <row r="5" spans="1:3" ht="12.75">
      <c r="A5">
        <v>1999</v>
      </c>
      <c r="B5" s="136">
        <f>+'Cons spec netti'!H32</f>
        <v>934</v>
      </c>
      <c r="C5" s="7">
        <f>+'Cons spec tot e finalizzati'!K35</f>
        <v>0</v>
      </c>
    </row>
    <row r="6" spans="1:3" ht="12.75">
      <c r="A6">
        <v>2000</v>
      </c>
      <c r="B6" s="136">
        <f>+'Cons spec netti'!I32</f>
        <v>1116</v>
      </c>
      <c r="C6" s="7">
        <f>+'Cons spec tot e finalizzati'!M35</f>
        <v>0</v>
      </c>
    </row>
    <row r="7" spans="1:3" ht="12.75">
      <c r="A7">
        <v>2001</v>
      </c>
      <c r="B7" s="136">
        <f>+'Cons spec netti'!J32</f>
        <v>1473</v>
      </c>
      <c r="C7" s="7">
        <f>+'Cons spec tot e finalizzati'!O35</f>
        <v>0</v>
      </c>
    </row>
    <row r="8" spans="1:3" ht="12.75">
      <c r="A8">
        <v>2002</v>
      </c>
      <c r="B8" s="136">
        <f>+'Cons spec netti'!K32</f>
        <v>2096</v>
      </c>
      <c r="C8" s="7">
        <f>+'Cons spec tot e finalizzati'!Q35</f>
        <v>0</v>
      </c>
    </row>
    <row r="9" spans="1:3" ht="12.75">
      <c r="A9">
        <v>2003</v>
      </c>
      <c r="B9" s="136">
        <f>+'Cons spec netti'!L32</f>
        <v>3350</v>
      </c>
      <c r="C9" s="7">
        <f>+'Cons spec tot e finalizzati'!S35</f>
        <v>0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118.8157894736842</v>
      </c>
      <c r="C12" s="137">
        <v>102.2</v>
      </c>
    </row>
    <row r="13" spans="1:3" ht="12.75">
      <c r="A13">
        <v>1999</v>
      </c>
      <c r="B13" s="137">
        <f t="shared" si="0"/>
        <v>122.89473684210526</v>
      </c>
      <c r="C13" s="137">
        <v>104</v>
      </c>
    </row>
    <row r="14" spans="1:3" ht="12.75">
      <c r="A14">
        <v>2000</v>
      </c>
      <c r="B14" s="137">
        <f t="shared" si="0"/>
        <v>146.8421052631579</v>
      </c>
      <c r="C14" s="137">
        <v>106.5</v>
      </c>
    </row>
    <row r="15" spans="1:3" ht="12.75">
      <c r="A15">
        <v>2001</v>
      </c>
      <c r="B15" s="137">
        <f t="shared" si="0"/>
        <v>193.81578947368422</v>
      </c>
      <c r="C15">
        <v>109.3</v>
      </c>
    </row>
    <row r="16" spans="1:3" ht="12.75">
      <c r="A16">
        <v>2002</v>
      </c>
      <c r="B16" s="137">
        <f t="shared" si="0"/>
        <v>275.7894736842105</v>
      </c>
      <c r="C16" s="137">
        <v>112</v>
      </c>
    </row>
    <row r="17" spans="1:3" ht="12.75">
      <c r="A17">
        <v>2003</v>
      </c>
      <c r="B17" s="137">
        <f t="shared" si="0"/>
        <v>440.7894736842105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netti'!F69</f>
        <v>143</v>
      </c>
      <c r="C3" s="7">
        <f>+'Cons spec tot e finalizzati'!G72</f>
        <v>0</v>
      </c>
    </row>
    <row r="4" spans="1:3" ht="12.75">
      <c r="A4">
        <v>1998</v>
      </c>
      <c r="B4" s="136">
        <f>+'Cons spec netti'!G69</f>
        <v>173</v>
      </c>
      <c r="C4" s="7">
        <f>+'Cons spec tot e finalizzati'!I72</f>
        <v>0</v>
      </c>
    </row>
    <row r="5" spans="1:3" ht="12.75">
      <c r="A5">
        <v>1999</v>
      </c>
      <c r="B5" s="136">
        <f>+'Cons spec netti'!H69</f>
        <v>172</v>
      </c>
      <c r="C5" s="7">
        <f>+'Cons spec tot e finalizzati'!K72</f>
        <v>0</v>
      </c>
    </row>
    <row r="6" spans="1:3" ht="12.75">
      <c r="A6">
        <v>2000</v>
      </c>
      <c r="B6" s="136">
        <f>+'Cons spec netti'!I69</f>
        <v>172</v>
      </c>
      <c r="C6" s="7">
        <f>+'Cons spec tot e finalizzati'!M72</f>
        <v>0</v>
      </c>
    </row>
    <row r="7" spans="1:3" ht="12.75">
      <c r="A7">
        <v>2001</v>
      </c>
      <c r="B7" s="136">
        <f>+'Cons spec netti'!J69</f>
        <v>131</v>
      </c>
      <c r="C7" s="7">
        <f>+'Cons spec tot e finalizzati'!O72</f>
        <v>0</v>
      </c>
    </row>
    <row r="8" spans="1:3" ht="12.75">
      <c r="A8">
        <v>2002</v>
      </c>
      <c r="B8" s="136">
        <f>+'Cons spec netti'!K69</f>
        <v>189</v>
      </c>
      <c r="C8" s="7">
        <f>+'Cons spec tot e finalizzati'!Q72</f>
        <v>0</v>
      </c>
    </row>
    <row r="9" spans="1:3" ht="12.75">
      <c r="A9">
        <v>2003</v>
      </c>
      <c r="B9" s="136">
        <f>+'Cons spec netti'!L69</f>
        <v>240</v>
      </c>
      <c r="C9" s="7">
        <f>+'Cons spec tot e finalizzati'!S72</f>
        <v>0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120.97902097902097</v>
      </c>
      <c r="C12" s="137">
        <v>102.2</v>
      </c>
    </row>
    <row r="13" spans="1:3" ht="12.75">
      <c r="A13">
        <v>1999</v>
      </c>
      <c r="B13" s="137">
        <f t="shared" si="0"/>
        <v>120.27972027972027</v>
      </c>
      <c r="C13" s="137">
        <v>104</v>
      </c>
    </row>
    <row r="14" spans="1:3" ht="12.75">
      <c r="A14">
        <v>2000</v>
      </c>
      <c r="B14" s="137">
        <f t="shared" si="0"/>
        <v>120.27972027972027</v>
      </c>
      <c r="C14" s="137">
        <v>106.5</v>
      </c>
    </row>
    <row r="15" spans="1:3" ht="12.75">
      <c r="A15">
        <v>2001</v>
      </c>
      <c r="B15" s="137">
        <f t="shared" si="0"/>
        <v>91.6083916083916</v>
      </c>
      <c r="C15">
        <v>109.3</v>
      </c>
    </row>
    <row r="16" spans="1:3" ht="12.75">
      <c r="A16">
        <v>2002</v>
      </c>
      <c r="B16" s="137">
        <f t="shared" si="0"/>
        <v>132.16783216783216</v>
      </c>
      <c r="C16" s="137">
        <v>112</v>
      </c>
    </row>
    <row r="17" spans="1:3" ht="12.75">
      <c r="A17">
        <v>2003</v>
      </c>
      <c r="B17" s="137">
        <f t="shared" si="0"/>
        <v>167.83216783216784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4" ht="12.75">
      <c r="A3">
        <v>1997</v>
      </c>
      <c r="B3" s="136">
        <f>+'Cons spec netti'!F158</f>
        <v>1141</v>
      </c>
      <c r="C3" s="7">
        <f>+'Cons spec tot e finalizzati'!G161</f>
        <v>0</v>
      </c>
      <c r="D3" s="7"/>
    </row>
    <row r="4" spans="1:4" ht="12.75">
      <c r="A4">
        <v>1998</v>
      </c>
      <c r="B4" s="136">
        <f>+'Cons spec netti'!G158</f>
        <v>1106</v>
      </c>
      <c r="C4" s="7">
        <f>+'Cons spec tot e finalizzati'!I161</f>
        <v>44</v>
      </c>
      <c r="D4" s="7"/>
    </row>
    <row r="5" spans="1:4" ht="12.75">
      <c r="A5">
        <v>1999</v>
      </c>
      <c r="B5" s="136">
        <f>+'Cons spec netti'!H158</f>
        <v>1402</v>
      </c>
      <c r="C5" s="7">
        <f>+'Cons spec tot e finalizzati'!K161</f>
        <v>49</v>
      </c>
      <c r="D5" s="7"/>
    </row>
    <row r="6" spans="1:4" ht="12.75">
      <c r="A6">
        <v>2000</v>
      </c>
      <c r="B6" s="136">
        <f>+'Cons spec netti'!I158</f>
        <v>1380</v>
      </c>
      <c r="C6" s="7">
        <f>+'Cons spec tot e finalizzati'!M161</f>
        <v>81</v>
      </c>
      <c r="D6" s="7"/>
    </row>
    <row r="7" spans="1:4" ht="12.75">
      <c r="A7">
        <v>2001</v>
      </c>
      <c r="B7" s="136">
        <f>+'Cons spec netti'!J158</f>
        <v>1451.769603412747</v>
      </c>
      <c r="C7" s="7">
        <f>+'Cons spec tot e finalizzati'!O161</f>
        <v>202.2303965872528</v>
      </c>
      <c r="D7" s="7"/>
    </row>
    <row r="8" spans="1:4" ht="12.75">
      <c r="A8">
        <v>2002</v>
      </c>
      <c r="B8" s="136">
        <f>+'Cons spec netti'!K158</f>
        <v>1079</v>
      </c>
      <c r="C8" s="7">
        <f>+'Cons spec tot e finalizzati'!Q161</f>
        <v>141</v>
      </c>
      <c r="D8" s="7"/>
    </row>
    <row r="9" spans="1:4" ht="12.75">
      <c r="A9">
        <v>2003</v>
      </c>
      <c r="B9" s="136">
        <f>+'Cons spec netti'!L158</f>
        <v>1020</v>
      </c>
      <c r="C9" s="7">
        <f>+'Cons spec tot e finalizzati'!S161</f>
        <v>110</v>
      </c>
      <c r="D9" s="7"/>
    </row>
    <row r="10" spans="2:3" ht="12.75">
      <c r="B10" t="s">
        <v>81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96.93251533742331</v>
      </c>
      <c r="C12" s="137">
        <v>102.2</v>
      </c>
    </row>
    <row r="13" spans="1:3" ht="12.75">
      <c r="A13">
        <v>1999</v>
      </c>
      <c r="B13" s="137">
        <f t="shared" si="0"/>
        <v>122.87467134092903</v>
      </c>
      <c r="C13" s="137">
        <v>104</v>
      </c>
    </row>
    <row r="14" spans="1:3" ht="12.75">
      <c r="A14">
        <v>2000</v>
      </c>
      <c r="B14" s="137">
        <f t="shared" si="0"/>
        <v>120.94653812445225</v>
      </c>
      <c r="C14" s="137">
        <v>106.5</v>
      </c>
    </row>
    <row r="15" spans="1:3" ht="12.75">
      <c r="A15">
        <v>2001</v>
      </c>
      <c r="B15" s="137">
        <f t="shared" si="0"/>
        <v>127.23659977324691</v>
      </c>
      <c r="C15">
        <v>109.3</v>
      </c>
    </row>
    <row r="16" spans="1:3" ht="12.75">
      <c r="A16">
        <v>2002</v>
      </c>
      <c r="B16" s="137">
        <f t="shared" si="0"/>
        <v>94.56617002629272</v>
      </c>
      <c r="C16" s="137">
        <v>112</v>
      </c>
    </row>
    <row r="17" spans="1:3" ht="12.75">
      <c r="A17">
        <v>2003</v>
      </c>
      <c r="B17" s="137">
        <f t="shared" si="0"/>
        <v>89.39526730937773</v>
      </c>
      <c r="C17" s="138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netti'!F180</f>
        <v>20865</v>
      </c>
      <c r="C3" s="7">
        <f>+'Cons spec tot e finalizzati'!G183</f>
        <v>0</v>
      </c>
    </row>
    <row r="4" spans="1:3" ht="12.75">
      <c r="A4">
        <v>1998</v>
      </c>
      <c r="B4" s="136">
        <f>+'Cons spec netti'!G180</f>
        <v>23377</v>
      </c>
      <c r="C4" s="7">
        <f>+'Cons spec tot e finalizzati'!I183</f>
        <v>0</v>
      </c>
    </row>
    <row r="5" spans="1:3" ht="12.75">
      <c r="A5">
        <v>1999</v>
      </c>
      <c r="B5" s="136">
        <f>+'Cons spec netti'!H180</f>
        <v>25259</v>
      </c>
      <c r="C5" s="7">
        <f>+'Cons spec tot e finalizzati'!K183</f>
        <v>21</v>
      </c>
    </row>
    <row r="6" spans="1:3" ht="12.75">
      <c r="A6">
        <v>2000</v>
      </c>
      <c r="B6" s="136">
        <f>+'Cons spec netti'!I180</f>
        <v>26872.5</v>
      </c>
      <c r="C6" s="7">
        <f>+'Cons spec tot e finalizzati'!M183</f>
        <v>605</v>
      </c>
    </row>
    <row r="7" spans="1:3" ht="12.75">
      <c r="A7">
        <v>2001</v>
      </c>
      <c r="B7" s="136">
        <f>+'Cons spec netti'!J180</f>
        <v>28608.891094733688</v>
      </c>
      <c r="C7" s="7">
        <f>+'Cons spec tot e finalizzati'!O183</f>
        <v>19.108905266311</v>
      </c>
    </row>
    <row r="8" spans="1:3" ht="12.75">
      <c r="A8">
        <v>2002</v>
      </c>
      <c r="B8" s="136">
        <f>+'Cons spec netti'!K180</f>
        <v>30082</v>
      </c>
      <c r="C8" s="7">
        <f>+'Cons spec tot e finalizzati'!Q183</f>
        <v>31</v>
      </c>
    </row>
    <row r="9" spans="1:3" ht="12.75">
      <c r="A9">
        <v>2003</v>
      </c>
      <c r="B9" s="136">
        <f>+'Cons spec netti'!L180</f>
        <v>31729</v>
      </c>
      <c r="C9" s="7">
        <f>+'Cons spec tot e finalizzati'!S183</f>
        <v>19</v>
      </c>
    </row>
    <row r="10" spans="2:3" ht="12.75">
      <c r="B10" t="s">
        <v>81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112.03930026359934</v>
      </c>
      <c r="C12" s="137">
        <v>102.2</v>
      </c>
    </row>
    <row r="13" spans="1:3" ht="12.75">
      <c r="A13">
        <v>1999</v>
      </c>
      <c r="B13" s="137">
        <f t="shared" si="0"/>
        <v>121.05919003115264</v>
      </c>
      <c r="C13" s="137">
        <v>104</v>
      </c>
    </row>
    <row r="14" spans="1:3" ht="12.75">
      <c r="A14">
        <v>2000</v>
      </c>
      <c r="B14" s="137">
        <f t="shared" si="0"/>
        <v>128.7922358015816</v>
      </c>
      <c r="C14" s="137">
        <v>106.5</v>
      </c>
    </row>
    <row r="15" spans="1:3" ht="12.75">
      <c r="A15">
        <v>2001</v>
      </c>
      <c r="B15" s="137">
        <f t="shared" si="0"/>
        <v>137.11426357408908</v>
      </c>
      <c r="C15">
        <v>109.3</v>
      </c>
    </row>
    <row r="16" spans="1:3" ht="12.75">
      <c r="A16">
        <v>2002</v>
      </c>
      <c r="B16" s="137">
        <f t="shared" si="0"/>
        <v>144.17445482866043</v>
      </c>
      <c r="C16" s="137">
        <v>112</v>
      </c>
    </row>
    <row r="17" spans="1:3" ht="12.75">
      <c r="A17">
        <v>2003</v>
      </c>
      <c r="B17" s="137">
        <f t="shared" si="0"/>
        <v>152.06805655403787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netti'!F24</f>
        <v>784</v>
      </c>
      <c r="C3" s="7">
        <f>+'Cons spec tot e finalizzati'!G27</f>
        <v>0</v>
      </c>
    </row>
    <row r="4" spans="1:3" ht="12.75">
      <c r="A4">
        <v>1998</v>
      </c>
      <c r="B4" s="136">
        <f>+'Cons spec netti'!G24</f>
        <v>722</v>
      </c>
      <c r="C4" s="7">
        <f>+'Cons spec tot e finalizzati'!I27</f>
        <v>0</v>
      </c>
    </row>
    <row r="5" spans="1:3" ht="12.75">
      <c r="A5">
        <v>1999</v>
      </c>
      <c r="B5" s="136">
        <f>+'Cons spec netti'!H24</f>
        <v>999</v>
      </c>
      <c r="C5" s="7">
        <f>+'Cons spec tot e finalizzati'!K27</f>
        <v>41</v>
      </c>
    </row>
    <row r="6" spans="1:3" ht="12.75">
      <c r="A6">
        <v>2000</v>
      </c>
      <c r="B6" s="136">
        <f>+'Cons spec netti'!I24</f>
        <v>1194</v>
      </c>
      <c r="C6" s="7">
        <f>+'Cons spec tot e finalizzati'!M27</f>
        <v>8</v>
      </c>
    </row>
    <row r="7" spans="1:3" ht="12.75">
      <c r="A7">
        <v>2001</v>
      </c>
      <c r="B7" s="136">
        <f>+'Cons spec netti'!J24</f>
        <v>1101</v>
      </c>
      <c r="C7" s="7">
        <f>+'Cons spec tot e finalizzati'!O27</f>
        <v>0</v>
      </c>
    </row>
    <row r="8" spans="1:3" ht="12.75">
      <c r="A8">
        <v>2002</v>
      </c>
      <c r="B8" s="136">
        <f>+'Cons spec netti'!K24</f>
        <v>1440</v>
      </c>
      <c r="C8" s="7">
        <f>+'Cons spec tot e finalizzati'!Q27</f>
        <v>7</v>
      </c>
    </row>
    <row r="9" spans="1:3" ht="12.75">
      <c r="A9">
        <v>2003</v>
      </c>
      <c r="B9" s="136">
        <f>+'Cons spec netti'!L24</f>
        <v>307</v>
      </c>
      <c r="C9" s="7">
        <f>+'Cons spec tot e finalizzati'!S27</f>
        <v>7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92.09183673469387</v>
      </c>
      <c r="C12" s="137">
        <v>102.2</v>
      </c>
    </row>
    <row r="13" spans="1:3" ht="12.75">
      <c r="A13">
        <v>1999</v>
      </c>
      <c r="B13" s="137">
        <f t="shared" si="0"/>
        <v>127.4234693877551</v>
      </c>
      <c r="C13" s="137">
        <v>104</v>
      </c>
    </row>
    <row r="14" spans="1:3" ht="12.75">
      <c r="A14">
        <v>2000</v>
      </c>
      <c r="B14" s="137">
        <f t="shared" si="0"/>
        <v>152.29591836734696</v>
      </c>
      <c r="C14" s="137">
        <v>106.5</v>
      </c>
    </row>
    <row r="15" spans="1:3" ht="12.75">
      <c r="A15">
        <v>2001</v>
      </c>
      <c r="B15" s="137">
        <f t="shared" si="0"/>
        <v>140.43367346938774</v>
      </c>
      <c r="C15">
        <v>109.3</v>
      </c>
    </row>
    <row r="16" spans="1:3" ht="12.75">
      <c r="A16">
        <v>2002</v>
      </c>
      <c r="B16" s="137">
        <f t="shared" si="0"/>
        <v>183.67346938775512</v>
      </c>
      <c r="C16" s="137">
        <v>112</v>
      </c>
    </row>
    <row r="17" spans="1:3" ht="12.75">
      <c r="A17">
        <v>2003</v>
      </c>
      <c r="B17" s="137">
        <f t="shared" si="0"/>
        <v>39.15816326530612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7.28125" style="0" customWidth="1"/>
    <col min="3" max="3" width="17.57421875" style="0" customWidth="1"/>
    <col min="9" max="9" width="8.8515625" style="0" customWidth="1"/>
  </cols>
  <sheetData>
    <row r="1" ht="12.75">
      <c r="A1" t="s">
        <v>149</v>
      </c>
    </row>
    <row r="2" spans="2:3" ht="25.5">
      <c r="B2" s="159" t="s">
        <v>105</v>
      </c>
      <c r="C2" s="159" t="s">
        <v>98</v>
      </c>
    </row>
    <row r="3" spans="1:3" ht="12.75">
      <c r="A3">
        <v>1997</v>
      </c>
      <c r="B3" s="136">
        <f>+'Cons spec netti'!F87</f>
        <v>653</v>
      </c>
      <c r="C3" s="7">
        <f>+'Cons spec tot e finalizzati'!G90</f>
        <v>1661</v>
      </c>
    </row>
    <row r="4" spans="1:3" ht="12.75">
      <c r="A4">
        <v>1998</v>
      </c>
      <c r="B4" s="136">
        <f>+'Cons spec netti'!G87</f>
        <v>827</v>
      </c>
      <c r="C4" s="7">
        <f>+'Cons spec tot e finalizzati'!I90</f>
        <v>1551</v>
      </c>
    </row>
    <row r="5" spans="1:3" ht="12.75">
      <c r="A5">
        <v>1999</v>
      </c>
      <c r="B5" s="136">
        <f>+'Cons spec netti'!H87</f>
        <v>1535</v>
      </c>
      <c r="C5" s="7">
        <f>+'Cons spec tot e finalizzati'!K90</f>
        <v>730</v>
      </c>
    </row>
    <row r="6" spans="1:3" ht="12.75">
      <c r="A6">
        <v>2000</v>
      </c>
      <c r="B6" s="136">
        <f>+'Cons spec netti'!I87</f>
        <v>1740</v>
      </c>
      <c r="C6" s="7">
        <f>+'Cons spec tot e finalizzati'!M90</f>
        <v>1143</v>
      </c>
    </row>
    <row r="7" spans="1:3" ht="12.75">
      <c r="A7">
        <v>2001</v>
      </c>
      <c r="B7" s="136">
        <f>+'Cons spec netti'!J87</f>
        <v>2548</v>
      </c>
      <c r="C7" s="7">
        <f>+'Cons spec tot e finalizzati'!O90</f>
        <v>1217</v>
      </c>
    </row>
    <row r="8" spans="1:3" ht="12.75">
      <c r="A8">
        <v>2002</v>
      </c>
      <c r="B8" s="136">
        <f>+'Cons spec netti'!K87</f>
        <v>2965</v>
      </c>
      <c r="C8" s="7">
        <f>+'Cons spec tot e finalizzati'!Q90</f>
        <v>1363</v>
      </c>
    </row>
    <row r="9" spans="1:3" ht="12.75">
      <c r="A9">
        <v>2003</v>
      </c>
      <c r="B9" s="136">
        <f>+'Cons spec netti'!L87</f>
        <v>3610</v>
      </c>
      <c r="C9" s="7">
        <f>+'Cons spec tot e finalizzati'!S90</f>
        <v>1256</v>
      </c>
    </row>
    <row r="13" spans="2:3" ht="12.75">
      <c r="B13" t="s">
        <v>99</v>
      </c>
      <c r="C13" t="s">
        <v>82</v>
      </c>
    </row>
    <row r="14" spans="1:3" ht="12.75">
      <c r="A14">
        <v>1997</v>
      </c>
      <c r="B14" s="137">
        <v>100</v>
      </c>
      <c r="C14" s="137">
        <v>100</v>
      </c>
    </row>
    <row r="15" spans="1:3" ht="12.75">
      <c r="A15">
        <v>1998</v>
      </c>
      <c r="B15" s="137">
        <f aca="true" t="shared" si="0" ref="B15:B20">+B4/$B$3*100</f>
        <v>126.64624808575805</v>
      </c>
      <c r="C15" s="137">
        <v>102.2</v>
      </c>
    </row>
    <row r="16" spans="1:3" ht="12.75">
      <c r="A16">
        <v>1999</v>
      </c>
      <c r="B16" s="137">
        <f t="shared" si="0"/>
        <v>235.0689127105666</v>
      </c>
      <c r="C16" s="137">
        <v>104</v>
      </c>
    </row>
    <row r="17" spans="1:3" ht="12.75">
      <c r="A17">
        <v>2000</v>
      </c>
      <c r="B17" s="137">
        <f t="shared" si="0"/>
        <v>266.4624808575804</v>
      </c>
      <c r="C17" s="137">
        <v>106.5</v>
      </c>
    </row>
    <row r="18" spans="1:3" ht="12.75">
      <c r="A18">
        <v>2001</v>
      </c>
      <c r="B18" s="137">
        <f t="shared" si="0"/>
        <v>390.1990811638591</v>
      </c>
      <c r="C18">
        <v>109.3</v>
      </c>
    </row>
    <row r="19" spans="1:3" ht="12.75">
      <c r="A19">
        <v>2002</v>
      </c>
      <c r="B19" s="137">
        <f t="shared" si="0"/>
        <v>454.05819295558956</v>
      </c>
      <c r="C19" s="137">
        <v>112</v>
      </c>
    </row>
    <row r="20" spans="1:3" ht="12.75">
      <c r="A20">
        <v>2003</v>
      </c>
      <c r="B20" s="137">
        <f t="shared" si="0"/>
        <v>552.8330781010719</v>
      </c>
      <c r="C20">
        <v>114.2</v>
      </c>
    </row>
  </sheetData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2003
SERIE STORICA CONSUMI SPECIFICI 1997 - 2003
SETTORE ISTRUZIONE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netti'!F35</f>
        <v>28</v>
      </c>
      <c r="C3" s="7">
        <f>+'Cons spec tot e finalizzati'!G38</f>
        <v>0</v>
      </c>
    </row>
    <row r="4" spans="1:3" ht="12.75">
      <c r="A4">
        <v>1998</v>
      </c>
      <c r="B4" s="136">
        <f>+'Cons spec netti'!G35</f>
        <v>44</v>
      </c>
      <c r="C4" s="7">
        <f>+'Cons spec tot e finalizzati'!I38</f>
        <v>0</v>
      </c>
    </row>
    <row r="5" spans="1:3" ht="12.75">
      <c r="A5">
        <v>1999</v>
      </c>
      <c r="B5" s="136">
        <f>+'Cons spec netti'!H35</f>
        <v>46</v>
      </c>
      <c r="C5" s="7">
        <f>+'Cons spec tot e finalizzati'!K38</f>
        <v>0</v>
      </c>
    </row>
    <row r="6" spans="1:3" ht="12.75">
      <c r="A6">
        <v>2000</v>
      </c>
      <c r="B6" s="136">
        <f>+'Cons spec netti'!I35</f>
        <v>46</v>
      </c>
      <c r="C6" s="7">
        <f>+'Cons spec tot e finalizzati'!M38</f>
        <v>0</v>
      </c>
    </row>
    <row r="7" spans="1:3" ht="12.75">
      <c r="A7">
        <v>2001</v>
      </c>
      <c r="B7" s="136">
        <f>+'Cons spec netti'!J35</f>
        <v>30</v>
      </c>
      <c r="C7" s="7">
        <f>+'Cons spec tot e finalizzati'!O38</f>
        <v>0</v>
      </c>
    </row>
    <row r="8" spans="1:3" ht="12.75">
      <c r="A8">
        <v>2002</v>
      </c>
      <c r="B8" s="136">
        <f>+'Cons spec netti'!K35</f>
        <v>34</v>
      </c>
      <c r="C8" s="7">
        <f>+'Cons spec tot e finalizzati'!Q38</f>
        <v>0</v>
      </c>
    </row>
    <row r="9" spans="1:3" ht="12.75">
      <c r="A9">
        <v>2003</v>
      </c>
      <c r="B9" s="136">
        <f>+'Cons spec netti'!L35</f>
        <v>118</v>
      </c>
      <c r="C9" s="7">
        <f>+'Cons spec tot e finalizzati'!S38</f>
        <v>0</v>
      </c>
    </row>
    <row r="10" spans="2:3" ht="12.75">
      <c r="B10" t="s">
        <v>81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157.14285714285714</v>
      </c>
      <c r="C12" s="137">
        <v>102.2</v>
      </c>
    </row>
    <row r="13" spans="1:3" ht="12.75">
      <c r="A13">
        <v>1999</v>
      </c>
      <c r="B13" s="137">
        <f t="shared" si="0"/>
        <v>164.28571428571428</v>
      </c>
      <c r="C13" s="137">
        <v>104</v>
      </c>
    </row>
    <row r="14" spans="1:3" ht="12.75">
      <c r="A14">
        <v>2000</v>
      </c>
      <c r="B14" s="137">
        <f t="shared" si="0"/>
        <v>164.28571428571428</v>
      </c>
      <c r="C14" s="137">
        <v>106.5</v>
      </c>
    </row>
    <row r="15" spans="1:3" ht="12.75">
      <c r="A15">
        <v>2001</v>
      </c>
      <c r="B15" s="137">
        <f t="shared" si="0"/>
        <v>107.14285714285714</v>
      </c>
      <c r="C15">
        <v>109.3</v>
      </c>
    </row>
    <row r="16" spans="1:3" ht="12.75">
      <c r="A16">
        <v>2002</v>
      </c>
      <c r="B16" s="137">
        <f t="shared" si="0"/>
        <v>121.42857142857142</v>
      </c>
      <c r="C16" s="137">
        <v>112</v>
      </c>
    </row>
    <row r="17" spans="1:3" ht="12.75">
      <c r="A17">
        <v>2003</v>
      </c>
      <c r="B17" s="137">
        <f t="shared" si="0"/>
        <v>421.42857142857144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87">
        <f>+'Cons spec netti'!F164</f>
        <v>0</v>
      </c>
      <c r="C3" s="7">
        <f>+'Cons spec tot e finalizzati'!G167</f>
        <v>0</v>
      </c>
    </row>
    <row r="4" spans="1:3" ht="12.75">
      <c r="A4">
        <v>1998</v>
      </c>
      <c r="B4" s="187">
        <f>+'Cons spec netti'!G164</f>
        <v>0</v>
      </c>
      <c r="C4" s="7">
        <f>+'Cons spec tot e finalizzati'!I167</f>
        <v>0</v>
      </c>
    </row>
    <row r="5" spans="1:3" ht="12.75">
      <c r="A5">
        <v>1999</v>
      </c>
      <c r="B5" s="187">
        <f>+'Cons spec netti'!H164</f>
        <v>0</v>
      </c>
      <c r="C5" s="7">
        <f>+'Cons spec tot e finalizzati'!K167</f>
        <v>0</v>
      </c>
    </row>
    <row r="6" spans="1:3" ht="12.75">
      <c r="A6">
        <v>2000</v>
      </c>
      <c r="B6" s="187">
        <f>+'Cons spec netti'!I164</f>
        <v>0</v>
      </c>
      <c r="C6" s="7">
        <f>+'Cons spec tot e finalizzati'!M167</f>
        <v>0</v>
      </c>
    </row>
    <row r="7" spans="1:3" ht="12.75">
      <c r="A7">
        <v>2001</v>
      </c>
      <c r="B7" s="187">
        <f>+'Cons spec netti'!J164</f>
        <v>0</v>
      </c>
      <c r="C7" s="7">
        <f>+'Cons spec tot e finalizzati'!O167</f>
        <v>18</v>
      </c>
    </row>
    <row r="8" spans="1:3" ht="12.75">
      <c r="A8">
        <v>2002</v>
      </c>
      <c r="B8" s="187">
        <f>+'Cons spec netti'!K164</f>
        <v>228</v>
      </c>
      <c r="C8" s="7">
        <f>+'Cons spec tot e finalizzati'!Q167</f>
        <v>1</v>
      </c>
    </row>
    <row r="9" spans="1:3" ht="12.75">
      <c r="A9">
        <v>2003</v>
      </c>
      <c r="B9" s="187">
        <f>+'Cons spec netti'!L164</f>
        <v>162</v>
      </c>
      <c r="C9" s="7">
        <f>+'Cons spec tot e finalizzati'!S167</f>
        <v>1</v>
      </c>
    </row>
    <row r="10" spans="2:3" ht="12.75">
      <c r="B10" s="137"/>
      <c r="C10" s="137"/>
    </row>
    <row r="11" spans="2:3" ht="12.75">
      <c r="B11" s="137"/>
      <c r="C11" s="137"/>
    </row>
    <row r="12" spans="2:3" ht="12.75">
      <c r="B12" s="137"/>
      <c r="C12" s="137"/>
    </row>
    <row r="13" spans="2:3" ht="12.75">
      <c r="B13" s="137"/>
      <c r="C13" s="137"/>
    </row>
    <row r="14" ht="12.75">
      <c r="B14" s="137"/>
    </row>
    <row r="15" ht="12.75">
      <c r="B15" s="137"/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87">
        <f>+'Cons spec netti'!F6</f>
        <v>471</v>
      </c>
      <c r="C3" s="7">
        <f>+'Cons spec tot e finalizzati'!G9</f>
        <v>0</v>
      </c>
    </row>
    <row r="4" spans="1:3" ht="12.75">
      <c r="A4">
        <v>1998</v>
      </c>
      <c r="B4" s="187">
        <f>+'Cons spec netti'!G6</f>
        <v>164</v>
      </c>
      <c r="C4" s="7">
        <f>+'Cons spec tot e finalizzati'!I9</f>
        <v>0</v>
      </c>
    </row>
    <row r="5" spans="1:3" ht="12.75">
      <c r="A5">
        <v>1999</v>
      </c>
      <c r="B5" s="187">
        <f>+'Cons spec netti'!H6</f>
        <v>260</v>
      </c>
      <c r="C5" s="7">
        <f>+'Cons spec tot e finalizzati'!K9</f>
        <v>0</v>
      </c>
    </row>
    <row r="6" spans="1:3" ht="12.75">
      <c r="A6">
        <v>2000</v>
      </c>
      <c r="B6" s="187">
        <f>+'Cons spec netti'!I6</f>
        <v>155</v>
      </c>
      <c r="C6" s="7">
        <f>+'Cons spec tot e finalizzati'!M9</f>
        <v>0</v>
      </c>
    </row>
    <row r="7" spans="1:3" ht="12.75">
      <c r="A7">
        <v>2001</v>
      </c>
      <c r="B7" s="187">
        <f>+'Cons spec netti'!J6</f>
        <v>183</v>
      </c>
      <c r="C7" s="7">
        <f>+'Cons spec tot e finalizzati'!O9</f>
        <v>0</v>
      </c>
    </row>
    <row r="8" spans="1:3" ht="12.75">
      <c r="A8">
        <v>2002</v>
      </c>
      <c r="B8" s="187">
        <f>+'Cons spec netti'!K6</f>
        <v>153</v>
      </c>
      <c r="C8" s="7">
        <f>+'Cons spec tot e finalizzati'!Q9</f>
        <v>0</v>
      </c>
    </row>
    <row r="9" spans="1:3" ht="12.75">
      <c r="A9">
        <v>2003</v>
      </c>
      <c r="B9" s="187">
        <f>+'Cons spec netti'!L6</f>
        <v>270</v>
      </c>
      <c r="C9" s="7">
        <f>+'Cons spec tot e finalizzati'!S9</f>
        <v>0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34.81953290870488</v>
      </c>
      <c r="C12" s="137">
        <v>102.2</v>
      </c>
    </row>
    <row r="13" spans="1:3" ht="12.75">
      <c r="A13">
        <v>1999</v>
      </c>
      <c r="B13" s="137">
        <f t="shared" si="0"/>
        <v>55.20169851380042</v>
      </c>
      <c r="C13" s="137">
        <v>104</v>
      </c>
    </row>
    <row r="14" spans="1:3" ht="12.75">
      <c r="A14">
        <v>2000</v>
      </c>
      <c r="B14" s="137">
        <f t="shared" si="0"/>
        <v>32.90870488322717</v>
      </c>
      <c r="C14" s="137">
        <v>106.5</v>
      </c>
    </row>
    <row r="15" spans="1:3" ht="12.75">
      <c r="A15">
        <v>2001</v>
      </c>
      <c r="B15" s="137">
        <f t="shared" si="0"/>
        <v>38.853503184713375</v>
      </c>
      <c r="C15">
        <v>109.3</v>
      </c>
    </row>
    <row r="16" spans="1:3" ht="12.75">
      <c r="A16">
        <v>2002</v>
      </c>
      <c r="B16" s="137">
        <f t="shared" si="0"/>
        <v>32.48407643312102</v>
      </c>
      <c r="C16" s="137">
        <v>112</v>
      </c>
    </row>
    <row r="17" spans="1:3" ht="12.75">
      <c r="A17">
        <v>2003</v>
      </c>
      <c r="B17" s="137">
        <f t="shared" si="0"/>
        <v>57.324840764331206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netti'!F56</f>
        <v>5862</v>
      </c>
      <c r="C3" s="7">
        <f>+'Cons spec tot e finalizzati'!G59</f>
        <v>0</v>
      </c>
    </row>
    <row r="4" spans="1:3" ht="12.75">
      <c r="A4">
        <v>1998</v>
      </c>
      <c r="B4" s="136">
        <f>+'Cons spec netti'!G56</f>
        <v>8456</v>
      </c>
      <c r="C4" s="7">
        <f>+'Cons spec tot e finalizzati'!I59</f>
        <v>22</v>
      </c>
    </row>
    <row r="5" spans="1:3" ht="12.75">
      <c r="A5">
        <v>1999</v>
      </c>
      <c r="B5" s="136">
        <f>+'Cons spec netti'!H56</f>
        <v>2988</v>
      </c>
      <c r="C5" s="7">
        <f>+'Cons spec tot e finalizzati'!K59</f>
        <v>67</v>
      </c>
    </row>
    <row r="6" spans="1:3" ht="12.75">
      <c r="A6">
        <v>2000</v>
      </c>
      <c r="B6" s="136">
        <f>+'Cons spec netti'!I56</f>
        <v>4347</v>
      </c>
      <c r="C6" s="7">
        <f>+'Cons spec tot e finalizzati'!M59</f>
        <v>0</v>
      </c>
    </row>
    <row r="7" spans="1:3" ht="12.75">
      <c r="A7">
        <v>2001</v>
      </c>
      <c r="B7" s="136">
        <f>+'Cons spec netti'!J56</f>
        <v>4106.636997939337</v>
      </c>
      <c r="C7" s="7">
        <f>+'Cons spec tot e finalizzati'!O59</f>
        <v>419.36300206066306</v>
      </c>
    </row>
    <row r="8" spans="1:3" ht="12.75">
      <c r="A8">
        <v>2002</v>
      </c>
      <c r="B8" s="136">
        <f>+'Cons spec netti'!K56</f>
        <v>3923</v>
      </c>
      <c r="C8" s="7">
        <f>+'Cons spec tot e finalizzati'!Q59</f>
        <v>2397</v>
      </c>
    </row>
    <row r="9" spans="1:3" ht="12.75">
      <c r="A9">
        <v>2003</v>
      </c>
      <c r="B9" s="136">
        <f>+'Cons spec netti'!L56</f>
        <v>2792</v>
      </c>
      <c r="C9" s="7">
        <f>+'Cons spec tot e finalizzati'!S59</f>
        <v>1313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144.25110883657456</v>
      </c>
      <c r="C12" s="137">
        <v>102.2</v>
      </c>
    </row>
    <row r="13" spans="1:3" ht="12.75">
      <c r="A13">
        <v>1999</v>
      </c>
      <c r="B13" s="137">
        <f t="shared" si="0"/>
        <v>50.97236438075742</v>
      </c>
      <c r="C13" s="137">
        <v>104</v>
      </c>
    </row>
    <row r="14" spans="1:3" ht="12.75">
      <c r="A14">
        <v>2000</v>
      </c>
      <c r="B14" s="137">
        <f t="shared" si="0"/>
        <v>74.15557830092119</v>
      </c>
      <c r="C14" s="137">
        <v>106.5</v>
      </c>
    </row>
    <row r="15" spans="1:3" ht="12.75">
      <c r="A15">
        <v>2001</v>
      </c>
      <c r="B15" s="137">
        <f t="shared" si="0"/>
        <v>70.05522002625958</v>
      </c>
      <c r="C15">
        <v>109.3</v>
      </c>
    </row>
    <row r="16" spans="1:3" ht="12.75">
      <c r="A16">
        <v>2002</v>
      </c>
      <c r="B16" s="137">
        <f t="shared" si="0"/>
        <v>66.92255203002388</v>
      </c>
      <c r="C16" s="137">
        <v>112</v>
      </c>
    </row>
    <row r="17" spans="1:3" ht="12.75">
      <c r="A17">
        <v>2003</v>
      </c>
      <c r="B17" s="137">
        <f t="shared" si="0"/>
        <v>47.6287956328898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netti'!F70</f>
        <v>13959</v>
      </c>
      <c r="C3" s="7">
        <f>+'Cons spec tot e finalizzati'!G73</f>
        <v>3746</v>
      </c>
    </row>
    <row r="4" spans="1:3" ht="12.75">
      <c r="A4">
        <v>1998</v>
      </c>
      <c r="B4" s="136">
        <f>+'Cons spec netti'!G70</f>
        <v>15275</v>
      </c>
      <c r="C4" s="7">
        <f>+'Cons spec tot e finalizzati'!I73</f>
        <v>5644</v>
      </c>
    </row>
    <row r="5" spans="1:3" ht="12.75">
      <c r="A5">
        <v>1999</v>
      </c>
      <c r="B5" s="136">
        <f>+'Cons spec netti'!H70</f>
        <v>18200</v>
      </c>
      <c r="C5" s="7">
        <f>+'Cons spec tot e finalizzati'!K73</f>
        <v>2253</v>
      </c>
    </row>
    <row r="6" spans="1:3" ht="12.75">
      <c r="A6">
        <v>2000</v>
      </c>
      <c r="B6" s="136">
        <f>+'Cons spec netti'!I70</f>
        <v>20435</v>
      </c>
      <c r="C6" s="7">
        <f>+'Cons spec tot e finalizzati'!M73</f>
        <v>8574</v>
      </c>
    </row>
    <row r="7" spans="1:3" ht="12.75">
      <c r="A7">
        <v>2001</v>
      </c>
      <c r="B7" s="136">
        <f>+'Cons spec netti'!J70</f>
        <v>23251.298646366467</v>
      </c>
      <c r="C7" s="7">
        <f>+'Cons spec tot e finalizzati'!O73</f>
        <v>7082.701353633533</v>
      </c>
    </row>
    <row r="8" spans="1:3" ht="12.75">
      <c r="A8">
        <v>2002</v>
      </c>
      <c r="B8" s="136">
        <f>+'Cons spec netti'!K70</f>
        <v>20306</v>
      </c>
      <c r="C8" s="7">
        <f>+'Cons spec tot e finalizzati'!Q73</f>
        <v>13861</v>
      </c>
    </row>
    <row r="9" spans="1:3" ht="12.75">
      <c r="A9">
        <v>2003</v>
      </c>
      <c r="B9" s="136">
        <f>+'Cons spec netti'!L70</f>
        <v>21719</v>
      </c>
      <c r="C9" s="7">
        <f>+'Cons spec tot e finalizzati'!S73</f>
        <v>13483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109.42760942760943</v>
      </c>
      <c r="C12" s="137">
        <v>102.2</v>
      </c>
    </row>
    <row r="13" spans="1:3" ht="12.75">
      <c r="A13">
        <v>1999</v>
      </c>
      <c r="B13" s="137">
        <f t="shared" si="0"/>
        <v>130.38183250949209</v>
      </c>
      <c r="C13" s="137">
        <v>104</v>
      </c>
    </row>
    <row r="14" spans="1:3" ht="12.75">
      <c r="A14">
        <v>2000</v>
      </c>
      <c r="B14" s="137">
        <f t="shared" si="0"/>
        <v>146.39300809513577</v>
      </c>
      <c r="C14" s="137">
        <v>106.5</v>
      </c>
    </row>
    <row r="15" spans="1:3" ht="12.75">
      <c r="A15">
        <v>2001</v>
      </c>
      <c r="B15" s="137">
        <f t="shared" si="0"/>
        <v>166.5685124032271</v>
      </c>
      <c r="C15">
        <v>109.3</v>
      </c>
    </row>
    <row r="16" spans="1:3" ht="12.75">
      <c r="A16">
        <v>2002</v>
      </c>
      <c r="B16" s="137">
        <f t="shared" si="0"/>
        <v>145.4688731284476</v>
      </c>
      <c r="C16" s="137">
        <v>112</v>
      </c>
    </row>
    <row r="17" spans="1:3" ht="12.75">
      <c r="A17">
        <v>2003</v>
      </c>
      <c r="B17" s="137">
        <f t="shared" si="0"/>
        <v>155.5913747403109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G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netti'!F93</f>
        <v>12640</v>
      </c>
      <c r="C3" s="7">
        <f>+'Cons spec tot e finalizzati'!G96</f>
        <v>1211</v>
      </c>
    </row>
    <row r="4" spans="1:3" ht="12.75">
      <c r="A4">
        <v>1998</v>
      </c>
      <c r="B4" s="136">
        <f>+'Cons spec netti'!G93</f>
        <v>17927</v>
      </c>
      <c r="C4" s="7">
        <f>+'Cons spec tot e finalizzati'!I96</f>
        <v>1414</v>
      </c>
    </row>
    <row r="5" spans="1:3" ht="12.75">
      <c r="A5">
        <v>1999</v>
      </c>
      <c r="B5" s="136">
        <f>+'Cons spec netti'!H93</f>
        <v>14324</v>
      </c>
      <c r="C5" s="7">
        <f>+'Cons spec tot e finalizzati'!K96</f>
        <v>9948</v>
      </c>
    </row>
    <row r="6" spans="1:3" ht="12.75">
      <c r="A6">
        <v>2000</v>
      </c>
      <c r="B6" s="136">
        <f>+'Cons spec netti'!I93</f>
        <v>16530</v>
      </c>
      <c r="C6" s="7">
        <f>+'Cons spec tot e finalizzati'!M96</f>
        <v>5367</v>
      </c>
    </row>
    <row r="7" spans="1:3" ht="12.75">
      <c r="A7">
        <v>2001</v>
      </c>
      <c r="B7" s="136">
        <f>+'Cons spec netti'!J93</f>
        <v>15734</v>
      </c>
      <c r="C7" s="7">
        <f>+'Cons spec tot e finalizzati'!O96</f>
        <v>4556</v>
      </c>
    </row>
    <row r="8" spans="1:3" ht="12.75">
      <c r="A8">
        <v>2002</v>
      </c>
      <c r="B8" s="136">
        <f>+'Cons spec netti'!K93</f>
        <v>16076</v>
      </c>
      <c r="C8" s="7">
        <f>+'Cons spec tot e finalizzati'!Q96</f>
        <v>3134</v>
      </c>
    </row>
    <row r="9" spans="1:3" ht="12.75">
      <c r="A9">
        <v>2003</v>
      </c>
      <c r="B9" s="136">
        <f>+'Cons spec netti'!L93</f>
        <v>17546</v>
      </c>
      <c r="C9" s="7">
        <f>+'Cons spec tot e finalizzati'!S96</f>
        <v>5022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141.82753164556962</v>
      </c>
      <c r="C12" s="137">
        <v>102.2</v>
      </c>
    </row>
    <row r="13" spans="1:3" ht="12.75">
      <c r="A13">
        <v>1999</v>
      </c>
      <c r="B13" s="137">
        <f t="shared" si="0"/>
        <v>113.32278481012659</v>
      </c>
      <c r="C13" s="137">
        <v>104</v>
      </c>
    </row>
    <row r="14" spans="1:3" ht="12.75">
      <c r="A14">
        <v>2000</v>
      </c>
      <c r="B14" s="137">
        <f t="shared" si="0"/>
        <v>130.7753164556962</v>
      </c>
      <c r="C14" s="137">
        <v>106.5</v>
      </c>
    </row>
    <row r="15" spans="1:3" ht="12.75">
      <c r="A15">
        <v>2001</v>
      </c>
      <c r="B15" s="137">
        <f t="shared" si="0"/>
        <v>124.47784810126583</v>
      </c>
      <c r="C15">
        <v>109.3</v>
      </c>
    </row>
    <row r="16" spans="1:3" ht="12.75">
      <c r="A16">
        <v>2002</v>
      </c>
      <c r="B16" s="137">
        <f t="shared" si="0"/>
        <v>127.18354430379746</v>
      </c>
      <c r="C16" s="137">
        <v>112</v>
      </c>
    </row>
    <row r="17" spans="1:3" ht="12.75">
      <c r="A17">
        <v>2003</v>
      </c>
      <c r="B17" s="137">
        <f t="shared" si="0"/>
        <v>138.8132911392405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netti'!F126</f>
        <v>18480</v>
      </c>
      <c r="C3" s="7">
        <f>+'Cons spec tot e finalizzati'!G129</f>
        <v>123</v>
      </c>
    </row>
    <row r="4" spans="1:3" ht="12.75">
      <c r="A4">
        <v>1998</v>
      </c>
      <c r="B4" s="136">
        <f>+'Cons spec netti'!G126</f>
        <v>22723</v>
      </c>
      <c r="C4" s="7">
        <f>+'Cons spec tot e finalizzati'!I129</f>
        <v>363</v>
      </c>
    </row>
    <row r="5" spans="1:3" ht="12.75">
      <c r="A5">
        <v>1999</v>
      </c>
      <c r="B5" s="136">
        <f>+'Cons spec netti'!H126</f>
        <v>20403</v>
      </c>
      <c r="C5" s="7">
        <f>+'Cons spec tot e finalizzati'!K129</f>
        <v>612</v>
      </c>
    </row>
    <row r="6" spans="1:3" ht="12.75">
      <c r="A6">
        <v>2000</v>
      </c>
      <c r="B6" s="136">
        <f>+'Cons spec netti'!I126</f>
        <v>20687.5</v>
      </c>
      <c r="C6" s="7">
        <f>+'Cons spec tot e finalizzati'!M129</f>
        <v>2710</v>
      </c>
    </row>
    <row r="7" spans="1:3" ht="12.75">
      <c r="A7">
        <v>2001</v>
      </c>
      <c r="B7" s="136">
        <f>+'Cons spec netti'!J126</f>
        <v>19724.117690198163</v>
      </c>
      <c r="C7" s="7">
        <f>+'Cons spec tot e finalizzati'!O129</f>
        <v>1944.8823098018356</v>
      </c>
    </row>
    <row r="8" spans="1:3" ht="12.75">
      <c r="A8">
        <v>2002</v>
      </c>
      <c r="B8" s="136">
        <f>+'Cons spec netti'!K126</f>
        <v>22585</v>
      </c>
      <c r="C8" s="7">
        <f>+'Cons spec tot e finalizzati'!Q129</f>
        <v>1502</v>
      </c>
    </row>
    <row r="9" spans="1:3" ht="12.75">
      <c r="A9">
        <v>2003</v>
      </c>
      <c r="B9" s="136">
        <f>+'Cons spec netti'!L126</f>
        <v>21156</v>
      </c>
      <c r="C9" s="7">
        <f>+'Cons spec tot e finalizzati'!S129</f>
        <v>2849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122.95995670995671</v>
      </c>
      <c r="C12" s="137">
        <v>102.2</v>
      </c>
    </row>
    <row r="13" spans="1:3" ht="12.75">
      <c r="A13">
        <v>1999</v>
      </c>
      <c r="B13" s="137">
        <f t="shared" si="0"/>
        <v>110.40584415584416</v>
      </c>
      <c r="C13" s="137">
        <v>104</v>
      </c>
    </row>
    <row r="14" spans="1:3" ht="12.75">
      <c r="A14">
        <v>2000</v>
      </c>
      <c r="B14" s="137">
        <f t="shared" si="0"/>
        <v>111.94534632034632</v>
      </c>
      <c r="C14" s="137">
        <v>106.5</v>
      </c>
    </row>
    <row r="15" spans="1:3" ht="12.75">
      <c r="A15">
        <v>2001</v>
      </c>
      <c r="B15" s="137">
        <f t="shared" si="0"/>
        <v>106.7322385833234</v>
      </c>
      <c r="C15">
        <v>109.3</v>
      </c>
    </row>
    <row r="16" spans="1:3" ht="12.75">
      <c r="A16">
        <v>2002</v>
      </c>
      <c r="B16" s="137">
        <f t="shared" si="0"/>
        <v>122.21320346320346</v>
      </c>
      <c r="C16" s="137">
        <v>112</v>
      </c>
    </row>
    <row r="17" spans="1:3" ht="12.75">
      <c r="A17">
        <v>2003</v>
      </c>
      <c r="B17" s="137">
        <f t="shared" si="0"/>
        <v>114.48051948051948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netti'!F157</f>
        <v>1829</v>
      </c>
      <c r="C3" s="7">
        <f>+'Cons spec tot e finalizzati'!G160</f>
        <v>0</v>
      </c>
    </row>
    <row r="4" spans="1:3" ht="12.75">
      <c r="A4">
        <v>1998</v>
      </c>
      <c r="B4" s="136">
        <f>+'Cons spec netti'!G157</f>
        <v>1616</v>
      </c>
      <c r="C4" s="7">
        <f>+'Cons spec tot e finalizzati'!I160</f>
        <v>271</v>
      </c>
    </row>
    <row r="5" spans="1:3" ht="12.75">
      <c r="A5">
        <v>1999</v>
      </c>
      <c r="B5" s="136">
        <f>+'Cons spec netti'!H157</f>
        <v>2176</v>
      </c>
      <c r="C5" s="7">
        <f>+'Cons spec tot e finalizzati'!K160</f>
        <v>349</v>
      </c>
    </row>
    <row r="6" spans="1:3" ht="12.75">
      <c r="A6">
        <v>2000</v>
      </c>
      <c r="B6" s="136">
        <f>+'Cons spec netti'!I157</f>
        <v>1904</v>
      </c>
      <c r="C6" s="7">
        <f>+'Cons spec tot e finalizzati'!M160</f>
        <v>431</v>
      </c>
    </row>
    <row r="7" spans="1:3" ht="12.75">
      <c r="A7">
        <v>2001</v>
      </c>
      <c r="B7" s="136">
        <f>+'Cons spec netti'!J157</f>
        <v>2369.4806457777067</v>
      </c>
      <c r="C7" s="7">
        <f>+'Cons spec tot e finalizzati'!O160</f>
        <v>370.5193542222934</v>
      </c>
    </row>
    <row r="8" spans="1:3" ht="12.75">
      <c r="A8">
        <v>2002</v>
      </c>
      <c r="B8" s="136">
        <f>+'Cons spec netti'!K157</f>
        <v>2733</v>
      </c>
      <c r="C8" s="7">
        <f>+'Cons spec tot e finalizzati'!Q160</f>
        <v>436</v>
      </c>
    </row>
    <row r="9" spans="1:3" ht="12.75">
      <c r="A9">
        <v>2003</v>
      </c>
      <c r="B9" s="136">
        <f>+'Cons spec netti'!L157</f>
        <v>2566</v>
      </c>
      <c r="C9" s="7">
        <f>+'Cons spec tot e finalizzati'!S160</f>
        <v>455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88.35429196282122</v>
      </c>
      <c r="C12" s="137">
        <v>102.2</v>
      </c>
    </row>
    <row r="13" spans="1:3" ht="12.75">
      <c r="A13">
        <v>1999</v>
      </c>
      <c r="B13" s="137">
        <f t="shared" si="0"/>
        <v>118.97211591033351</v>
      </c>
      <c r="C13" s="137">
        <v>104</v>
      </c>
    </row>
    <row r="14" spans="1:3" ht="12.75">
      <c r="A14">
        <v>2000</v>
      </c>
      <c r="B14" s="137">
        <f t="shared" si="0"/>
        <v>104.10060142154182</v>
      </c>
      <c r="C14" s="137">
        <v>106.5</v>
      </c>
    </row>
    <row r="15" spans="1:3" ht="12.75">
      <c r="A15">
        <v>2001</v>
      </c>
      <c r="B15" s="137">
        <f t="shared" si="0"/>
        <v>129.55060939189212</v>
      </c>
      <c r="C15">
        <v>109.3</v>
      </c>
    </row>
    <row r="16" spans="1:3" ht="12.75">
      <c r="A16">
        <v>2002</v>
      </c>
      <c r="B16" s="137">
        <f t="shared" si="0"/>
        <v>149.42591580098414</v>
      </c>
      <c r="C16" s="137">
        <v>112</v>
      </c>
    </row>
    <row r="17" spans="1:3" ht="12.75">
      <c r="A17">
        <v>2003</v>
      </c>
      <c r="B17" s="137">
        <f t="shared" si="0"/>
        <v>140.29524330235103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netti'!F280</f>
        <v>87295</v>
      </c>
      <c r="C3" s="7">
        <f>+'Cons spec tot e finalizzati'!G283</f>
        <v>5712</v>
      </c>
    </row>
    <row r="4" spans="1:3" ht="12.75">
      <c r="A4">
        <v>1998</v>
      </c>
      <c r="B4" s="136">
        <f>+'Cons spec netti'!G280</f>
        <v>105532</v>
      </c>
      <c r="C4" s="7">
        <f>+'Cons spec tot e finalizzati'!I283</f>
        <v>8376</v>
      </c>
    </row>
    <row r="5" spans="1:3" ht="12.75">
      <c r="A5">
        <v>1999</v>
      </c>
      <c r="B5" s="136">
        <f>+'Cons spec netti'!H280</f>
        <v>99212</v>
      </c>
      <c r="C5" s="7">
        <f>+'Cons spec tot e finalizzati'!K283</f>
        <v>14721</v>
      </c>
    </row>
    <row r="6" spans="1:3" ht="12.75">
      <c r="A6">
        <v>2000</v>
      </c>
      <c r="B6" s="136">
        <f>+'Cons spec netti'!I280</f>
        <v>108868</v>
      </c>
      <c r="C6" s="7">
        <f>+'Cons spec tot e finalizzati'!M283</f>
        <v>19397</v>
      </c>
    </row>
    <row r="7" spans="1:3" ht="12.75">
      <c r="A7">
        <v>2001</v>
      </c>
      <c r="B7" s="136">
        <f>+'Cons spec netti'!J280</f>
        <v>111908.83747101385</v>
      </c>
      <c r="C7" s="7">
        <f>+'Cons spec tot e finalizzati'!O283</f>
        <v>15916.162528986144</v>
      </c>
    </row>
    <row r="8" spans="1:3" ht="12.75">
      <c r="A8">
        <v>2002</v>
      </c>
      <c r="B8" s="136">
        <f>+'Cons spec netti'!K280</f>
        <v>114452</v>
      </c>
      <c r="C8" s="7">
        <f>+'Cons spec tot e finalizzati'!Q283</f>
        <v>23952</v>
      </c>
    </row>
    <row r="9" spans="1:3" ht="12.75">
      <c r="A9">
        <v>2003</v>
      </c>
      <c r="B9" s="136">
        <f>+'Cons spec netti'!L280</f>
        <v>118543</v>
      </c>
      <c r="C9" s="7">
        <f>+'Cons spec tot e finalizzati'!S283</f>
        <v>25581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120.89123088378486</v>
      </c>
      <c r="C12" s="137">
        <v>102.2</v>
      </c>
    </row>
    <row r="13" spans="1:3" ht="12.75">
      <c r="A13">
        <v>1999</v>
      </c>
      <c r="B13" s="137">
        <f t="shared" si="0"/>
        <v>113.65141187925998</v>
      </c>
      <c r="C13" s="137">
        <v>104</v>
      </c>
    </row>
    <row r="14" spans="1:3" ht="12.75">
      <c r="A14">
        <v>2000</v>
      </c>
      <c r="B14" s="137">
        <f t="shared" si="0"/>
        <v>124.71275559883155</v>
      </c>
      <c r="C14" s="137">
        <v>106.5</v>
      </c>
    </row>
    <row r="15" spans="1:3" ht="12.75">
      <c r="A15">
        <v>2001</v>
      </c>
      <c r="B15" s="137">
        <f t="shared" si="0"/>
        <v>128.19615954065392</v>
      </c>
      <c r="C15">
        <v>109.3</v>
      </c>
    </row>
    <row r="16" spans="1:3" ht="12.75">
      <c r="A16">
        <v>2002</v>
      </c>
      <c r="B16" s="137">
        <f t="shared" si="0"/>
        <v>131.10945644080417</v>
      </c>
      <c r="C16" s="137">
        <v>112</v>
      </c>
    </row>
    <row r="17" spans="1:3" ht="12.75">
      <c r="A17">
        <v>2003</v>
      </c>
      <c r="B17" s="137">
        <f t="shared" si="0"/>
        <v>135.79586459705595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H1">
      <selection activeCell="A1" sqref="A1"/>
    </sheetView>
  </sheetViews>
  <sheetFormatPr defaultColWidth="9.140625" defaultRowHeight="12.75"/>
  <cols>
    <col min="1" max="1" width="15.28125" style="0" customWidth="1"/>
    <col min="2" max="2" width="17.28125" style="0" customWidth="1"/>
    <col min="3" max="3" width="17.57421875" style="0" customWidth="1"/>
    <col min="9" max="9" width="8.8515625" style="0" customWidth="1"/>
  </cols>
  <sheetData>
    <row r="1" ht="12.75">
      <c r="A1" t="s">
        <v>138</v>
      </c>
    </row>
    <row r="2" spans="2:3" ht="25.5">
      <c r="B2" s="159" t="s">
        <v>105</v>
      </c>
      <c r="C2" s="159" t="s">
        <v>98</v>
      </c>
    </row>
    <row r="3" spans="1:3" ht="12.75">
      <c r="A3">
        <v>1997</v>
      </c>
      <c r="B3" s="136">
        <f>+'Cons spec netti'!F117</f>
        <v>4115</v>
      </c>
      <c r="C3" s="7">
        <f>+'Cons spec tot e finalizzati'!G120</f>
        <v>6</v>
      </c>
    </row>
    <row r="4" spans="1:3" ht="12.75">
      <c r="A4">
        <v>1998</v>
      </c>
      <c r="B4" s="136">
        <f>+'Cons spec netti'!G117</f>
        <v>4146</v>
      </c>
      <c r="C4" s="7">
        <f>+'Cons spec tot e finalizzati'!I120</f>
        <v>13</v>
      </c>
    </row>
    <row r="5" spans="1:3" ht="12.75">
      <c r="A5">
        <v>1999</v>
      </c>
      <c r="B5" s="136">
        <f>+'Cons spec netti'!H117</f>
        <v>4324</v>
      </c>
      <c r="C5" s="7">
        <f>+'Cons spec tot e finalizzati'!K120</f>
        <v>3</v>
      </c>
    </row>
    <row r="6" spans="1:3" ht="12.75">
      <c r="A6">
        <v>2000</v>
      </c>
      <c r="B6" s="136">
        <f>+'Cons spec netti'!I117</f>
        <v>4083</v>
      </c>
      <c r="C6" s="7">
        <f>+'Cons spec tot e finalizzati'!M120</f>
        <v>5</v>
      </c>
    </row>
    <row r="7" spans="1:3" ht="12.75">
      <c r="A7">
        <v>2001</v>
      </c>
      <c r="B7" s="136">
        <f>+'Cons spec netti'!J117</f>
        <v>4114</v>
      </c>
      <c r="C7" s="7">
        <f>+'Cons spec tot e finalizzati'!O120</f>
        <v>13</v>
      </c>
    </row>
    <row r="8" spans="1:3" ht="12.75">
      <c r="A8">
        <v>2002</v>
      </c>
      <c r="B8" s="136">
        <f>+'Cons spec netti'!K117</f>
        <v>4346</v>
      </c>
      <c r="C8" s="7">
        <f>+'Cons spec tot e finalizzati'!Q120</f>
        <v>101</v>
      </c>
    </row>
    <row r="9" spans="1:3" ht="12.75">
      <c r="A9">
        <v>2003</v>
      </c>
      <c r="B9" s="136">
        <f>+'Cons spec netti'!L117</f>
        <v>3898</v>
      </c>
      <c r="C9" s="7">
        <f>+'Cons spec tot e finalizzati'!S120</f>
        <v>86</v>
      </c>
    </row>
    <row r="13" spans="2:3" ht="12.75">
      <c r="B13" t="s">
        <v>99</v>
      </c>
      <c r="C13" t="s">
        <v>82</v>
      </c>
    </row>
    <row r="14" spans="1:3" ht="12.75">
      <c r="A14">
        <v>1997</v>
      </c>
      <c r="B14" s="137">
        <v>100</v>
      </c>
      <c r="C14" s="137">
        <v>100</v>
      </c>
    </row>
    <row r="15" spans="1:3" ht="12.75">
      <c r="A15">
        <v>1998</v>
      </c>
      <c r="B15" s="137">
        <f aca="true" t="shared" si="0" ref="B15:B20">+B4/$B$3*100</f>
        <v>100.75334143377886</v>
      </c>
      <c r="C15" s="137">
        <v>102.2</v>
      </c>
    </row>
    <row r="16" spans="1:3" ht="12.75">
      <c r="A16">
        <v>1999</v>
      </c>
      <c r="B16" s="137">
        <f t="shared" si="0"/>
        <v>105.07897934386392</v>
      </c>
      <c r="C16" s="137">
        <v>104</v>
      </c>
    </row>
    <row r="17" spans="1:3" ht="12.75">
      <c r="A17">
        <v>2000</v>
      </c>
      <c r="B17" s="137">
        <f t="shared" si="0"/>
        <v>99.22235722964763</v>
      </c>
      <c r="C17" s="137">
        <v>106.5</v>
      </c>
    </row>
    <row r="18" spans="1:3" ht="12.75">
      <c r="A18">
        <v>2001</v>
      </c>
      <c r="B18" s="137">
        <f t="shared" si="0"/>
        <v>99.9756986634265</v>
      </c>
      <c r="C18">
        <v>109.3</v>
      </c>
    </row>
    <row r="19" spans="1:3" ht="12.75">
      <c r="A19">
        <v>2002</v>
      </c>
      <c r="B19" s="137">
        <f t="shared" si="0"/>
        <v>105.61360874848116</v>
      </c>
      <c r="C19" s="137">
        <v>112</v>
      </c>
    </row>
    <row r="20" spans="1:3" ht="12.75">
      <c r="A20">
        <v>2003</v>
      </c>
      <c r="B20" s="137">
        <f t="shared" si="0"/>
        <v>94.72660996354799</v>
      </c>
      <c r="C20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K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9.421875" style="0" customWidth="1"/>
    <col min="4" max="4" width="15.7109375" style="0" customWidth="1"/>
  </cols>
  <sheetData>
    <row r="1" ht="12.75">
      <c r="A1" t="s">
        <v>150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netti'!F59</f>
        <v>4888</v>
      </c>
      <c r="C3" s="7">
        <f>+'Cons spec tot e finalizzati'!G62</f>
        <v>0</v>
      </c>
    </row>
    <row r="4" spans="1:3" ht="12.75">
      <c r="A4">
        <v>1998</v>
      </c>
      <c r="B4" s="136">
        <f>+'Cons spec netti'!G59</f>
        <v>7953</v>
      </c>
      <c r="C4" s="7">
        <f>+'Cons spec tot e finalizzati'!I62</f>
        <v>22</v>
      </c>
    </row>
    <row r="5" spans="1:3" ht="12.75">
      <c r="A5">
        <v>1999</v>
      </c>
      <c r="B5" s="136">
        <f>+'Cons spec netti'!H59</f>
        <v>2739</v>
      </c>
      <c r="C5" s="7">
        <f>+'Cons spec tot e finalizzati'!K62</f>
        <v>67</v>
      </c>
    </row>
    <row r="6" spans="1:4" ht="12.75">
      <c r="A6">
        <v>2000</v>
      </c>
      <c r="B6" s="136">
        <f>+'Cons spec netti'!I59</f>
        <v>4041</v>
      </c>
      <c r="C6" s="7">
        <f>+'Cons spec tot e finalizzati'!M62</f>
        <v>0</v>
      </c>
      <c r="D6" s="136"/>
    </row>
    <row r="7" spans="1:4" ht="12.75">
      <c r="A7">
        <v>2001</v>
      </c>
      <c r="B7" s="136">
        <f>+'Cons spec netti'!J59</f>
        <v>3937.636997939337</v>
      </c>
      <c r="C7" s="7">
        <f>+'Cons spec tot e finalizzati'!O62</f>
        <v>419.36300206066306</v>
      </c>
      <c r="D7" s="74"/>
    </row>
    <row r="8" spans="1:5" ht="12.75">
      <c r="A8">
        <v>2002</v>
      </c>
      <c r="B8" s="136">
        <f>+'Cons spec netti'!K59</f>
        <v>3705</v>
      </c>
      <c r="C8" s="7">
        <f>+'Cons spec tot e finalizzati'!Q62</f>
        <v>2397</v>
      </c>
      <c r="D8" s="139"/>
      <c r="E8" s="139"/>
    </row>
    <row r="9" spans="1:5" ht="12.75">
      <c r="A9">
        <v>2003</v>
      </c>
      <c r="B9" s="136">
        <f>+'Cons spec netti'!L59</f>
        <v>2416</v>
      </c>
      <c r="C9" s="7">
        <f>+'Cons spec tot e finalizzati'!S62</f>
        <v>1313</v>
      </c>
      <c r="D9" s="139"/>
      <c r="E9" s="139"/>
    </row>
    <row r="10" spans="2:3" ht="12.75">
      <c r="B10" t="s">
        <v>99</v>
      </c>
      <c r="C10" t="s">
        <v>82</v>
      </c>
    </row>
    <row r="11" spans="1:4" ht="12.75">
      <c r="A11">
        <v>1997</v>
      </c>
      <c r="B11" s="137">
        <v>100</v>
      </c>
      <c r="C11" s="137">
        <v>100</v>
      </c>
      <c r="D11" s="137"/>
    </row>
    <row r="12" spans="1:4" ht="12.75">
      <c r="A12">
        <v>1998</v>
      </c>
      <c r="B12" s="137">
        <f aca="true" t="shared" si="0" ref="B12:B17">+B4/$B$3*100</f>
        <v>162.70458265139115</v>
      </c>
      <c r="C12" s="137">
        <v>102.2</v>
      </c>
      <c r="D12" s="137"/>
    </row>
    <row r="13" spans="1:3" ht="12.75">
      <c r="A13">
        <v>1999</v>
      </c>
      <c r="B13" s="137">
        <f t="shared" si="0"/>
        <v>56.03518821603928</v>
      </c>
      <c r="C13" s="137">
        <v>104</v>
      </c>
    </row>
    <row r="14" spans="1:4" ht="12.75">
      <c r="A14">
        <v>2000</v>
      </c>
      <c r="B14" s="137">
        <f t="shared" si="0"/>
        <v>82.67184942716858</v>
      </c>
      <c r="C14" s="137">
        <v>106.5</v>
      </c>
      <c r="D14" s="137"/>
    </row>
    <row r="15" spans="1:3" ht="12.75">
      <c r="A15">
        <v>2001</v>
      </c>
      <c r="B15" s="137">
        <f t="shared" si="0"/>
        <v>80.55722172543652</v>
      </c>
      <c r="C15">
        <v>109.3</v>
      </c>
    </row>
    <row r="16" spans="1:3" ht="12.75">
      <c r="A16">
        <v>2002</v>
      </c>
      <c r="B16" s="137">
        <f t="shared" si="0"/>
        <v>75.79787234042553</v>
      </c>
      <c r="C16" s="137">
        <v>112</v>
      </c>
    </row>
    <row r="17" spans="1:3" ht="12.75">
      <c r="A17">
        <v>2003</v>
      </c>
      <c r="B17" s="137">
        <f t="shared" si="0"/>
        <v>49.42716857610475</v>
      </c>
      <c r="C17">
        <v>114.2</v>
      </c>
    </row>
    <row r="18" spans="2:3" ht="12.75">
      <c r="B18" s="139"/>
      <c r="C18" s="139"/>
    </row>
    <row r="19" spans="2:3" ht="12.75">
      <c r="B19" s="139"/>
      <c r="C19" s="13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E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83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netti'!F146</f>
        <v>14014</v>
      </c>
      <c r="C3" s="7">
        <f>+'Cons spec tot e finalizzati'!G149</f>
        <v>35</v>
      </c>
    </row>
    <row r="4" spans="1:3" ht="12.75">
      <c r="A4">
        <v>1998</v>
      </c>
      <c r="B4" s="136">
        <f>+'Cons spec netti'!G146</f>
        <v>18488</v>
      </c>
      <c r="C4" s="7">
        <f>+'Cons spec tot e finalizzati'!I149</f>
        <v>67</v>
      </c>
    </row>
    <row r="5" spans="1:3" ht="12.75">
      <c r="A5">
        <v>1999</v>
      </c>
      <c r="B5" s="136">
        <f>+'Cons spec netti'!H146</f>
        <v>15982</v>
      </c>
      <c r="C5" s="7">
        <f>+'Cons spec tot e finalizzati'!K149</f>
        <v>168</v>
      </c>
    </row>
    <row r="6" spans="1:3" ht="12.75">
      <c r="A6">
        <v>2000</v>
      </c>
      <c r="B6" s="136">
        <f>+'Cons spec netti'!I146</f>
        <v>15826</v>
      </c>
      <c r="C6" s="7">
        <f>+'Cons spec tot e finalizzati'!M149</f>
        <v>166</v>
      </c>
    </row>
    <row r="7" spans="1:3" ht="12.75">
      <c r="A7">
        <v>2001</v>
      </c>
      <c r="B7" s="136">
        <f>+'Cons spec netti'!J146</f>
        <v>16369.117690198163</v>
      </c>
      <c r="C7" s="7">
        <f>+'Cons spec tot e finalizzati'!O149</f>
        <v>1643.8823098018356</v>
      </c>
    </row>
    <row r="8" spans="1:3" ht="12.75">
      <c r="A8">
        <v>2002</v>
      </c>
      <c r="B8" s="136">
        <f>+'Cons spec netti'!K146</f>
        <v>17255</v>
      </c>
      <c r="C8" s="7">
        <f>+'Cons spec tot e finalizzati'!Q149</f>
        <v>1241</v>
      </c>
    </row>
    <row r="9" spans="1:3" ht="12.75">
      <c r="A9">
        <v>2003</v>
      </c>
      <c r="B9" s="136">
        <f>+'Cons spec netti'!L146</f>
        <v>17007</v>
      </c>
      <c r="C9" s="7">
        <f>+'Cons spec tot e finalizzati'!S149</f>
        <v>1823</v>
      </c>
    </row>
    <row r="10" spans="2:3" ht="12.75">
      <c r="B10" t="s">
        <v>81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131.92521763950336</v>
      </c>
      <c r="C12" s="137">
        <v>102.2</v>
      </c>
    </row>
    <row r="13" spans="1:3" ht="12.75">
      <c r="A13">
        <v>1999</v>
      </c>
      <c r="B13" s="137">
        <f t="shared" si="0"/>
        <v>114.04309975738546</v>
      </c>
      <c r="C13" s="137">
        <v>104</v>
      </c>
    </row>
    <row r="14" spans="1:3" ht="12.75">
      <c r="A14">
        <v>2000</v>
      </c>
      <c r="B14" s="137">
        <f t="shared" si="0"/>
        <v>112.9299272156415</v>
      </c>
      <c r="C14" s="137">
        <v>106.5</v>
      </c>
    </row>
    <row r="15" spans="1:3" ht="12.75">
      <c r="A15">
        <v>2001</v>
      </c>
      <c r="B15" s="137">
        <f t="shared" si="0"/>
        <v>116.80546375194922</v>
      </c>
      <c r="C15">
        <v>109.3</v>
      </c>
    </row>
    <row r="16" spans="1:3" ht="12.75">
      <c r="A16">
        <v>2002</v>
      </c>
      <c r="B16" s="137">
        <f t="shared" si="0"/>
        <v>123.12687312687314</v>
      </c>
      <c r="C16" s="137">
        <v>112</v>
      </c>
    </row>
    <row r="17" spans="1:3" ht="12.75">
      <c r="A17">
        <v>2003</v>
      </c>
      <c r="B17" s="137">
        <f t="shared" si="0"/>
        <v>121.35721421435707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E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84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netti'!F40</f>
        <v>781</v>
      </c>
      <c r="C3" s="7">
        <f>+'Cons spec tot e finalizzati'!G43</f>
        <v>0</v>
      </c>
    </row>
    <row r="4" spans="1:3" ht="12.75">
      <c r="A4">
        <v>1998</v>
      </c>
      <c r="B4" s="136">
        <f>+'Cons spec netti'!G40</f>
        <v>1120</v>
      </c>
      <c r="C4" s="7">
        <f>+'Cons spec tot e finalizzati'!I43</f>
        <v>0</v>
      </c>
    </row>
    <row r="5" spans="1:3" ht="12.75">
      <c r="A5">
        <v>1999</v>
      </c>
      <c r="B5" s="136">
        <f>+'Cons spec netti'!H40</f>
        <v>1240</v>
      </c>
      <c r="C5" s="7">
        <f>+'Cons spec tot e finalizzati'!K43</f>
        <v>0</v>
      </c>
    </row>
    <row r="6" spans="1:3" ht="12.75">
      <c r="A6">
        <v>2000</v>
      </c>
      <c r="B6" s="136">
        <f>+'Cons spec netti'!I40</f>
        <v>1008</v>
      </c>
      <c r="C6" s="7">
        <f>+'Cons spec tot e finalizzati'!M43</f>
        <v>0</v>
      </c>
    </row>
    <row r="7" spans="1:3" ht="12.75">
      <c r="A7">
        <v>2001</v>
      </c>
      <c r="B7" s="136">
        <f>+'Cons spec netti'!J40</f>
        <v>1045</v>
      </c>
      <c r="C7" s="7">
        <f>+'Cons spec tot e finalizzati'!O43</f>
        <v>0</v>
      </c>
    </row>
    <row r="8" spans="1:3" ht="12.75">
      <c r="A8">
        <v>2002</v>
      </c>
      <c r="B8" s="136">
        <f>+'Cons spec netti'!K40</f>
        <v>1063</v>
      </c>
      <c r="C8" s="7">
        <f>+'Cons spec tot e finalizzati'!Q43</f>
        <v>0</v>
      </c>
    </row>
    <row r="9" spans="1:3" ht="12.75">
      <c r="A9">
        <v>2003</v>
      </c>
      <c r="B9" s="136">
        <f>+'Cons spec netti'!L40</f>
        <v>983</v>
      </c>
      <c r="C9" s="7">
        <f>+'Cons spec tot e finalizzati'!S43</f>
        <v>0</v>
      </c>
    </row>
    <row r="10" spans="2:3" ht="12.75">
      <c r="B10" t="s">
        <v>100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8">
        <f aca="true" t="shared" si="0" ref="B12:B17">+B4/$B$3*100</f>
        <v>143.40588988476313</v>
      </c>
      <c r="C12" s="137">
        <v>102.2</v>
      </c>
    </row>
    <row r="13" spans="1:3" ht="12.75">
      <c r="A13">
        <v>1999</v>
      </c>
      <c r="B13" s="138">
        <f t="shared" si="0"/>
        <v>158.7708066581306</v>
      </c>
      <c r="C13" s="137">
        <v>104</v>
      </c>
    </row>
    <row r="14" spans="1:3" ht="12.75">
      <c r="A14">
        <v>2000</v>
      </c>
      <c r="B14" s="138">
        <f t="shared" si="0"/>
        <v>129.0653008962868</v>
      </c>
      <c r="C14" s="137">
        <v>106.5</v>
      </c>
    </row>
    <row r="15" spans="1:3" ht="12.75">
      <c r="A15">
        <v>2001</v>
      </c>
      <c r="B15" s="138">
        <f t="shared" si="0"/>
        <v>133.80281690140845</v>
      </c>
      <c r="C15">
        <v>109.3</v>
      </c>
    </row>
    <row r="16" spans="1:3" ht="12.75">
      <c r="A16">
        <v>2002</v>
      </c>
      <c r="B16" s="138">
        <f t="shared" si="0"/>
        <v>136.10755441741358</v>
      </c>
      <c r="C16" s="137">
        <v>112</v>
      </c>
    </row>
    <row r="17" spans="1:3" ht="12.75">
      <c r="A17">
        <v>2003</v>
      </c>
      <c r="B17" s="138">
        <f t="shared" si="0"/>
        <v>125.86427656850192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F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</cols>
  <sheetData>
    <row r="1" ht="12.75">
      <c r="A1" t="s">
        <v>151</v>
      </c>
    </row>
    <row r="2" spans="2:3" ht="12.75">
      <c r="B2" t="s">
        <v>80</v>
      </c>
      <c r="C2" t="s">
        <v>98</v>
      </c>
    </row>
    <row r="3" spans="1:3" ht="12.75">
      <c r="A3">
        <v>1997</v>
      </c>
      <c r="B3" s="136">
        <f>+'Cons spec netti'!F47</f>
        <v>71</v>
      </c>
      <c r="C3" s="7">
        <f>+'Cons spec tot e finalizzati'!G50</f>
        <v>0</v>
      </c>
    </row>
    <row r="4" spans="1:3" ht="12.75">
      <c r="A4">
        <v>1998</v>
      </c>
      <c r="B4" s="136">
        <f>+'Cons spec netti'!G47</f>
        <v>80</v>
      </c>
      <c r="C4" s="7">
        <f>+'Cons spec tot e finalizzati'!I50</f>
        <v>0</v>
      </c>
    </row>
    <row r="5" spans="1:3" ht="12.75">
      <c r="A5">
        <v>1999</v>
      </c>
      <c r="B5" s="136">
        <f>+'Cons spec netti'!H47</f>
        <v>89</v>
      </c>
      <c r="C5" s="7">
        <f>+'Cons spec tot e finalizzati'!K50</f>
        <v>0</v>
      </c>
    </row>
    <row r="6" spans="1:3" ht="12.75">
      <c r="A6">
        <v>2000</v>
      </c>
      <c r="B6" s="136">
        <f>+'Cons spec netti'!I47</f>
        <v>116</v>
      </c>
      <c r="C6" s="7">
        <f>+'Cons spec tot e finalizzati'!M50</f>
        <v>0</v>
      </c>
    </row>
    <row r="7" spans="1:3" ht="12.75">
      <c r="A7">
        <v>2001</v>
      </c>
      <c r="B7" s="136">
        <f>+'Cons spec netti'!J47</f>
        <v>80</v>
      </c>
      <c r="C7" s="7">
        <f>+'Cons spec tot e finalizzati'!O50</f>
        <v>0</v>
      </c>
    </row>
    <row r="8" spans="1:3" ht="12.75">
      <c r="A8">
        <v>2002</v>
      </c>
      <c r="B8" s="136">
        <f>+'Cons spec netti'!K47</f>
        <v>107</v>
      </c>
      <c r="C8" s="7">
        <f>+'Cons spec tot e finalizzati'!Q50</f>
        <v>0</v>
      </c>
    </row>
    <row r="9" spans="1:3" ht="12.75">
      <c r="A9">
        <v>2003</v>
      </c>
      <c r="B9" s="136">
        <f>+'Cons spec netti'!L47</f>
        <v>58</v>
      </c>
      <c r="C9" s="7">
        <f>+'Cons spec tot e finalizzati'!S50</f>
        <v>0</v>
      </c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112.67605633802818</v>
      </c>
      <c r="C12" s="137">
        <v>102.2</v>
      </c>
    </row>
    <row r="13" spans="1:3" ht="12.75">
      <c r="A13">
        <v>1999</v>
      </c>
      <c r="B13" s="137">
        <f t="shared" si="0"/>
        <v>125.35211267605635</v>
      </c>
      <c r="C13" s="137">
        <v>104</v>
      </c>
    </row>
    <row r="14" spans="1:3" ht="12.75">
      <c r="A14">
        <v>2000</v>
      </c>
      <c r="B14" s="137">
        <f t="shared" si="0"/>
        <v>163.38028169014086</v>
      </c>
      <c r="C14" s="137">
        <v>106.5</v>
      </c>
    </row>
    <row r="15" spans="1:3" ht="12.75">
      <c r="A15">
        <v>2001</v>
      </c>
      <c r="B15" s="137">
        <f t="shared" si="0"/>
        <v>112.67605633802818</v>
      </c>
      <c r="C15">
        <v>109.3</v>
      </c>
    </row>
    <row r="16" spans="1:3" ht="12.75">
      <c r="A16">
        <v>2002</v>
      </c>
      <c r="B16" s="137">
        <f t="shared" si="0"/>
        <v>150.70422535211267</v>
      </c>
      <c r="C16" s="137">
        <v>112</v>
      </c>
    </row>
    <row r="17" spans="1:3" ht="12.75">
      <c r="A17">
        <v>2003</v>
      </c>
      <c r="B17" s="137">
        <f t="shared" si="0"/>
        <v>81.69014084507043</v>
      </c>
      <c r="C17">
        <v>114.2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E1">
      <selection activeCell="A1" sqref="A1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5.7109375" style="0" customWidth="1"/>
    <col min="4" max="4" width="12.8515625" style="0" customWidth="1"/>
  </cols>
  <sheetData>
    <row r="1" ht="12.75">
      <c r="A1" t="s">
        <v>85</v>
      </c>
    </row>
    <row r="2" spans="2:3" ht="12.75">
      <c r="B2" t="s">
        <v>80</v>
      </c>
      <c r="C2" t="s">
        <v>98</v>
      </c>
    </row>
    <row r="3" spans="1:4" ht="12.75">
      <c r="A3">
        <v>1997</v>
      </c>
      <c r="B3" s="136">
        <f>+'Cons spec netti'!F51</f>
        <v>7274</v>
      </c>
      <c r="C3" s="7">
        <f>+'Cons spec tot e finalizzati'!G54</f>
        <v>0</v>
      </c>
      <c r="D3" s="7"/>
    </row>
    <row r="4" spans="1:4" ht="12.75">
      <c r="A4">
        <v>1998</v>
      </c>
      <c r="B4" s="136">
        <f>+'Cons spec netti'!G51</f>
        <v>8829</v>
      </c>
      <c r="C4" s="7">
        <f>+'Cons spec tot e finalizzati'!I54</f>
        <v>0</v>
      </c>
      <c r="D4" s="7"/>
    </row>
    <row r="5" spans="1:4" ht="12.75">
      <c r="A5">
        <v>1999</v>
      </c>
      <c r="B5" s="136">
        <f>+'Cons spec netti'!H51</f>
        <v>7879</v>
      </c>
      <c r="C5" s="7">
        <f>+'Cons spec tot e finalizzati'!K54</f>
        <v>0</v>
      </c>
      <c r="D5" s="7"/>
    </row>
    <row r="6" spans="1:4" ht="12.75">
      <c r="A6">
        <v>2000</v>
      </c>
      <c r="B6" s="136">
        <f>+'Cons spec netti'!I51</f>
        <v>9104</v>
      </c>
      <c r="C6" s="7">
        <f>+'Cons spec tot e finalizzati'!M54</f>
        <v>0</v>
      </c>
      <c r="D6" s="7"/>
    </row>
    <row r="7" spans="1:4" ht="12.75">
      <c r="A7">
        <v>2001</v>
      </c>
      <c r="B7" s="136">
        <f>+'Cons spec netti'!J51</f>
        <v>7903.412395998492</v>
      </c>
      <c r="C7" s="7">
        <f>+'Cons spec tot e finalizzati'!O54</f>
        <v>112.58760400150805</v>
      </c>
      <c r="D7" s="7"/>
    </row>
    <row r="8" spans="1:4" ht="12.75">
      <c r="A8">
        <v>2002</v>
      </c>
      <c r="B8" s="136">
        <f>+'Cons spec netti'!K51</f>
        <v>7893</v>
      </c>
      <c r="C8" s="7">
        <f>+'Cons spec tot e finalizzati'!Q54</f>
        <v>620</v>
      </c>
      <c r="D8" s="7"/>
    </row>
    <row r="9" spans="1:4" ht="12.75">
      <c r="A9">
        <v>2003</v>
      </c>
      <c r="B9" s="136">
        <f>+'Cons spec netti'!L51</f>
        <v>8031</v>
      </c>
      <c r="C9" s="7">
        <f>+'Cons spec tot e finalizzati'!S54</f>
        <v>404</v>
      </c>
      <c r="D9" s="7"/>
    </row>
    <row r="10" spans="2:3" ht="12.75">
      <c r="B10" t="s">
        <v>99</v>
      </c>
      <c r="C10" t="s">
        <v>82</v>
      </c>
    </row>
    <row r="11" spans="1:3" ht="12.75">
      <c r="A11">
        <v>1997</v>
      </c>
      <c r="B11" s="137">
        <v>100</v>
      </c>
      <c r="C11" s="137">
        <v>100</v>
      </c>
    </row>
    <row r="12" spans="1:3" ht="12.75">
      <c r="A12">
        <v>1998</v>
      </c>
      <c r="B12" s="137">
        <f aca="true" t="shared" si="0" ref="B12:B17">+B4/$B$3*100</f>
        <v>121.37750893593622</v>
      </c>
      <c r="C12" s="137">
        <v>102.2</v>
      </c>
    </row>
    <row r="13" spans="1:3" ht="12.75">
      <c r="A13">
        <v>1999</v>
      </c>
      <c r="B13" s="137">
        <f t="shared" si="0"/>
        <v>108.31729447346714</v>
      </c>
      <c r="C13" s="137">
        <v>104</v>
      </c>
    </row>
    <row r="14" spans="1:3" ht="12.75">
      <c r="A14">
        <v>2000</v>
      </c>
      <c r="B14" s="137">
        <f t="shared" si="0"/>
        <v>125.15809733296672</v>
      </c>
      <c r="C14" s="137">
        <v>106.5</v>
      </c>
    </row>
    <row r="15" spans="1:3" ht="12.75">
      <c r="A15">
        <v>2001</v>
      </c>
      <c r="B15" s="137">
        <f t="shared" si="0"/>
        <v>108.65290618639665</v>
      </c>
      <c r="C15">
        <v>109.3</v>
      </c>
    </row>
    <row r="16" spans="1:3" ht="12.75">
      <c r="A16">
        <v>2002</v>
      </c>
      <c r="B16" s="137">
        <f t="shared" si="0"/>
        <v>108.50976079186142</v>
      </c>
      <c r="C16" s="137">
        <v>112</v>
      </c>
    </row>
    <row r="17" spans="1:3" ht="12.75">
      <c r="A17">
        <v>2003</v>
      </c>
      <c r="B17" s="137">
        <f t="shared" si="0"/>
        <v>110.40692878746219</v>
      </c>
      <c r="C17">
        <v>114.2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2004-04-09T07:04:01Z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