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uart cons spec" sheetId="1" r:id="rId1"/>
  </sheets>
  <definedNames>
    <definedName name="_xlnm.Print_Area" localSheetId="0">'Quart cons spec'!$A$1:$O$68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<sst xmlns="http://schemas.openxmlformats.org/spreadsheetml/2006/main" count="66" uniqueCount="59">
  <si>
    <t>Beni durevoli</t>
  </si>
  <si>
    <t>CONS</t>
  </si>
  <si>
    <t>D</t>
  </si>
  <si>
    <t>SU PRC2</t>
  </si>
  <si>
    <t>DIREZIONE, AFFARI GENERALI E ISTITUZ.</t>
  </si>
  <si>
    <t>Interventi promozionali</t>
  </si>
  <si>
    <t>Spese di funzionamento economali</t>
  </si>
  <si>
    <t>SERVIZI SOCIO ASSISTENZIALI</t>
  </si>
  <si>
    <t>Case protette e RSA</t>
  </si>
  <si>
    <t>Assistenza domiciliare</t>
  </si>
  <si>
    <t>Centri diurni</t>
  </si>
  <si>
    <t>Telesoccorso</t>
  </si>
  <si>
    <t>Buoni mensa</t>
  </si>
  <si>
    <t>Altri servizi socio-assistenziali</t>
  </si>
  <si>
    <t>SC. DELL'INFANZIA/ALTRI SERV. EDUCATIVI</t>
  </si>
  <si>
    <t>Progetto integrato scuola dell'infanzia</t>
  </si>
  <si>
    <t>Estate in città</t>
  </si>
  <si>
    <t>Trasporto (mezzi)</t>
  </si>
  <si>
    <t xml:space="preserve">Assistenza alunni con handicap </t>
  </si>
  <si>
    <t>Servizi integrativi</t>
  </si>
  <si>
    <t>SPORT / CULTURA E GIOVANI</t>
  </si>
  <si>
    <t>Impianti sportivi</t>
  </si>
  <si>
    <t>Biblioteche</t>
  </si>
  <si>
    <t>Giovani</t>
  </si>
  <si>
    <t>TOTALE QUARTIERI</t>
  </si>
  <si>
    <t>TOTALE  QUARTIERI</t>
  </si>
  <si>
    <t>COORD. ORGANIZZ. DECENTRATA</t>
  </si>
  <si>
    <t>****</t>
  </si>
  <si>
    <t>TOTALE CONS. SPECIFICI</t>
  </si>
  <si>
    <t xml:space="preserve">QUARTIERI AGGREGATI </t>
  </si>
  <si>
    <t>Reimpiego Contributo Bologna 2000</t>
  </si>
  <si>
    <t>Reimpiego contr. Stato minori a rischio</t>
  </si>
  <si>
    <t>Reimpiego contr. Comm. Europea - 1</t>
  </si>
  <si>
    <t>Reimpiego contr. Comm. Europea - 2</t>
  </si>
  <si>
    <t>Reimpiego contr. Bologna 2000 progetto educ. Pace</t>
  </si>
  <si>
    <t>Contributo della regione Q.re Reno</t>
  </si>
  <si>
    <t>Reimpiego contributo regionale per i nomadi</t>
  </si>
  <si>
    <t>Cultura</t>
  </si>
  <si>
    <t>Vacanze anziani</t>
  </si>
  <si>
    <t>Diritto allo studio e servizi educativi</t>
  </si>
  <si>
    <t>Premio letterario Navile (contro entrata)</t>
  </si>
  <si>
    <t>Aiuti all'autonomia</t>
  </si>
  <si>
    <t>Contributo Bologna 2000 (S.Donato)</t>
  </si>
  <si>
    <t>1: 81 prestazioni professionali varie; 253 acquisto beni durevoli</t>
  </si>
  <si>
    <t>2: 107 estate in città handicap, 101 prestazioni professionali e contributi vari, 14 acquisto beni durevoli.</t>
  </si>
  <si>
    <t>3: 322 estate in città fascia grandi, 66 centro diurno di Savena in convenzione, 53 sperimentazioni assistenza domiciliare, 88 contributi vari ed altro.</t>
  </si>
  <si>
    <t>4: 543 estate in città grandi, 196 centro diurno Savena, 64 sperimentazioni assistenza domiciliare, 62 convenzioni CAF, 58 Piano Offerta Formativa, 29 altro.</t>
  </si>
  <si>
    <t>5: di cui 132 per strumentazione e arredi nuovi urp di quartiere</t>
  </si>
  <si>
    <t>6: 394 per passaggio a convenzione di nuovi impianti sportivi nei quartieri, 131 centro diurno di Savena, 83 estate in città 12-14 anni, 51 CAF, 33 altro.</t>
  </si>
  <si>
    <t>INDICE INFLAZIONE</t>
  </si>
  <si>
    <t>INDICE CONSUMI SPECIFICI</t>
  </si>
  <si>
    <t xml:space="preserve">7: 263 sperimentazione ADI, 254 ampliamento offerta nei centri diurni, 232 assegni di cura, 150 progetto informatizzazione scuole, estate in città 12-14 anni, </t>
  </si>
  <si>
    <t>100 progetto call-center</t>
  </si>
  <si>
    <t xml:space="preserve">Case di riposo </t>
  </si>
  <si>
    <t>Libere Forme Associative</t>
  </si>
  <si>
    <t>QUARTIERI CONSUMI SPECIFICI: SERIE STORICA (1997- 2003)</t>
  </si>
  <si>
    <t>Nomadi</t>
  </si>
  <si>
    <t>Incarichi professionali</t>
  </si>
  <si>
    <t>8: 7 Contributo AUSL tempo per mangiare, 87 estate in città 12-14 anni, 53 altro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</si>
</sst>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#,##0.000"/>
    <numFmt numFmtId="174" formatCode="\(0\)"/>
  </numFmts>
  <fonts count="6"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5" fillId="0" borderId="9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3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74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3" fontId="2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left"/>
    </xf>
    <xf numFmtId="49" fontId="3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29"/>
  <sheetViews>
    <sheetView tabSelected="1" workbookViewId="0" topLeftCell="A1">
      <selection activeCell="R15" sqref="R15"/>
    </sheetView>
  </sheetViews>
  <sheetFormatPr defaultColWidth="9.140625" defaultRowHeight="12.75"/>
  <cols>
    <col min="1" max="1" width="39.421875" style="0" customWidth="1"/>
    <col min="2" max="2" width="5.7109375" style="0" bestFit="1" customWidth="1"/>
    <col min="3" max="3" width="4.8515625" style="4" bestFit="1" customWidth="1"/>
    <col min="4" max="4" width="5.7109375" style="0" bestFit="1" customWidth="1"/>
    <col min="5" max="5" width="4.8515625" style="0" bestFit="1" customWidth="1"/>
    <col min="6" max="6" width="5.7109375" style="0" bestFit="1" customWidth="1"/>
    <col min="7" max="7" width="4.8515625" style="0" bestFit="1" customWidth="1"/>
    <col min="8" max="8" width="5.7109375" style="0" bestFit="1" customWidth="1"/>
    <col min="9" max="9" width="4.8515625" style="0" bestFit="1" customWidth="1"/>
    <col min="10" max="10" width="6.574218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7109375" style="0" bestFit="1" customWidth="1"/>
    <col min="15" max="15" width="4.8515625" style="0" bestFit="1" customWidth="1"/>
  </cols>
  <sheetData>
    <row r="1" spans="1:7" ht="15">
      <c r="A1" s="1" t="s">
        <v>55</v>
      </c>
      <c r="B1" s="41"/>
      <c r="C1" s="41"/>
      <c r="D1" s="41"/>
      <c r="E1" s="41"/>
      <c r="F1" s="41"/>
      <c r="G1" s="41"/>
    </row>
    <row r="2" spans="1:47" ht="12.75">
      <c r="A2" s="43"/>
      <c r="AU2">
        <f>6+14+2+4+6+16+10+14+6</f>
        <v>78</v>
      </c>
    </row>
    <row r="3" ht="6" customHeight="1">
      <c r="A3" s="2"/>
    </row>
    <row r="4" spans="1:46" ht="12.75">
      <c r="A4" s="5"/>
      <c r="B4" s="7" t="s">
        <v>1</v>
      </c>
      <c r="C4" s="6"/>
      <c r="D4" s="7" t="s">
        <v>1</v>
      </c>
      <c r="E4" s="6"/>
      <c r="F4" s="7" t="s">
        <v>1</v>
      </c>
      <c r="G4" s="6"/>
      <c r="H4" s="7" t="s">
        <v>1</v>
      </c>
      <c r="I4" s="6"/>
      <c r="J4" s="7" t="s">
        <v>1</v>
      </c>
      <c r="K4" s="6"/>
      <c r="L4" s="7" t="s">
        <v>1</v>
      </c>
      <c r="M4" s="6"/>
      <c r="N4" s="7" t="s">
        <v>1</v>
      </c>
      <c r="O4" s="6"/>
      <c r="AS4" s="9" t="s">
        <v>2</v>
      </c>
      <c r="AT4" s="8"/>
    </row>
    <row r="5" spans="1:46" ht="12.75">
      <c r="A5" s="5"/>
      <c r="B5" s="35">
        <v>1997</v>
      </c>
      <c r="C5" s="10"/>
      <c r="D5" s="35">
        <v>1998</v>
      </c>
      <c r="E5" s="10"/>
      <c r="F5" s="35">
        <v>1999</v>
      </c>
      <c r="G5" s="10"/>
      <c r="H5" s="35">
        <v>2000</v>
      </c>
      <c r="I5" s="10"/>
      <c r="J5" s="35">
        <v>2001</v>
      </c>
      <c r="K5" s="10"/>
      <c r="L5" s="35">
        <v>2002</v>
      </c>
      <c r="M5" s="10"/>
      <c r="N5" s="35">
        <v>2003</v>
      </c>
      <c r="O5" s="10"/>
      <c r="AS5" s="11" t="s">
        <v>3</v>
      </c>
      <c r="AT5" s="12"/>
    </row>
    <row r="6" spans="1:46" ht="12.75">
      <c r="A6" s="13" t="s">
        <v>24</v>
      </c>
      <c r="B6" s="14"/>
      <c r="C6" s="36"/>
      <c r="D6" s="14"/>
      <c r="E6" s="36"/>
      <c r="F6" s="14"/>
      <c r="G6" s="36"/>
      <c r="H6" s="14"/>
      <c r="I6" s="36"/>
      <c r="J6" s="14"/>
      <c r="K6" s="36"/>
      <c r="L6" s="14"/>
      <c r="M6" s="36"/>
      <c r="N6" s="14"/>
      <c r="O6" s="36"/>
      <c r="AS6" s="14"/>
      <c r="AT6" s="15"/>
    </row>
    <row r="7" spans="1:46" ht="12.75">
      <c r="A7" s="16" t="s">
        <v>4</v>
      </c>
      <c r="B7" s="17">
        <f>SUM(C8:C10)</f>
        <v>677.5914516054063</v>
      </c>
      <c r="C7" s="21"/>
      <c r="D7" s="17">
        <f>SUM(E8:E10)</f>
        <v>1512.7022574331058</v>
      </c>
      <c r="E7" s="21"/>
      <c r="F7" s="17">
        <f>SUM(G8:G10)</f>
        <v>1748.7230603170015</v>
      </c>
      <c r="G7" s="21"/>
      <c r="H7" s="17">
        <f>SUM(I8:I12)</f>
        <v>1842.9045845878932</v>
      </c>
      <c r="I7" s="21"/>
      <c r="J7" s="17">
        <f>SUM(K8:K12)</f>
        <v>1979</v>
      </c>
      <c r="K7" s="21"/>
      <c r="L7" s="17">
        <f>SUM(M8:M12)</f>
        <v>1786</v>
      </c>
      <c r="M7" s="21"/>
      <c r="N7" s="17">
        <f>SUM(O8:O12)</f>
        <v>1517</v>
      </c>
      <c r="O7" s="21"/>
      <c r="AS7" s="17" t="e">
        <f>SUM(AT8:AT10)</f>
        <v>#REF!</v>
      </c>
      <c r="AT7" s="18"/>
    </row>
    <row r="8" spans="1:46" ht="12.75">
      <c r="A8" s="19" t="s">
        <v>5</v>
      </c>
      <c r="B8" s="20"/>
      <c r="C8" s="21">
        <f>772/1.93627</f>
        <v>398.7047260970836</v>
      </c>
      <c r="D8" s="20"/>
      <c r="E8" s="21">
        <f>992/1.93627</f>
        <v>512.3252438967706</v>
      </c>
      <c r="F8" s="20"/>
      <c r="G8" s="21">
        <f>862/1.93627</f>
        <v>445.18584701513737</v>
      </c>
      <c r="H8" s="20"/>
      <c r="I8" s="21">
        <f>932/1.93627</f>
        <v>481.33782995140143</v>
      </c>
      <c r="J8" s="20"/>
      <c r="K8" s="44">
        <v>574</v>
      </c>
      <c r="L8" s="20"/>
      <c r="M8" s="18">
        <v>742</v>
      </c>
      <c r="N8" s="20"/>
      <c r="O8" s="21">
        <v>590</v>
      </c>
      <c r="AS8" s="20"/>
      <c r="AT8" s="21" t="e">
        <f>+#REF!+#REF!+#REF!+#REF!+#REF!+#REF!+#REF!+#REF!+#REF!</f>
        <v>#REF!</v>
      </c>
    </row>
    <row r="9" spans="1:46" ht="12.75">
      <c r="A9" s="19" t="s">
        <v>6</v>
      </c>
      <c r="B9" s="20"/>
      <c r="C9" s="21">
        <f>540/1.93627</f>
        <v>278.88672550832274</v>
      </c>
      <c r="D9" s="20"/>
      <c r="E9" s="21">
        <f>1222/1.93627</f>
        <v>631.1103306873525</v>
      </c>
      <c r="F9" s="20"/>
      <c r="G9" s="21">
        <f>1704/1.93627</f>
        <v>880.042556048485</v>
      </c>
      <c r="H9" s="20"/>
      <c r="I9" s="21">
        <f>1827/1.93627</f>
        <v>943.5667546364919</v>
      </c>
      <c r="J9" s="20"/>
      <c r="K9" s="44">
        <v>916</v>
      </c>
      <c r="L9" s="20"/>
      <c r="M9" s="18">
        <v>914</v>
      </c>
      <c r="N9" s="20"/>
      <c r="O9" s="21">
        <v>759</v>
      </c>
      <c r="AS9" s="20"/>
      <c r="AT9" s="21" t="e">
        <f>+#REF!+#REF!+#REF!+#REF!+#REF!+#REF!+#REF!+#REF!+#REF!</f>
        <v>#REF!</v>
      </c>
    </row>
    <row r="10" spans="1:46" ht="12.75">
      <c r="A10" s="19" t="s">
        <v>0</v>
      </c>
      <c r="B10" s="20"/>
      <c r="C10" s="21">
        <v>0</v>
      </c>
      <c r="D10" s="20"/>
      <c r="E10" s="21">
        <f>715/1.93627</f>
        <v>369.26668284898284</v>
      </c>
      <c r="F10" s="20"/>
      <c r="G10" s="21">
        <f>820/1.93627</f>
        <v>423.49465725337893</v>
      </c>
      <c r="H10" s="20"/>
      <c r="I10" s="21">
        <v>418</v>
      </c>
      <c r="J10" s="20"/>
      <c r="K10" s="44">
        <v>485</v>
      </c>
      <c r="L10" s="20"/>
      <c r="M10" s="18"/>
      <c r="N10" s="20"/>
      <c r="O10" s="21"/>
      <c r="AS10" s="20"/>
      <c r="AT10" s="21" t="e">
        <f>+#REF!+#REF!+#REF!+#REF!+#REF!+#REF!+#REF!+#REF!+#REF!</f>
        <v>#REF!</v>
      </c>
    </row>
    <row r="11" spans="1:46" ht="12.75">
      <c r="A11" s="42" t="s">
        <v>54</v>
      </c>
      <c r="B11" s="20"/>
      <c r="C11" s="21"/>
      <c r="D11" s="20"/>
      <c r="E11" s="21"/>
      <c r="F11" s="20"/>
      <c r="G11" s="21"/>
      <c r="H11" s="20"/>
      <c r="I11" s="21"/>
      <c r="J11" s="20"/>
      <c r="K11" s="21"/>
      <c r="L11" s="20"/>
      <c r="M11" s="21">
        <v>130</v>
      </c>
      <c r="N11" s="20"/>
      <c r="O11" s="21">
        <v>168</v>
      </c>
      <c r="AS11" s="20"/>
      <c r="AT11" s="21"/>
    </row>
    <row r="12" spans="1:46" ht="12.75">
      <c r="A12" s="42" t="s">
        <v>40</v>
      </c>
      <c r="B12" s="20"/>
      <c r="C12" s="21">
        <v>0</v>
      </c>
      <c r="D12" s="20"/>
      <c r="E12" s="21">
        <v>0</v>
      </c>
      <c r="F12" s="20"/>
      <c r="G12" s="21">
        <v>0</v>
      </c>
      <c r="H12" s="20"/>
      <c r="I12" s="21">
        <v>0</v>
      </c>
      <c r="J12" s="20"/>
      <c r="K12" s="21">
        <v>4</v>
      </c>
      <c r="L12" s="20"/>
      <c r="M12" s="21"/>
      <c r="N12" s="20"/>
      <c r="O12" s="21"/>
      <c r="AS12" s="20"/>
      <c r="AT12" s="21"/>
    </row>
    <row r="13" spans="1:46" ht="12.75">
      <c r="A13" s="42"/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AS13" s="20"/>
      <c r="AT13" s="21"/>
    </row>
    <row r="14" spans="1:46" ht="12.75">
      <c r="A14" s="22" t="s">
        <v>7</v>
      </c>
      <c r="B14" s="17">
        <f>SUM(C15:C28)</f>
        <v>15850.57868995543</v>
      </c>
      <c r="C14" s="18"/>
      <c r="D14" s="17">
        <f>SUM(E15:E28)</f>
        <v>16879.360832941686</v>
      </c>
      <c r="E14" s="18"/>
      <c r="F14" s="17">
        <f>SUM(G15:G28)</f>
        <v>17634.420819410516</v>
      </c>
      <c r="G14" s="18"/>
      <c r="H14" s="17">
        <f>SUM(I15:I29)</f>
        <v>19080.500136861076</v>
      </c>
      <c r="I14" s="18"/>
      <c r="J14" s="17">
        <f>SUM(K15:K29)</f>
        <v>19557.493706972684</v>
      </c>
      <c r="K14" s="18"/>
      <c r="L14" s="17">
        <f>SUM(M15:M29)</f>
        <v>19524</v>
      </c>
      <c r="M14" s="18"/>
      <c r="N14" s="17">
        <f>SUM(O15:O29)</f>
        <v>20883</v>
      </c>
      <c r="O14" s="18"/>
      <c r="AS14" s="17" t="e">
        <f>SUM(AT15:AT23)</f>
        <v>#REF!</v>
      </c>
      <c r="AT14" s="18"/>
    </row>
    <row r="15" spans="1:46" ht="12.75">
      <c r="A15" s="19" t="s">
        <v>53</v>
      </c>
      <c r="B15" s="20"/>
      <c r="C15" s="21">
        <f>17531/1.93627</f>
        <v>9054.005897937788</v>
      </c>
      <c r="D15" s="20"/>
      <c r="E15" s="21">
        <f>13648/1.93627</f>
        <v>7048.603758773312</v>
      </c>
      <c r="F15" s="20"/>
      <c r="G15" s="21">
        <f>11898/1.93627</f>
        <v>6144.80418536671</v>
      </c>
      <c r="H15" s="20"/>
      <c r="I15" s="21">
        <f>11736/1.93627</f>
        <v>6061.1381677142135</v>
      </c>
      <c r="J15" s="20"/>
      <c r="K15" s="21">
        <v>6220</v>
      </c>
      <c r="L15" s="20"/>
      <c r="M15" s="21">
        <v>5501</v>
      </c>
      <c r="N15" s="20"/>
      <c r="O15" s="21">
        <v>6112</v>
      </c>
      <c r="AS15" s="20"/>
      <c r="AT15" s="21" t="e">
        <f>+#REF!+#REF!+#REF!+#REF!+#REF!+#REF!+#REF!+#REF!+#REF!</f>
        <v>#REF!</v>
      </c>
    </row>
    <row r="16" spans="1:46" ht="12.75">
      <c r="A16" s="19" t="s">
        <v>8</v>
      </c>
      <c r="B16" s="20"/>
      <c r="C16" s="21">
        <v>0</v>
      </c>
      <c r="D16" s="20"/>
      <c r="E16" s="21">
        <f>4722/1.93627</f>
        <v>2438.7094775005553</v>
      </c>
      <c r="F16" s="20"/>
      <c r="G16" s="21">
        <f>5361/1.93627</f>
        <v>2768.725436018737</v>
      </c>
      <c r="H16" s="20"/>
      <c r="I16" s="21">
        <f>5877/1.93627</f>
        <v>3035.2171959489124</v>
      </c>
      <c r="J16" s="20"/>
      <c r="K16" s="21">
        <v>3098</v>
      </c>
      <c r="L16" s="20"/>
      <c r="M16" s="21">
        <v>3020</v>
      </c>
      <c r="N16" s="20"/>
      <c r="O16" s="21">
        <v>2700</v>
      </c>
      <c r="AS16" s="20"/>
      <c r="AT16" s="21" t="e">
        <f>+#REF!+#REF!+#REF!+#REF!+#REF!+#REF!+#REF!+#REF!+#REF!</f>
        <v>#REF!</v>
      </c>
    </row>
    <row r="17" spans="1:46" ht="12.75">
      <c r="A17" s="19" t="s">
        <v>9</v>
      </c>
      <c r="B17" s="20"/>
      <c r="C17" s="21">
        <f>8218/1.93627</f>
        <v>4244.2427967174</v>
      </c>
      <c r="D17" s="20"/>
      <c r="E17" s="21">
        <f>8694/1.93627</f>
        <v>4490.076280683996</v>
      </c>
      <c r="F17" s="20"/>
      <c r="G17" s="21">
        <f>9920/1.93627</f>
        <v>5123.252438967706</v>
      </c>
      <c r="H17" s="20"/>
      <c r="I17" s="21">
        <f>11272/1.93627</f>
        <v>5821.502166536692</v>
      </c>
      <c r="J17" s="20"/>
      <c r="K17" s="21">
        <v>6070</v>
      </c>
      <c r="L17" s="20"/>
      <c r="M17" s="21">
        <v>6475</v>
      </c>
      <c r="N17" s="20"/>
      <c r="O17" s="21">
        <v>7189</v>
      </c>
      <c r="AS17" s="20"/>
      <c r="AT17" s="21" t="e">
        <f>+#REF!+#REF!+#REF!+#REF!+#REF!+#REF!+#REF!+#REF!+#REF!</f>
        <v>#REF!</v>
      </c>
    </row>
    <row r="18" spans="1:46" ht="12.75">
      <c r="A18" s="19" t="s">
        <v>10</v>
      </c>
      <c r="B18" s="20"/>
      <c r="C18" s="21">
        <f>1470/1.93627</f>
        <v>759.1916416615452</v>
      </c>
      <c r="D18" s="20"/>
      <c r="E18" s="21">
        <f>1882/1.93627</f>
        <v>971.9718840864136</v>
      </c>
      <c r="F18" s="20"/>
      <c r="G18" s="21">
        <f>2431/1.93627</f>
        <v>1255.5067216865416</v>
      </c>
      <c r="H18" s="20"/>
      <c r="I18" s="21">
        <f>2945/1.93627</f>
        <v>1520.9655678185377</v>
      </c>
      <c r="J18" s="20"/>
      <c r="K18" s="21">
        <v>1590</v>
      </c>
      <c r="L18" s="20"/>
      <c r="M18" s="21">
        <v>1820</v>
      </c>
      <c r="N18" s="20"/>
      <c r="O18" s="21">
        <v>2328</v>
      </c>
      <c r="AS18" s="20"/>
      <c r="AT18" s="21" t="e">
        <f>+#REF!+#REF!+#REF!+#REF!+#REF!+#REF!+#REF!+#REF!+#REF!</f>
        <v>#REF!</v>
      </c>
    </row>
    <row r="19" spans="1:46" ht="12.75">
      <c r="A19" s="19" t="s">
        <v>11</v>
      </c>
      <c r="B19" s="20"/>
      <c r="C19" s="21">
        <v>0</v>
      </c>
      <c r="D19" s="20"/>
      <c r="E19" s="21">
        <f>99/1.93627</f>
        <v>51.12923300985916</v>
      </c>
      <c r="F19" s="20"/>
      <c r="G19" s="21">
        <f>287/1.93627</f>
        <v>148.22313003868263</v>
      </c>
      <c r="H19" s="20"/>
      <c r="I19" s="21">
        <f>273/1.93627</f>
        <v>140.9927334514298</v>
      </c>
      <c r="J19" s="20"/>
      <c r="K19" s="21">
        <v>136</v>
      </c>
      <c r="L19" s="20"/>
      <c r="M19" s="21">
        <v>5</v>
      </c>
      <c r="N19" s="20"/>
      <c r="O19" s="21">
        <v>116</v>
      </c>
      <c r="AS19" s="20"/>
      <c r="AT19" s="21" t="e">
        <f>+#REF!+#REF!+#REF!+#REF!+#REF!+#REF!+#REF!+#REF!+#REF!</f>
        <v>#REF!</v>
      </c>
    </row>
    <row r="20" spans="1:46" ht="12.75">
      <c r="A20" s="19" t="s">
        <v>12</v>
      </c>
      <c r="B20" s="20"/>
      <c r="C20" s="21">
        <f>754/1.93627</f>
        <v>389.40850191347283</v>
      </c>
      <c r="D20" s="20"/>
      <c r="E20" s="21">
        <f>802/1.93627</f>
        <v>414.19843306976816</v>
      </c>
      <c r="F20" s="20"/>
      <c r="G20" s="21">
        <f>848/1.93627</f>
        <v>437.95545042788456</v>
      </c>
      <c r="H20" s="20"/>
      <c r="I20" s="21">
        <f>931/1.93627</f>
        <v>480.8213730523119</v>
      </c>
      <c r="J20" s="20"/>
      <c r="K20" s="21">
        <v>512</v>
      </c>
      <c r="L20" s="20"/>
      <c r="M20" s="21">
        <v>568</v>
      </c>
      <c r="N20" s="20"/>
      <c r="O20" s="21">
        <v>519</v>
      </c>
      <c r="AS20" s="20"/>
      <c r="AT20" s="21" t="e">
        <f>+#REF!+#REF!+#REF!+#REF!+#REF!+#REF!+#REF!+#REF!+#REF!</f>
        <v>#REF!</v>
      </c>
    </row>
    <row r="21" spans="1:46" ht="12.75">
      <c r="A21" s="19" t="s">
        <v>56</v>
      </c>
      <c r="B21" s="20"/>
      <c r="C21" s="21">
        <f>220/1.93627</f>
        <v>113.62051779968704</v>
      </c>
      <c r="D21" s="20"/>
      <c r="E21" s="21">
        <f>249/1.93627</f>
        <v>128.59776787328215</v>
      </c>
      <c r="F21" s="20"/>
      <c r="G21" s="21">
        <f>252/1.93627</f>
        <v>130.1471385705506</v>
      </c>
      <c r="H21" s="20"/>
      <c r="I21" s="21">
        <f>273/1.93627</f>
        <v>140.9927334514298</v>
      </c>
      <c r="J21" s="20"/>
      <c r="K21" s="21">
        <v>155</v>
      </c>
      <c r="L21" s="20"/>
      <c r="M21" s="21">
        <v>138</v>
      </c>
      <c r="N21" s="20"/>
      <c r="O21" s="21">
        <v>123</v>
      </c>
      <c r="AS21" s="20"/>
      <c r="AT21" s="21" t="e">
        <f>+#REF!+#REF!+#REF!+#REF!+#REF!+#REF!+#REF!+#REF!+#REF!</f>
        <v>#REF!</v>
      </c>
    </row>
    <row r="22" spans="1:46" ht="12.75">
      <c r="A22" s="19" t="s">
        <v>38</v>
      </c>
      <c r="B22" s="20"/>
      <c r="C22" s="21">
        <f>248/1.93627</f>
        <v>128.08131097419266</v>
      </c>
      <c r="D22" s="20"/>
      <c r="E22" s="21">
        <f>286/1.93627</f>
        <v>147.70667313959314</v>
      </c>
      <c r="F22" s="20"/>
      <c r="G22" s="21">
        <f>434/1.93627</f>
        <v>224.14229420483716</v>
      </c>
      <c r="H22" s="20"/>
      <c r="I22" s="21">
        <f>410/1.93627</f>
        <v>211.74732862668947</v>
      </c>
      <c r="J22" s="20"/>
      <c r="K22" s="21">
        <v>273</v>
      </c>
      <c r="L22" s="20"/>
      <c r="M22" s="21">
        <v>177</v>
      </c>
      <c r="N22" s="20"/>
      <c r="O22" s="21">
        <v>158</v>
      </c>
      <c r="AS22" s="20"/>
      <c r="AT22" s="21" t="e">
        <f>+#REF!+#REF!+#REF!+#REF!+#REF!+#REF!+#REF!+#REF!+#REF!</f>
        <v>#REF!</v>
      </c>
    </row>
    <row r="23" spans="1:46" ht="12.75">
      <c r="A23" s="19" t="s">
        <v>13</v>
      </c>
      <c r="B23" s="20"/>
      <c r="C23" s="21">
        <f>2250/1.93627</f>
        <v>1162.0280229513446</v>
      </c>
      <c r="D23" s="20"/>
      <c r="E23" s="21">
        <f>2301/1.93627</f>
        <v>1188.3673248049085</v>
      </c>
      <c r="F23" s="20"/>
      <c r="G23" s="21">
        <f>2510/1.93627</f>
        <v>1296.3068167146112</v>
      </c>
      <c r="H23" s="20"/>
      <c r="I23" s="21">
        <f>2590/1.93627</f>
        <v>1337.62336864177</v>
      </c>
      <c r="J23" s="20"/>
      <c r="K23" s="21">
        <v>1309</v>
      </c>
      <c r="L23" s="20"/>
      <c r="M23" s="21">
        <v>1820</v>
      </c>
      <c r="N23" s="20"/>
      <c r="O23" s="21">
        <v>1506</v>
      </c>
      <c r="AS23" s="20"/>
      <c r="AT23" s="21" t="e">
        <f>+#REF!+#REF!+#REF!+#REF!+#REF!+#REF!+#REF!+#REF!+#REF!</f>
        <v>#REF!</v>
      </c>
    </row>
    <row r="24" spans="1:46" ht="12.75">
      <c r="A24" s="19" t="s">
        <v>41</v>
      </c>
      <c r="B24" s="20"/>
      <c r="C24" s="21">
        <v>0</v>
      </c>
      <c r="D24" s="20"/>
      <c r="E24" s="21">
        <v>0</v>
      </c>
      <c r="F24" s="20"/>
      <c r="G24" s="21">
        <f>204/1.93627</f>
        <v>105.35720741425524</v>
      </c>
      <c r="H24" s="20"/>
      <c r="I24" s="21">
        <f>336/1.93627</f>
        <v>173.52951809406747</v>
      </c>
      <c r="J24" s="20"/>
      <c r="K24" s="21">
        <v>179</v>
      </c>
      <c r="L24" s="20"/>
      <c r="M24" s="21"/>
      <c r="N24" s="20"/>
      <c r="O24" s="21"/>
      <c r="AS24" s="20"/>
      <c r="AT24" s="21"/>
    </row>
    <row r="25" spans="1:46" ht="12.75">
      <c r="A25" s="19" t="s">
        <v>57</v>
      </c>
      <c r="B25" s="20"/>
      <c r="C25" s="21"/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0"/>
      <c r="O25" s="21">
        <v>132</v>
      </c>
      <c r="AS25" s="20"/>
      <c r="AT25" s="21"/>
    </row>
    <row r="26" spans="1:46" ht="12.75">
      <c r="A26" s="19" t="s">
        <v>35</v>
      </c>
      <c r="B26" s="17"/>
      <c r="C26" s="21">
        <v>0</v>
      </c>
      <c r="D26" s="17"/>
      <c r="E26" s="21">
        <v>0</v>
      </c>
      <c r="F26" s="17"/>
      <c r="G26" s="21">
        <v>0</v>
      </c>
      <c r="H26" s="17"/>
      <c r="I26" s="21">
        <f>30/1.93627</f>
        <v>15.493706972684596</v>
      </c>
      <c r="J26" s="17"/>
      <c r="K26" s="21">
        <v>0</v>
      </c>
      <c r="L26" s="17"/>
      <c r="M26" s="21"/>
      <c r="N26" s="17"/>
      <c r="O26" s="21"/>
      <c r="AS26" s="20"/>
      <c r="AT26" s="21"/>
    </row>
    <row r="27" spans="1:46" ht="12.75">
      <c r="A27" s="19" t="s">
        <v>30</v>
      </c>
      <c r="B27" s="17"/>
      <c r="C27" s="21">
        <v>0</v>
      </c>
      <c r="D27" s="17"/>
      <c r="E27" s="21">
        <v>0</v>
      </c>
      <c r="F27" s="17"/>
      <c r="G27" s="21">
        <v>0</v>
      </c>
      <c r="H27" s="17"/>
      <c r="I27" s="21">
        <f>20/1.93627</f>
        <v>10.32913798178973</v>
      </c>
      <c r="J27" s="17"/>
      <c r="K27" s="21">
        <v>0</v>
      </c>
      <c r="L27" s="17"/>
      <c r="M27" s="21"/>
      <c r="N27" s="17"/>
      <c r="O27" s="21"/>
      <c r="AS27" s="17"/>
      <c r="AT27" s="18"/>
    </row>
    <row r="28" spans="1:46" ht="12.75">
      <c r="A28" s="40" t="s">
        <v>31</v>
      </c>
      <c r="B28" s="23"/>
      <c r="C28" s="21">
        <v>0</v>
      </c>
      <c r="D28" s="23"/>
      <c r="E28" s="21">
        <v>0</v>
      </c>
      <c r="F28" s="23"/>
      <c r="G28" s="21">
        <v>0</v>
      </c>
      <c r="H28" s="23"/>
      <c r="I28" s="21">
        <f>252/1.93627</f>
        <v>130.1471385705506</v>
      </c>
      <c r="J28" s="23"/>
      <c r="K28" s="21">
        <v>0</v>
      </c>
      <c r="L28" s="23"/>
      <c r="M28" s="21"/>
      <c r="N28" s="23"/>
      <c r="O28" s="21"/>
      <c r="AS28" s="23"/>
      <c r="AT28" s="24"/>
    </row>
    <row r="29" spans="1:46" ht="12.75">
      <c r="A29" s="19" t="s">
        <v>36</v>
      </c>
      <c r="B29" s="23"/>
      <c r="C29" s="21">
        <v>0</v>
      </c>
      <c r="D29" s="23"/>
      <c r="E29" s="21">
        <v>0</v>
      </c>
      <c r="F29" s="23"/>
      <c r="G29" s="21">
        <v>0</v>
      </c>
      <c r="H29" s="23"/>
      <c r="I29" s="21">
        <v>0</v>
      </c>
      <c r="J29" s="23"/>
      <c r="K29" s="21">
        <f>30/1.93627</f>
        <v>15.493706972684596</v>
      </c>
      <c r="L29" s="23"/>
      <c r="M29" s="21"/>
      <c r="N29" s="23"/>
      <c r="O29" s="21"/>
      <c r="AS29" s="23"/>
      <c r="AT29" s="24"/>
    </row>
    <row r="30" spans="1:46" ht="5.25" customHeight="1">
      <c r="A30" s="22"/>
      <c r="B30" s="20"/>
      <c r="C30" s="18"/>
      <c r="D30" s="20"/>
      <c r="E30" s="18"/>
      <c r="F30" s="20"/>
      <c r="G30" s="18"/>
      <c r="H30" s="20"/>
      <c r="I30" s="18"/>
      <c r="J30" s="20"/>
      <c r="K30" s="18"/>
      <c r="L30" s="20"/>
      <c r="M30" s="18"/>
      <c r="N30" s="20"/>
      <c r="O30" s="18"/>
      <c r="AS30" s="20"/>
      <c r="AT30" s="18"/>
    </row>
    <row r="31" spans="1:46" ht="12.75">
      <c r="A31" s="22" t="s">
        <v>14</v>
      </c>
      <c r="B31" s="17">
        <f>SUM(C32:C38)</f>
        <v>3958.6421315209136</v>
      </c>
      <c r="C31" s="18"/>
      <c r="D31" s="17">
        <f>SUM(E32:E38)</f>
        <v>4104.282977064149</v>
      </c>
      <c r="E31" s="18"/>
      <c r="F31" s="17">
        <f>SUM(G32:G38)</f>
        <v>4861.408791129336</v>
      </c>
      <c r="G31" s="18"/>
      <c r="H31" s="17">
        <f>SUM(I32:I40)</f>
        <v>4979.128050323561</v>
      </c>
      <c r="I31" s="18"/>
      <c r="J31" s="17">
        <f>SUM(K32:K40)</f>
        <v>5941</v>
      </c>
      <c r="K31" s="18"/>
      <c r="L31" s="17">
        <f>SUM(M32:M40)</f>
        <v>6657</v>
      </c>
      <c r="M31" s="18"/>
      <c r="N31" s="17">
        <f>SUM(O32:O40)</f>
        <v>6896</v>
      </c>
      <c r="O31" s="18"/>
      <c r="AS31" s="17" t="e">
        <f>SUM(AT32:AT38)</f>
        <v>#REF!</v>
      </c>
      <c r="AT31" s="18"/>
    </row>
    <row r="32" spans="1:46" ht="12.75">
      <c r="A32" s="19" t="s">
        <v>15</v>
      </c>
      <c r="B32" s="20"/>
      <c r="C32" s="21">
        <f>604/1.93627</f>
        <v>311.93996705004986</v>
      </c>
      <c r="D32" s="20"/>
      <c r="E32" s="21">
        <f>118/1.93627</f>
        <v>60.94191409255941</v>
      </c>
      <c r="F32" s="20"/>
      <c r="G32" s="21">
        <f>941/1.93627</f>
        <v>485.9859420432068</v>
      </c>
      <c r="H32" s="20"/>
      <c r="I32" s="21">
        <f>749/1.93627</f>
        <v>386.8262174180254</v>
      </c>
      <c r="J32" s="20"/>
      <c r="K32" s="21">
        <v>431</v>
      </c>
      <c r="L32" s="20"/>
      <c r="M32" s="21">
        <v>434</v>
      </c>
      <c r="N32" s="20"/>
      <c r="O32" s="21">
        <v>583</v>
      </c>
      <c r="AS32" s="20"/>
      <c r="AT32" s="21" t="e">
        <f>+#REF!+#REF!+#REF!+#REF!+#REF!+#REF!+#REF!+#REF!+#REF!</f>
        <v>#REF!</v>
      </c>
    </row>
    <row r="33" spans="1:46" ht="4.5" customHeight="1">
      <c r="A33" s="19"/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AS33" s="20"/>
      <c r="AT33" s="21"/>
    </row>
    <row r="34" spans="1:46" ht="12.75">
      <c r="A34" s="19" t="s">
        <v>39</v>
      </c>
      <c r="B34" s="20"/>
      <c r="C34" s="21">
        <f>1146/1.93627</f>
        <v>591.8596063565516</v>
      </c>
      <c r="D34" s="20"/>
      <c r="E34" s="21">
        <f>1499/1.93627</f>
        <v>774.1688917351403</v>
      </c>
      <c r="F34" s="20"/>
      <c r="G34" s="21">
        <f>1747/1.93627</f>
        <v>902.2502027093329</v>
      </c>
      <c r="H34" s="20"/>
      <c r="I34" s="21">
        <f>2031/1.93627</f>
        <v>1048.9239620507471</v>
      </c>
      <c r="J34" s="20"/>
      <c r="K34" s="21">
        <v>1150</v>
      </c>
      <c r="L34" s="20"/>
      <c r="M34" s="21">
        <v>1410</v>
      </c>
      <c r="N34" s="20"/>
      <c r="O34" s="21">
        <v>915</v>
      </c>
      <c r="AS34" s="20"/>
      <c r="AT34" s="21" t="e">
        <f>+#REF!+#REF!+#REF!+#REF!+#REF!+#REF!+#REF!+#REF!+#REF!</f>
        <v>#REF!</v>
      </c>
    </row>
    <row r="35" spans="1:46" ht="12.75">
      <c r="A35" s="19" t="s">
        <v>16</v>
      </c>
      <c r="B35" s="20"/>
      <c r="C35" s="21">
        <f>1255/1.93627</f>
        <v>648.1534083573056</v>
      </c>
      <c r="D35" s="20"/>
      <c r="E35" s="21">
        <f>806/1.93627</f>
        <v>416.2642606661261</v>
      </c>
      <c r="F35" s="20"/>
      <c r="G35" s="21">
        <f>379/1.93627</f>
        <v>195.7371647549154</v>
      </c>
      <c r="H35" s="20"/>
      <c r="I35" s="21">
        <f>451/1.93627</f>
        <v>232.9220614893584</v>
      </c>
      <c r="J35" s="20"/>
      <c r="K35" s="21">
        <v>697</v>
      </c>
      <c r="L35" s="20"/>
      <c r="M35" s="21">
        <v>725</v>
      </c>
      <c r="N35" s="20"/>
      <c r="O35" s="21">
        <v>694</v>
      </c>
      <c r="AS35" s="20"/>
      <c r="AT35" s="21" t="e">
        <f>+#REF!+#REF!+#REF!+#REF!+#REF!+#REF!+#REF!+#REF!+#REF!</f>
        <v>#REF!</v>
      </c>
    </row>
    <row r="36" spans="1:46" ht="12.75">
      <c r="A36" s="19" t="s">
        <v>17</v>
      </c>
      <c r="B36" s="20"/>
      <c r="C36" s="21">
        <f>1778/1.93627</f>
        <v>918.260366581107</v>
      </c>
      <c r="D36" s="20"/>
      <c r="E36" s="21">
        <f>2152/1.93627</f>
        <v>1111.415246840575</v>
      </c>
      <c r="F36" s="20"/>
      <c r="G36" s="21">
        <f>2335/1.93627</f>
        <v>1205.926859373951</v>
      </c>
      <c r="H36" s="20"/>
      <c r="I36" s="21">
        <f>2039/1.93627</f>
        <v>1053.055617243463</v>
      </c>
      <c r="J36" s="20"/>
      <c r="K36" s="21">
        <v>1045</v>
      </c>
      <c r="L36" s="20"/>
      <c r="M36" s="21">
        <v>1070</v>
      </c>
      <c r="N36" s="20"/>
      <c r="O36" s="21">
        <v>1118</v>
      </c>
      <c r="AS36" s="20"/>
      <c r="AT36" s="21" t="e">
        <f>+#REF!+#REF!+#REF!+#REF!+#REF!+#REF!+#REF!+#REF!+#REF!</f>
        <v>#REF!</v>
      </c>
    </row>
    <row r="37" spans="1:46" ht="12.75">
      <c r="A37" s="19" t="s">
        <v>18</v>
      </c>
      <c r="B37" s="20"/>
      <c r="C37" s="21">
        <f>1429/1.93627</f>
        <v>738.0169087988762</v>
      </c>
      <c r="D37" s="20"/>
      <c r="E37" s="21">
        <f>1830/1.93627</f>
        <v>945.1161253337604</v>
      </c>
      <c r="F37" s="20"/>
      <c r="G37" s="21">
        <f>2292/1.93627</f>
        <v>1183.7192127131032</v>
      </c>
      <c r="H37" s="20"/>
      <c r="I37" s="21">
        <f>2736/1.93627</f>
        <v>1413.026075908835</v>
      </c>
      <c r="J37" s="20"/>
      <c r="K37" s="21">
        <v>1728</v>
      </c>
      <c r="L37" s="20"/>
      <c r="M37" s="21">
        <v>2178</v>
      </c>
      <c r="N37" s="20"/>
      <c r="O37" s="21">
        <v>2405</v>
      </c>
      <c r="AS37" s="20"/>
      <c r="AT37" s="21" t="e">
        <f>+#REF!+#REF!+#REF!+#REF!+#REF!+#REF!+#REF!+#REF!+#REF!</f>
        <v>#REF!</v>
      </c>
    </row>
    <row r="38" spans="1:46" ht="12.75">
      <c r="A38" s="19" t="s">
        <v>19</v>
      </c>
      <c r="B38" s="20"/>
      <c r="C38" s="21">
        <f>1453/1.93627</f>
        <v>750.4118743770239</v>
      </c>
      <c r="D38" s="20"/>
      <c r="E38" s="21">
        <f>1542/1.93627</f>
        <v>796.3765383959882</v>
      </c>
      <c r="F38" s="20"/>
      <c r="G38" s="21">
        <f>1719/1.93627</f>
        <v>887.7894095348273</v>
      </c>
      <c r="H38" s="20"/>
      <c r="I38" s="21">
        <f>1603/1.93627</f>
        <v>827.8804092404469</v>
      </c>
      <c r="J38" s="20"/>
      <c r="K38" s="21">
        <v>890</v>
      </c>
      <c r="L38" s="20"/>
      <c r="M38" s="21">
        <v>840</v>
      </c>
      <c r="N38" s="20"/>
      <c r="O38" s="21">
        <v>854</v>
      </c>
      <c r="AS38" s="20"/>
      <c r="AT38" s="21" t="e">
        <f>+#REF!+#REF!+#REF!+#REF!+#REF!+#REF!+#REF!+#REF!+#REF!</f>
        <v>#REF!</v>
      </c>
    </row>
    <row r="39" spans="1:46" ht="12.75">
      <c r="A39" s="19" t="s">
        <v>57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>
        <v>327</v>
      </c>
      <c r="AS39" s="20"/>
      <c r="AT39" s="21"/>
    </row>
    <row r="40" spans="1:46" ht="12.75">
      <c r="A40" s="19" t="s">
        <v>34</v>
      </c>
      <c r="B40" s="20"/>
      <c r="C40" s="21">
        <v>0</v>
      </c>
      <c r="D40" s="20"/>
      <c r="E40" s="21">
        <v>0</v>
      </c>
      <c r="F40" s="20"/>
      <c r="G40" s="21">
        <v>0</v>
      </c>
      <c r="H40" s="20"/>
      <c r="I40" s="21">
        <f>30/1.93627+1</f>
        <v>16.493706972684596</v>
      </c>
      <c r="J40" s="20"/>
      <c r="K40" s="21">
        <v>0</v>
      </c>
      <c r="L40" s="20"/>
      <c r="M40" s="21"/>
      <c r="N40" s="20"/>
      <c r="O40" s="21"/>
      <c r="AS40" s="20"/>
      <c r="AT40" s="18"/>
    </row>
    <row r="41" spans="1:46" ht="7.5" customHeight="1">
      <c r="A41" s="22"/>
      <c r="B41" s="20"/>
      <c r="C41" s="18"/>
      <c r="D41" s="20"/>
      <c r="E41" s="18"/>
      <c r="F41" s="20"/>
      <c r="G41" s="18"/>
      <c r="H41" s="20"/>
      <c r="I41" s="18"/>
      <c r="J41" s="20"/>
      <c r="K41" s="18"/>
      <c r="L41" s="20"/>
      <c r="M41" s="18"/>
      <c r="N41" s="20"/>
      <c r="O41" s="18"/>
      <c r="AS41" s="20"/>
      <c r="AT41" s="18"/>
    </row>
    <row r="42" spans="1:46" ht="12.75">
      <c r="A42" s="22" t="s">
        <v>20</v>
      </c>
      <c r="B42" s="17">
        <f>SUM(C43:C49)</f>
        <v>379.07936393168313</v>
      </c>
      <c r="C42" s="18"/>
      <c r="D42" s="17">
        <f>SUM(E43:E49)</f>
        <v>880.042556048485</v>
      </c>
      <c r="E42" s="18"/>
      <c r="F42" s="17">
        <f>SUM(G43:G49)</f>
        <v>1035.4960826744204</v>
      </c>
      <c r="G42" s="18"/>
      <c r="H42" s="17">
        <f>SUM(I43:I49)</f>
        <v>1575.1606284247546</v>
      </c>
      <c r="I42" s="18"/>
      <c r="J42" s="17">
        <f>SUM(K43:K49)</f>
        <v>1150</v>
      </c>
      <c r="K42" s="18"/>
      <c r="L42" s="17">
        <f>SUM(M43:M49)</f>
        <v>2146</v>
      </c>
      <c r="M42" s="18"/>
      <c r="N42" s="17">
        <f>SUM(O43:O49)</f>
        <v>2452</v>
      </c>
      <c r="O42" s="18"/>
      <c r="AS42" s="17" t="e">
        <f>SUM(AT43:AT46)</f>
        <v>#REF!</v>
      </c>
      <c r="AT42" s="18"/>
    </row>
    <row r="43" spans="1:46" ht="12.75">
      <c r="A43" s="19" t="s">
        <v>21</v>
      </c>
      <c r="B43" s="20"/>
      <c r="C43" s="21">
        <f>75/1.93627</f>
        <v>38.73426743171149</v>
      </c>
      <c r="D43" s="20"/>
      <c r="E43" s="21">
        <f>885/1.93627</f>
        <v>457.06435569419557</v>
      </c>
      <c r="F43" s="20"/>
      <c r="G43" s="21">
        <f>1374/1.93627</f>
        <v>709.6117793489544</v>
      </c>
      <c r="H43" s="20"/>
      <c r="I43" s="21">
        <f>1204/1.93627</f>
        <v>621.8141065037418</v>
      </c>
      <c r="J43" s="20"/>
      <c r="K43" s="21">
        <v>598</v>
      </c>
      <c r="L43" s="20"/>
      <c r="M43" s="21">
        <v>1408</v>
      </c>
      <c r="N43" s="20"/>
      <c r="O43" s="21">
        <v>1574</v>
      </c>
      <c r="AS43" s="20"/>
      <c r="AT43" s="21" t="e">
        <f>+#REF!+#REF!+#REF!+#REF!+#REF!+#REF!+#REF!+#REF!+#REF!</f>
        <v>#REF!</v>
      </c>
    </row>
    <row r="44" spans="1:15" ht="12.75">
      <c r="A44" s="40" t="s">
        <v>37</v>
      </c>
      <c r="B44" s="23"/>
      <c r="C44" s="21"/>
      <c r="D44" s="23"/>
      <c r="E44" s="21"/>
      <c r="F44" s="23"/>
      <c r="G44" s="21"/>
      <c r="H44" s="23"/>
      <c r="I44" s="21"/>
      <c r="J44" s="23"/>
      <c r="K44" s="21"/>
      <c r="L44" s="23"/>
      <c r="M44" s="21">
        <v>157</v>
      </c>
      <c r="N44" s="23"/>
      <c r="O44" s="21">
        <v>218</v>
      </c>
    </row>
    <row r="45" spans="1:46" ht="12.75">
      <c r="A45" s="19" t="s">
        <v>22</v>
      </c>
      <c r="B45" s="20"/>
      <c r="C45" s="21">
        <f>540/1.93627</f>
        <v>278.88672550832274</v>
      </c>
      <c r="D45" s="20"/>
      <c r="E45" s="21">
        <f>656/1.93627</f>
        <v>338.79572580270315</v>
      </c>
      <c r="F45" s="20"/>
      <c r="G45" s="21">
        <f>429/1.93627</f>
        <v>221.5600097093897</v>
      </c>
      <c r="H45" s="20"/>
      <c r="I45" s="21">
        <f>684/1.93627</f>
        <v>353.25651897720877</v>
      </c>
      <c r="J45" s="20"/>
      <c r="K45" s="21">
        <v>392</v>
      </c>
      <c r="L45" s="20"/>
      <c r="M45" s="21">
        <v>508</v>
      </c>
      <c r="N45" s="20"/>
      <c r="O45" s="21">
        <v>498</v>
      </c>
      <c r="AS45" s="20"/>
      <c r="AT45" s="21" t="e">
        <f>+#REF!+#REF!+#REF!+#REF!+#REF!+#REF!+#REF!+#REF!+#REF!</f>
        <v>#REF!</v>
      </c>
    </row>
    <row r="46" spans="1:46" ht="12.75">
      <c r="A46" s="19" t="s">
        <v>23</v>
      </c>
      <c r="B46" s="20"/>
      <c r="C46" s="21">
        <f>119/1.93627</f>
        <v>61.45837099164889</v>
      </c>
      <c r="D46" s="20"/>
      <c r="E46" s="21">
        <f>163/1.93627</f>
        <v>84.1824745515863</v>
      </c>
      <c r="F46" s="20"/>
      <c r="G46" s="21">
        <f>162/1.93627</f>
        <v>83.66601765249682</v>
      </c>
      <c r="H46" s="20"/>
      <c r="I46" s="21">
        <f>318/1.93627</f>
        <v>164.2332939104567</v>
      </c>
      <c r="J46" s="20"/>
      <c r="K46" s="21">
        <v>160</v>
      </c>
      <c r="L46" s="20"/>
      <c r="M46" s="21">
        <v>73</v>
      </c>
      <c r="N46" s="20"/>
      <c r="O46" s="21">
        <v>162</v>
      </c>
      <c r="AS46" s="20"/>
      <c r="AT46" s="21" t="e">
        <f>+#REF!+#REF!+#REF!+#REF!+#REF!+#REF!+#REF!+#REF!+#REF!</f>
        <v>#REF!</v>
      </c>
    </row>
    <row r="47" spans="1:46" ht="12.75">
      <c r="A47" s="19" t="s">
        <v>42</v>
      </c>
      <c r="B47" s="20"/>
      <c r="C47" s="21"/>
      <c r="D47" s="20"/>
      <c r="E47" s="21"/>
      <c r="F47" s="20"/>
      <c r="G47" s="21">
        <f>40/1.93627</f>
        <v>20.65827596357946</v>
      </c>
      <c r="H47" s="20"/>
      <c r="I47" s="21"/>
      <c r="J47" s="20"/>
      <c r="K47" s="21"/>
      <c r="L47" s="20"/>
      <c r="M47" s="21"/>
      <c r="N47" s="20"/>
      <c r="O47" s="21"/>
      <c r="AS47" s="20"/>
      <c r="AT47" s="21"/>
    </row>
    <row r="48" spans="1:46" ht="12.75">
      <c r="A48" s="19" t="s">
        <v>32</v>
      </c>
      <c r="B48" s="20"/>
      <c r="C48" s="21"/>
      <c r="D48" s="20"/>
      <c r="E48" s="21"/>
      <c r="F48" s="20"/>
      <c r="G48" s="21"/>
      <c r="H48" s="20"/>
      <c r="I48" s="21">
        <f>42/1.93627+1</f>
        <v>22.691189761758434</v>
      </c>
      <c r="J48" s="20"/>
      <c r="K48" s="21"/>
      <c r="L48" s="20"/>
      <c r="M48" s="21"/>
      <c r="N48" s="20"/>
      <c r="O48" s="21"/>
      <c r="AS48" s="20"/>
      <c r="AT48" s="21"/>
    </row>
    <row r="49" spans="1:46" ht="12.75">
      <c r="A49" s="19" t="s">
        <v>33</v>
      </c>
      <c r="B49" s="20"/>
      <c r="C49" s="21"/>
      <c r="D49" s="20"/>
      <c r="E49" s="21"/>
      <c r="F49" s="20"/>
      <c r="G49" s="21"/>
      <c r="H49" s="20"/>
      <c r="I49" s="21">
        <f>800/1.93627</f>
        <v>413.1655192715892</v>
      </c>
      <c r="J49" s="20"/>
      <c r="K49" s="21"/>
      <c r="L49" s="20"/>
      <c r="M49" s="21"/>
      <c r="N49" s="20"/>
      <c r="O49" s="21"/>
      <c r="AS49" s="20"/>
      <c r="AT49" s="21"/>
    </row>
    <row r="50" spans="1:46" ht="12.75">
      <c r="A50" s="25" t="s">
        <v>25</v>
      </c>
      <c r="B50" s="28">
        <f>SUM(B7:B42)</f>
        <v>20865.891637013432</v>
      </c>
      <c r="C50" s="34"/>
      <c r="D50" s="28">
        <f>SUM(D7:D42)</f>
        <v>23376.388623487426</v>
      </c>
      <c r="E50" s="34"/>
      <c r="F50" s="28">
        <f>SUM(F7:F42)</f>
        <v>25280.048753531275</v>
      </c>
      <c r="G50" s="34"/>
      <c r="H50" s="28">
        <f>SUM(H7:H42)</f>
        <v>27477.693400197284</v>
      </c>
      <c r="I50" s="34"/>
      <c r="J50" s="28">
        <f>SUM(J7:J42)</f>
        <v>28627.493706972684</v>
      </c>
      <c r="K50" s="34"/>
      <c r="L50" s="28">
        <f>SUM(L7:L42)</f>
        <v>30113</v>
      </c>
      <c r="M50" s="34"/>
      <c r="N50" s="28">
        <f>SUM(N7:N42)</f>
        <v>31748</v>
      </c>
      <c r="O50" s="34"/>
      <c r="AS50" s="26" t="e">
        <f>SUM(AS7:AS42)</f>
        <v>#REF!</v>
      </c>
      <c r="AT50" s="27"/>
    </row>
    <row r="51" spans="1:15" ht="4.5" customHeight="1">
      <c r="A51" s="29"/>
      <c r="B51" s="46"/>
      <c r="C51" s="38"/>
      <c r="D51" s="46"/>
      <c r="E51" s="38"/>
      <c r="F51" s="46"/>
      <c r="G51" s="38"/>
      <c r="H51" s="46"/>
      <c r="I51" s="38"/>
      <c r="J51" s="46"/>
      <c r="K51" s="38"/>
      <c r="L51" s="46"/>
      <c r="M51" s="38"/>
      <c r="N51" s="46"/>
      <c r="O51" s="38"/>
    </row>
    <row r="52" spans="1:46" ht="12.75">
      <c r="A52" s="45" t="s">
        <v>26</v>
      </c>
      <c r="B52" s="51">
        <f>11/1.93627-1</f>
        <v>4.681025889984352</v>
      </c>
      <c r="C52" s="37"/>
      <c r="D52" s="47">
        <f>20/1.93627</f>
        <v>10.32913798178973</v>
      </c>
      <c r="E52" s="37"/>
      <c r="F52" s="47">
        <f>22/1.93627</f>
        <v>11.362051779968704</v>
      </c>
      <c r="G52" s="37"/>
      <c r="H52" s="47">
        <f>30/1.93627</f>
        <v>15.493706972684596</v>
      </c>
      <c r="I52" s="37"/>
      <c r="J52" s="47">
        <f>332/1.93627</f>
        <v>171.4636904977095</v>
      </c>
      <c r="K52" s="49">
        <v>5</v>
      </c>
      <c r="L52" s="47">
        <v>6</v>
      </c>
      <c r="M52" s="37"/>
      <c r="N52" s="47">
        <v>60</v>
      </c>
      <c r="O52" s="49">
        <v>8</v>
      </c>
      <c r="AS52" s="31" t="e">
        <f>+#REF!-#REF!</f>
        <v>#REF!</v>
      </c>
      <c r="AT52" s="32"/>
    </row>
    <row r="53" spans="1:45" ht="5.25" customHeight="1">
      <c r="A53" s="29"/>
      <c r="B53" s="3"/>
      <c r="D53" s="3"/>
      <c r="E53" s="4"/>
      <c r="F53" s="3"/>
      <c r="G53" s="4"/>
      <c r="H53" s="3"/>
      <c r="I53" s="4"/>
      <c r="J53" s="3"/>
      <c r="K53" s="50"/>
      <c r="L53" s="3"/>
      <c r="M53" s="4"/>
      <c r="N53" s="3"/>
      <c r="O53" s="4"/>
      <c r="AS53" s="3"/>
    </row>
    <row r="54" spans="1:46" ht="12.75">
      <c r="A54" s="45" t="s">
        <v>29</v>
      </c>
      <c r="B54" s="51">
        <f>646/1.93627</f>
        <v>333.6311568118083</v>
      </c>
      <c r="C54" s="49">
        <v>1</v>
      </c>
      <c r="D54" s="47">
        <f>430/1.93627</f>
        <v>222.0764666084792</v>
      </c>
      <c r="E54" s="49">
        <v>2</v>
      </c>
      <c r="F54" s="47">
        <f>1024/1.93627</f>
        <v>528.8518646676342</v>
      </c>
      <c r="G54" s="49">
        <v>3</v>
      </c>
      <c r="H54" s="47">
        <f>1842/1.93627</f>
        <v>951.3136081228341</v>
      </c>
      <c r="I54" s="49">
        <v>4</v>
      </c>
      <c r="J54" s="47">
        <f>1364/1.93627</f>
        <v>704.4472103580596</v>
      </c>
      <c r="K54" s="49">
        <v>6</v>
      </c>
      <c r="L54" s="47">
        <f>1287-6</f>
        <v>1281</v>
      </c>
      <c r="M54" s="49">
        <v>7</v>
      </c>
      <c r="N54" s="47">
        <v>87</v>
      </c>
      <c r="O54" s="49">
        <v>8</v>
      </c>
      <c r="AS54" s="31" t="e">
        <f>+#REF!-#REF!</f>
        <v>#REF!</v>
      </c>
      <c r="AT54" s="33" t="s">
        <v>27</v>
      </c>
    </row>
    <row r="55" spans="1:45" ht="5.25" customHeight="1">
      <c r="A55" s="29"/>
      <c r="B55" s="3"/>
      <c r="D55" s="3"/>
      <c r="E55" s="4"/>
      <c r="F55" s="3"/>
      <c r="G55" s="4"/>
      <c r="H55" s="3"/>
      <c r="I55" s="4"/>
      <c r="J55" s="3"/>
      <c r="K55" s="4"/>
      <c r="L55" s="3"/>
      <c r="M55" s="4"/>
      <c r="N55" s="3"/>
      <c r="O55" s="4"/>
      <c r="AS55" s="3"/>
    </row>
    <row r="56" spans="1:46" ht="12.75">
      <c r="A56" s="30" t="s">
        <v>28</v>
      </c>
      <c r="B56" s="31">
        <f>+B54+B52+B50</f>
        <v>21204.203819715225</v>
      </c>
      <c r="C56" s="37"/>
      <c r="D56" s="31">
        <f>+D54+D52+D50</f>
        <v>23608.794228077695</v>
      </c>
      <c r="E56" s="37"/>
      <c r="F56" s="31">
        <f>+F54+F52+F50</f>
        <v>25820.262669978878</v>
      </c>
      <c r="G56" s="37"/>
      <c r="H56" s="31">
        <f>+H54+H52+H50</f>
        <v>28444.5007152928</v>
      </c>
      <c r="I56" s="37"/>
      <c r="J56" s="31">
        <f>+J54+J52+J50</f>
        <v>29503.404607828452</v>
      </c>
      <c r="K56" s="37"/>
      <c r="L56" s="31">
        <f>+L54+L52+L50</f>
        <v>31400</v>
      </c>
      <c r="M56" s="37"/>
      <c r="N56" s="31">
        <f>+N54+N52+N50</f>
        <v>31895</v>
      </c>
      <c r="O56" s="37"/>
      <c r="AS56" s="31" t="e">
        <f>+AS54+AS52+AS50</f>
        <v>#REF!</v>
      </c>
      <c r="AT56" s="32"/>
    </row>
    <row r="57" ht="5.25" customHeight="1">
      <c r="C57"/>
    </row>
    <row r="58" spans="1:46" ht="12.75">
      <c r="A58" s="30" t="s">
        <v>50</v>
      </c>
      <c r="B58" s="52">
        <v>100</v>
      </c>
      <c r="C58" s="37"/>
      <c r="D58" s="52">
        <f>+D56/$B$56*100</f>
        <v>111.3401589081441</v>
      </c>
      <c r="E58" s="37"/>
      <c r="F58" s="52">
        <f>+F56/$B$56*100</f>
        <v>121.7695457443761</v>
      </c>
      <c r="G58" s="37"/>
      <c r="H58" s="52">
        <f>+H56/$B$56*100</f>
        <v>134.14557300588527</v>
      </c>
      <c r="I58" s="37"/>
      <c r="J58" s="52">
        <f>+J56/$B$56*100</f>
        <v>139.13941244234223</v>
      </c>
      <c r="K58" s="37"/>
      <c r="L58" s="52">
        <f>+L56/$B$56*100</f>
        <v>148.08384350090492</v>
      </c>
      <c r="M58" s="37"/>
      <c r="N58" s="52">
        <f>+N56/$B$56*100</f>
        <v>150.4182862567313</v>
      </c>
      <c r="O58" s="37"/>
      <c r="AS58" s="31">
        <f>+AS55+AS53+AS51</f>
        <v>0</v>
      </c>
      <c r="AT58" s="32"/>
    </row>
    <row r="59" spans="1:46" ht="12.75">
      <c r="A59" s="30" t="s">
        <v>49</v>
      </c>
      <c r="B59" s="52">
        <v>100</v>
      </c>
      <c r="C59" s="37"/>
      <c r="D59" s="52">
        <v>102.2</v>
      </c>
      <c r="E59" s="37"/>
      <c r="F59" s="52">
        <v>104</v>
      </c>
      <c r="G59" s="37"/>
      <c r="H59" s="52">
        <v>106.5</v>
      </c>
      <c r="I59" s="53"/>
      <c r="J59" s="52">
        <v>109.3</v>
      </c>
      <c r="K59" s="53"/>
      <c r="L59" s="52">
        <v>112</v>
      </c>
      <c r="M59" s="53"/>
      <c r="N59" s="52">
        <v>114.2</v>
      </c>
      <c r="O59" s="53"/>
      <c r="AS59" s="31" t="e">
        <f>+AS56+AS54+AS52</f>
        <v>#REF!</v>
      </c>
      <c r="AT59" s="32"/>
    </row>
    <row r="60" spans="1:14" s="3" customFormat="1" ht="15" customHeight="1">
      <c r="A60" s="48" t="s">
        <v>43</v>
      </c>
      <c r="B60" s="4"/>
      <c r="C60"/>
      <c r="F60"/>
      <c r="G60"/>
      <c r="H60" s="29"/>
      <c r="J60" s="29"/>
      <c r="L60" s="29"/>
      <c r="N60" s="54"/>
    </row>
    <row r="61" spans="1:7" s="3" customFormat="1" ht="12.75">
      <c r="A61" s="48" t="s">
        <v>44</v>
      </c>
      <c r="B61"/>
      <c r="C61"/>
      <c r="D61" s="29"/>
      <c r="F61" s="4"/>
      <c r="G61"/>
    </row>
    <row r="62" spans="1:7" s="3" customFormat="1" ht="12.75">
      <c r="A62" s="48" t="s">
        <v>45</v>
      </c>
      <c r="B62"/>
      <c r="C62"/>
      <c r="F62"/>
      <c r="G62"/>
    </row>
    <row r="63" spans="1:5" ht="15" customHeight="1">
      <c r="A63" s="48" t="s">
        <v>46</v>
      </c>
      <c r="C63"/>
      <c r="E63" s="4"/>
    </row>
    <row r="64" spans="1:3" ht="15" customHeight="1">
      <c r="A64" s="48" t="s">
        <v>47</v>
      </c>
      <c r="C64"/>
    </row>
    <row r="65" spans="1:3" ht="15" customHeight="1">
      <c r="A65" s="48" t="s">
        <v>48</v>
      </c>
      <c r="C65"/>
    </row>
    <row r="66" spans="1:13" ht="12.75">
      <c r="A66" s="56" t="s">
        <v>51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3" ht="9.75" customHeight="1">
      <c r="A67" s="55" t="s">
        <v>52</v>
      </c>
      <c r="C67"/>
    </row>
    <row r="68" spans="1:3" ht="14.25" customHeight="1">
      <c r="A68" s="48" t="s">
        <v>58</v>
      </c>
      <c r="C68"/>
    </row>
    <row r="69" spans="1:13" ht="15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ht="12.75">
      <c r="C70"/>
    </row>
    <row r="71" spans="1:3" ht="15" customHeight="1">
      <c r="A71" s="39"/>
      <c r="C71"/>
    </row>
    <row r="72" spans="1:3" ht="15" customHeight="1">
      <c r="A72" s="39"/>
      <c r="C72"/>
    </row>
    <row r="73" ht="12.75">
      <c r="C73"/>
    </row>
    <row r="74" spans="1:3" ht="15" customHeight="1">
      <c r="A74" s="39"/>
      <c r="C74"/>
    </row>
    <row r="75" spans="1:3" ht="15" customHeight="1">
      <c r="A75" s="39"/>
      <c r="C75"/>
    </row>
    <row r="76" ht="12.75">
      <c r="C76"/>
    </row>
    <row r="77" spans="1:3" ht="15" customHeight="1">
      <c r="A77" s="39"/>
      <c r="C77"/>
    </row>
    <row r="78" spans="1:3" ht="15" customHeight="1">
      <c r="A78" s="39"/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</sheetData>
  <mergeCells count="2">
    <mergeCell ref="A66:M66"/>
    <mergeCell ref="A69:M69"/>
  </mergeCells>
  <printOptions/>
  <pageMargins left="1.21" right="0.21" top="0.28" bottom="0.18" header="0.23" footer="0.11"/>
  <pageSetup fitToHeight="1" fitToWidth="1" horizontalDpi="600" verticalDpi="600" orientation="portrait" paperSize="9" scale="76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rcorsini</cp:lastModifiedBy>
  <cp:lastPrinted>2004-04-14T11:32:30Z</cp:lastPrinted>
  <dcterms:created xsi:type="dcterms:W3CDTF">1999-02-19T11:32:50Z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